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900" tabRatio="775" activeTab="0"/>
  </bookViews>
  <sheets>
    <sheet name="fin. plán 2008" sheetId="1" r:id="rId1"/>
    <sheet name="mzda, počet zaměstnanců" sheetId="2" r:id="rId2"/>
    <sheet name="mzda" sheetId="3" r:id="rId3"/>
    <sheet name="DÚSP Černovice" sheetId="4" r:id="rId4"/>
    <sheet name="ÚSP Zboží" sheetId="5" r:id="rId5"/>
    <sheet name="USP Ledeč nad Sázavou" sheetId="6" r:id="rId6"/>
    <sheet name="ÚSP Lidmaň" sheetId="7" r:id="rId7"/>
    <sheet name="ÚSP Věž" sheetId="8" r:id="rId8"/>
    <sheet name="ÚSP Těchobuz" sheetId="9" r:id="rId9"/>
    <sheet name="ÚSP Jinošov" sheetId="10" r:id="rId10"/>
    <sheet name="ÚSP Nové Syrovice" sheetId="11" r:id="rId11"/>
    <sheet name="DD M.Curierových" sheetId="12" r:id="rId12"/>
    <sheet name="DD Třebíč Koutkova" sheetId="13" r:id="rId13"/>
    <sheet name="DD Náměšť nad Os" sheetId="14" r:id="rId14"/>
    <sheet name="DD Velký Újezd" sheetId="15" r:id="rId15"/>
    <sheet name="Psych.Jihl." sheetId="16" r:id="rId16"/>
    <sheet name="ÚSP Křižanov" sheetId="17" r:id="rId17"/>
    <sheet name="DD Mitrov" sheetId="18" r:id="rId18"/>
    <sheet name="DD Velké Meziříčí" sheetId="19" r:id="rId19"/>
    <sheet name="DD Havlíčkův Brod" sheetId="20" r:id="rId20"/>
    <sheet name="DD Humpolec" sheetId="21" r:id="rId21"/>
    <sheet name="DD Proseč u Pošné" sheetId="22" r:id="rId22"/>
    <sheet name="DD Onšov" sheetId="23" r:id="rId23"/>
    <sheet name="DD Proseč Obořiště" sheetId="24" r:id="rId24"/>
    <sheet name="DD Ždírec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_xlnm.Print_Area" localSheetId="19">'DD Havlíčkův Brod'!$A$1:$O$123</definedName>
    <definedName name="_xlnm.Print_Area" localSheetId="20">'DD Humpolec'!$A$1:$O$121</definedName>
    <definedName name="_xlnm.Print_Area" localSheetId="22">'DD Onšov'!$A$1:$O$125</definedName>
    <definedName name="_xlnm.Print_Area" localSheetId="23">'DD Proseč Obořiště'!$A$1:$O$126</definedName>
    <definedName name="_xlnm.Print_Area" localSheetId="21">'DD Proseč u Pošné'!$A$1:$O$123</definedName>
    <definedName name="_xlnm.Print_Area" localSheetId="18">'DD Velké Meziříčí'!$A$1:$O$125</definedName>
    <definedName name="_xlnm.Print_Area" localSheetId="14">'DD Velký Újezd'!$A$1:$O$123</definedName>
    <definedName name="_xlnm.Print_Area" localSheetId="24">'DD Ždírec'!$A$1:$O$123</definedName>
    <definedName name="_xlnm.Print_Area" localSheetId="3">'DÚSP Černovice'!$A$1:$O$125</definedName>
    <definedName name="_xlnm.Print_Area" localSheetId="16">'ÚSP Křižanov'!$A$1:$O$123</definedName>
    <definedName name="_xlnm.Print_Area" localSheetId="5">'USP Ledeč nad Sázavou'!$A$1:$O$127</definedName>
    <definedName name="_xlnm.Print_Area" localSheetId="6">'ÚSP Lidmaň'!$A$1:$O$121</definedName>
    <definedName name="_xlnm.Print_Area" localSheetId="10">'ÚSP Nové Syrovice'!$A$1:$O$123</definedName>
    <definedName name="_xlnm.Print_Area" localSheetId="8">'ÚSP Těchobuz'!$A$1:$O$123</definedName>
    <definedName name="_xlnm.Print_Area" localSheetId="7">'ÚSP Věž'!$A$1:$O$123</definedName>
    <definedName name="_xlnm.Print_Area" localSheetId="4">'ÚSP Zboží'!$A$1:$O$123</definedName>
  </definedNames>
  <calcPr fullCalcOnLoad="1"/>
</workbook>
</file>

<file path=xl/sharedStrings.xml><?xml version="1.0" encoding="utf-8"?>
<sst xmlns="http://schemas.openxmlformats.org/spreadsheetml/2006/main" count="5238" uniqueCount="686">
  <si>
    <t>Rozšíření topení budova Jihlava</t>
  </si>
  <si>
    <t>Výněna oken</t>
  </si>
  <si>
    <t>Údržba auta</t>
  </si>
  <si>
    <t>Montáž BRANO - vstupní dveře Jihlava</t>
  </si>
  <si>
    <t>Údržba budov</t>
  </si>
  <si>
    <t>Výměna dveří - Třebíč</t>
  </si>
  <si>
    <t>Oprava střechy - budova Jihlava</t>
  </si>
  <si>
    <t>Opravy a údržba vybavení, PC</t>
  </si>
  <si>
    <t>Malování -  Třebíč</t>
  </si>
  <si>
    <t>Oprava prahů - budova Jihlava</t>
  </si>
  <si>
    <t>Drobná údržba budov ,vybavení, PC</t>
  </si>
  <si>
    <t>Údržba budovy</t>
  </si>
  <si>
    <t>Malování - Žďár n/S</t>
  </si>
  <si>
    <t>Drpbná údržba a opravy vybavení, PC</t>
  </si>
  <si>
    <t>kamerový systém na chodbách 3. a 4. patra</t>
  </si>
  <si>
    <t>kamerový systém na chodbách 1. a 2. patra</t>
  </si>
  <si>
    <t>myčka na podložní mísy</t>
  </si>
  <si>
    <t>centralizace klíčů</t>
  </si>
  <si>
    <t>Ústav sociální péče pro dospělé Věž</t>
  </si>
  <si>
    <t>Víceúčelový přístřešek /sušení prádla apod./</t>
  </si>
  <si>
    <t>Plynový kotel</t>
  </si>
  <si>
    <t>Odvod do rozpečtu zřizovatele</t>
  </si>
  <si>
    <t>Příhřev TÚV - záložní</t>
  </si>
  <si>
    <t>Oprava a výměna plotu</t>
  </si>
  <si>
    <t>Obměna a opravy kamerového systému</t>
  </si>
  <si>
    <t>Oprava podlahových klrytin</t>
  </si>
  <si>
    <t>Oprava dlažby nádvoří</t>
  </si>
  <si>
    <t>Oprava venkovních omítek</t>
  </si>
  <si>
    <t>Oprava střechy ÚSPD</t>
  </si>
  <si>
    <t>Oprava podlahových krytin</t>
  </si>
  <si>
    <t>Opravy strojního zařízení</t>
  </si>
  <si>
    <t>Běžné opravy a údržba zařízení</t>
  </si>
  <si>
    <t>automobil - z bazaru</t>
  </si>
  <si>
    <t xml:space="preserve">myčka nádobí do Bř-v případě havárie myčky  </t>
  </si>
  <si>
    <t>zvedák ARJO do Bř v případě havárie stávajícícho zvedáku</t>
  </si>
  <si>
    <t>pračka Electrolux do HB a Bř v případě havárie</t>
  </si>
  <si>
    <t>vstupní brána v Břevnici na dálkové ovládání</t>
  </si>
  <si>
    <t>EPS na pokojích HB</t>
  </si>
  <si>
    <t>zabezpečení studny v zahradě HB</t>
  </si>
  <si>
    <t>okno u výtahu v HB a další stavební práce</t>
  </si>
  <si>
    <t>oprava el. instalace Bř, oprava podhledu</t>
  </si>
  <si>
    <t>zateplení stropu v koupelně 2. patro HB</t>
  </si>
  <si>
    <t>oplechování parapetů, nátěry</t>
  </si>
  <si>
    <t>malování objektu HB</t>
  </si>
  <si>
    <t>výměna shnilého trámu, zateplení půdy HB</t>
  </si>
  <si>
    <t>centrální klíč</t>
  </si>
  <si>
    <t>nátěr fasády Bř</t>
  </si>
  <si>
    <t>oprava regulace topení HB</t>
  </si>
  <si>
    <t>výměna bojleru v případě havárie HB</t>
  </si>
  <si>
    <t>havarijní opravy výtahu a další havárie</t>
  </si>
  <si>
    <t>podlaha a vícepráce u prádelny Bř</t>
  </si>
  <si>
    <t>havárie Bř</t>
  </si>
  <si>
    <t xml:space="preserve">havarijní opravy </t>
  </si>
  <si>
    <t>havárie HB</t>
  </si>
  <si>
    <t>prac.soc.péče - volnočas.aktivity</t>
  </si>
  <si>
    <t>DDProseč u Pošné</t>
  </si>
  <si>
    <t>DD Proseč-Obořiště</t>
  </si>
  <si>
    <t>DS Havlíčkův Brod</t>
  </si>
  <si>
    <t>DS Náměsť nad Oslavou</t>
  </si>
  <si>
    <t>DSTřebíč - Manž. Curieových</t>
  </si>
  <si>
    <t>DS Třebíč, Koutkova - Kubešova</t>
  </si>
  <si>
    <t>DS Velké Meziříčí</t>
  </si>
  <si>
    <t>Psychocentrum - manželská a rodinná poradna kraje Vysočina</t>
  </si>
  <si>
    <t>ÚSP Těchobuz</t>
  </si>
  <si>
    <t>tarif</t>
  </si>
  <si>
    <t>přesčas</t>
  </si>
  <si>
    <t>odměna - pohotovost</t>
  </si>
  <si>
    <t>příplatek za vedení</t>
  </si>
  <si>
    <t>náhrady mzdy ŘD</t>
  </si>
  <si>
    <t>náhrady mzdy</t>
  </si>
  <si>
    <t>osobní příplatek</t>
  </si>
  <si>
    <t>zvláštní příplatek</t>
  </si>
  <si>
    <t>příplatek SO+NE</t>
  </si>
  <si>
    <t>příplatek za svátek</t>
  </si>
  <si>
    <t>zastupování</t>
  </si>
  <si>
    <t>příplatek za noční</t>
  </si>
  <si>
    <t>odměny</t>
  </si>
  <si>
    <t>dělená směna</t>
  </si>
  <si>
    <t>2007 - průměrná mzda</t>
  </si>
  <si>
    <t>DDOnšov</t>
  </si>
  <si>
    <t>DS Třebíč - Manž. Curieových</t>
  </si>
  <si>
    <t>ÚSPcTěchobuz</t>
  </si>
  <si>
    <t>THP</t>
  </si>
  <si>
    <t>pracovník soc. péče</t>
  </si>
  <si>
    <t>psychologové</t>
  </si>
  <si>
    <t>maséři</t>
  </si>
  <si>
    <t>ergoterapeut</t>
  </si>
  <si>
    <t>geriatr.prac</t>
  </si>
  <si>
    <t>všichni pracovníci</t>
  </si>
  <si>
    <t>2007 - přepočtený počet zaměstnaců</t>
  </si>
  <si>
    <t>DDVelký Újezd</t>
  </si>
  <si>
    <t>počet lůžek</t>
  </si>
  <si>
    <t>zaměstnanci / lůžko</t>
  </si>
  <si>
    <t>lůžka / zaměstnanec</t>
  </si>
  <si>
    <t>počet klientů</t>
  </si>
  <si>
    <t>klienti / zaměstnanec</t>
  </si>
  <si>
    <t>v tis. Kč</t>
  </si>
  <si>
    <t>v tis . Kč</t>
  </si>
  <si>
    <t>Počáteční stav k 1.1.</t>
  </si>
  <si>
    <t>Převod do IF</t>
  </si>
  <si>
    <t xml:space="preserve">Příděl ze zlepšeného ročního VH </t>
  </si>
  <si>
    <t>K dalšímu rozvoji činnosti</t>
  </si>
  <si>
    <t>Příděl ze zlep. ročního VH</t>
  </si>
  <si>
    <t>Dary</t>
  </si>
  <si>
    <t>Převod z KFO</t>
  </si>
  <si>
    <t>Konečný stav k 31.12.</t>
  </si>
  <si>
    <t>Rezervní fond 2007</t>
  </si>
  <si>
    <t>Plán tvorby a čerpání rezervního fondu 2008</t>
  </si>
  <si>
    <t xml:space="preserve">Konvktomat </t>
  </si>
  <si>
    <t xml:space="preserve">osobní automobil </t>
  </si>
  <si>
    <t xml:space="preserve">Zvedací židleCalypo </t>
  </si>
  <si>
    <t xml:space="preserve">Běžná oprava a údržba zařízení </t>
  </si>
  <si>
    <t xml:space="preserve">běžná oprava údržba zařízení </t>
  </si>
  <si>
    <t>Psychocentrum manželská a rodinná poradna</t>
  </si>
  <si>
    <t>2003</t>
  </si>
  <si>
    <t>2004</t>
  </si>
  <si>
    <t>Domov důchodců Třebíč - Koutkova</t>
  </si>
  <si>
    <t>Domov důchodců Třebíč - Kubešova</t>
  </si>
  <si>
    <t>/ Kč/</t>
  </si>
  <si>
    <t>/ v tis. Kč/</t>
  </si>
  <si>
    <t>Počet zaměstnanců</t>
  </si>
  <si>
    <t>KČO</t>
  </si>
  <si>
    <t>K úhradě ztráty</t>
  </si>
  <si>
    <t>KĆO</t>
  </si>
  <si>
    <t>DS Třebíč Koutkova-Kubešova</t>
  </si>
  <si>
    <t>DS Náměšť nad Oslavou</t>
  </si>
  <si>
    <t>nákup auta</t>
  </si>
  <si>
    <t>Nákup auta</t>
  </si>
  <si>
    <t>běžné drobné opravy</t>
  </si>
  <si>
    <t>oprava topení Dobronín</t>
  </si>
  <si>
    <t>Oprava auta Felicie</t>
  </si>
  <si>
    <t>Oprava vody v kuchyni</t>
  </si>
  <si>
    <t>Oprava ústředního topení</t>
  </si>
  <si>
    <t xml:space="preserve">Průměrná mzda </t>
  </si>
  <si>
    <t>Náklady 2007</t>
  </si>
  <si>
    <t>Náklady 2006</t>
  </si>
  <si>
    <t>počítače</t>
  </si>
  <si>
    <t>oprava strojního zařízení (kuchyň, prádelna, výtah, kotelna)</t>
  </si>
  <si>
    <t>Opravy nemovitého majetku</t>
  </si>
  <si>
    <t>oprava koupelny</t>
  </si>
  <si>
    <t>oprava ohradní zdi</t>
  </si>
  <si>
    <t>Celkem DD</t>
  </si>
  <si>
    <t>Celkem ÚSP</t>
  </si>
  <si>
    <t>Celkem zařízení (DD + ÚSP +        Psychocentrum)</t>
  </si>
  <si>
    <t>Za DD</t>
  </si>
  <si>
    <t>Za ÚSP</t>
  </si>
  <si>
    <t>Oprava nemovitého majetku</t>
  </si>
  <si>
    <t>DS Náměšt nad Oslavou</t>
  </si>
  <si>
    <t>VH</t>
  </si>
  <si>
    <t>Odpisy</t>
  </si>
  <si>
    <t>(-60)</t>
  </si>
  <si>
    <t>VH (po zaplacení odpisů)</t>
  </si>
  <si>
    <t>Navýšení dotace (na odpisy)</t>
  </si>
  <si>
    <t xml:space="preserve">- dotace z MPSV </t>
  </si>
  <si>
    <t>- dotace z KrÚ</t>
  </si>
  <si>
    <t>Rok 2007</t>
  </si>
  <si>
    <t>DSNáměšt nad Oslavou</t>
  </si>
  <si>
    <t>DS Třebíč Manž. Curieových</t>
  </si>
  <si>
    <t>Dotace snížená o pokryté odpisy</t>
  </si>
  <si>
    <t>Pokrytí hrozícího záporného VH v %</t>
  </si>
  <si>
    <t>Příjmy po navýšení příspěvku na provoz</t>
  </si>
  <si>
    <t>Pokrytí předpokládaných nákladů v %</t>
  </si>
  <si>
    <t>Popis předpokládaných nákladů a výnosů</t>
  </si>
  <si>
    <t>Srovnání předpokládaných nákladů a výnosů na lůžko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</si>
  <si>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</si>
  <si>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Finanční plán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</si>
  <si>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</si>
  <si>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</si>
  <si>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</si>
  <si>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</si>
  <si>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</si>
  <si>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</si>
  <si>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</si>
  <si>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</si>
  <si>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</si>
  <si>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</si>
  <si>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</si>
  <si>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</si>
  <si>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</si>
  <si>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</si>
  <si>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</si>
  <si>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</si>
  <si>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</si>
  <si>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</si>
  <si>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</si>
  <si>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</si>
  <si>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</si>
  <si>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</si>
  <si>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</si>
  <si>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</si>
  <si>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</si>
  <si>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</si>
  <si>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</si>
  <si>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</si>
  <si>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</si>
  <si>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</si>
  <si>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</si>
  <si>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</si>
  <si>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</si>
  <si>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</si>
  <si>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</si>
  <si>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</si>
  <si>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minulých let k 31.12.</t>
  </si>
  <si>
    <t>v tis.Kč</t>
  </si>
  <si>
    <t>Odvod do rozpočtu zřizovatele</t>
  </si>
  <si>
    <t>Další investice:</t>
  </si>
  <si>
    <t>Investiční výdaje ISPROFIN</t>
  </si>
  <si>
    <t xml:space="preserve">   z toho stavby</t>
  </si>
  <si>
    <t>Limit mzdových prostředků</t>
  </si>
  <si>
    <t>Limit</t>
  </si>
  <si>
    <t>Skutečnost</t>
  </si>
  <si>
    <t>Zaměstnanci</t>
  </si>
  <si>
    <t>průměrný přepočtený počet zaměstnanců</t>
  </si>
  <si>
    <t>Průměrná mzda</t>
  </si>
  <si>
    <t>Rozdíl</t>
  </si>
  <si>
    <t>hospodářskosprávní a provoznětechničtí zam.</t>
  </si>
  <si>
    <t>NZP</t>
  </si>
  <si>
    <t>PZP</t>
  </si>
  <si>
    <t>pedagogičtí pracovníci vychovatelé</t>
  </si>
  <si>
    <t>prac. sociální péče</t>
  </si>
  <si>
    <t>sociální pracovníci</t>
  </si>
  <si>
    <t>zam.převážně manuelně pracující</t>
  </si>
  <si>
    <t>Přepočtený počet zaměstnanců</t>
  </si>
  <si>
    <t>Počty lůžek</t>
  </si>
  <si>
    <t>rok</t>
  </si>
  <si>
    <t>Plán</t>
  </si>
  <si>
    <t>kapacita</t>
  </si>
  <si>
    <t>Pořizovací cena majetku</t>
  </si>
  <si>
    <t>celkem</t>
  </si>
  <si>
    <t>z toho odpisová skupina:</t>
  </si>
  <si>
    <t>Deficit (-) BÚ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</si>
  <si>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</si>
  <si>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</si>
  <si>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</si>
  <si>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</si>
  <si>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</si>
  <si>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</si>
  <si>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provozní prostř.</t>
  </si>
  <si>
    <t>Běžný účet FKSP</t>
  </si>
  <si>
    <t>z toho po lhůtě splatnosti</t>
  </si>
  <si>
    <t>do 30 dnů</t>
  </si>
  <si>
    <t>31-90</t>
  </si>
  <si>
    <t>91-180</t>
  </si>
  <si>
    <t>181-360</t>
  </si>
  <si>
    <t>nad 360</t>
  </si>
  <si>
    <t>Pohledávky</t>
  </si>
  <si>
    <t>Závazky</t>
  </si>
  <si>
    <t>odvod do rozpočtu zřizovatele</t>
  </si>
  <si>
    <t>SZP</t>
  </si>
  <si>
    <t>lékaři</t>
  </si>
  <si>
    <t>odvod zřizovateli</t>
  </si>
  <si>
    <t>konvektomat</t>
  </si>
  <si>
    <t>výměna oken</t>
  </si>
  <si>
    <t>opravy aut</t>
  </si>
  <si>
    <t>běžné opravy</t>
  </si>
  <si>
    <t>Fondy v tis. Kč</t>
  </si>
  <si>
    <t xml:space="preserve">          investiční fond</t>
  </si>
  <si>
    <t>kopírka</t>
  </si>
  <si>
    <t xml:space="preserve"> </t>
  </si>
  <si>
    <t>malířské a natěračské práce</t>
  </si>
  <si>
    <t>pračka</t>
  </si>
  <si>
    <t>Elektroúdržba</t>
  </si>
  <si>
    <t>Opravy a údržba podlah</t>
  </si>
  <si>
    <t>Nátěry, malby</t>
  </si>
  <si>
    <t>Sadové úpravy, údržba zeleně</t>
  </si>
  <si>
    <t>myčka nádobí</t>
  </si>
  <si>
    <t>práce zednické</t>
  </si>
  <si>
    <t>práce malířské</t>
  </si>
  <si>
    <t>práce truhlářské</t>
  </si>
  <si>
    <t>malování</t>
  </si>
  <si>
    <t>běžná údržba zařízení</t>
  </si>
  <si>
    <t>běžné provozní opravy</t>
  </si>
  <si>
    <t>myčka podložních mís</t>
  </si>
  <si>
    <t>Neinvest. výdaje ISPROFIN</t>
  </si>
  <si>
    <t>průměrný přepočtený počet zaměstnaců k poslednímu dni sledovaného období</t>
  </si>
  <si>
    <t>opravy auta</t>
  </si>
  <si>
    <t>pračka průmyslová</t>
  </si>
  <si>
    <t>keramická pec</t>
  </si>
  <si>
    <t>oprava střechy</t>
  </si>
  <si>
    <t>běžné opravy a udržování</t>
  </si>
  <si>
    <t>opravy praček</t>
  </si>
  <si>
    <t>opravy elektro</t>
  </si>
  <si>
    <t>opravy zařízení</t>
  </si>
  <si>
    <t>oprava střechy a okapů</t>
  </si>
  <si>
    <t>ostatní údržba</t>
  </si>
  <si>
    <t>práce instalatérské</t>
  </si>
  <si>
    <t>oprava strojů a přístrojů</t>
  </si>
  <si>
    <t>údržba autoparku</t>
  </si>
  <si>
    <t>prádelenský lis</t>
  </si>
  <si>
    <t>signalizace</t>
  </si>
  <si>
    <t>údržba parku</t>
  </si>
  <si>
    <t>mandl</t>
  </si>
  <si>
    <t>oprava a servis výtahů</t>
  </si>
  <si>
    <t>Europračka</t>
  </si>
  <si>
    <t>nátěry dveří a zárubní</t>
  </si>
  <si>
    <t>revize</t>
  </si>
  <si>
    <t>opravy strojů a zařízení</t>
  </si>
  <si>
    <t>fyzioterapeut</t>
  </si>
  <si>
    <t>Cestovné 512</t>
  </si>
  <si>
    <t>masér</t>
  </si>
  <si>
    <t>dělička těsta</t>
  </si>
  <si>
    <t>ostatní</t>
  </si>
  <si>
    <t>oprava auta</t>
  </si>
  <si>
    <t>docházkový systém</t>
  </si>
  <si>
    <t>Výtah</t>
  </si>
  <si>
    <t>automobil</t>
  </si>
  <si>
    <t>zvedák ARJO</t>
  </si>
  <si>
    <t>/v tis. Kč/</t>
  </si>
  <si>
    <t>Skutečnost za rok 2006</t>
  </si>
  <si>
    <t>Rozdíl 2007 - 2006</t>
  </si>
  <si>
    <t>- příspěvek na provoz z KrÚ</t>
  </si>
  <si>
    <t>- dotace z MPSV</t>
  </si>
  <si>
    <t>Investice 2006</t>
  </si>
  <si>
    <t>neklidová místnost</t>
  </si>
  <si>
    <t>rampa</t>
  </si>
  <si>
    <t>nátěry balkonů v 5. patře</t>
  </si>
  <si>
    <t>servis v kotelně</t>
  </si>
  <si>
    <t>čištění lin</t>
  </si>
  <si>
    <t>oprava nátěru omítky</t>
  </si>
  <si>
    <t>oprava dlažby chodníku</t>
  </si>
  <si>
    <t>oprava mandlu, další opravy</t>
  </si>
  <si>
    <t>Stav k 1.1.2007</t>
  </si>
  <si>
    <t>Stav k 31.12.2007</t>
  </si>
  <si>
    <t>/v Kč/</t>
  </si>
  <si>
    <t>drobné opravy</t>
  </si>
  <si>
    <t>stravovací personál</t>
  </si>
  <si>
    <t>kráječ knedlíků</t>
  </si>
  <si>
    <t>stavební</t>
  </si>
  <si>
    <t>autopark</t>
  </si>
  <si>
    <t>*stavební Kč 67000,-- čerpáno z rez.fondu</t>
  </si>
  <si>
    <t xml:space="preserve">nářezový stroj </t>
  </si>
  <si>
    <t>oprava kotle</t>
  </si>
  <si>
    <t xml:space="preserve">drobné opravy </t>
  </si>
  <si>
    <t>čerpadlo</t>
  </si>
  <si>
    <t>práce elektroinstalatérské</t>
  </si>
  <si>
    <t>PPOP</t>
  </si>
  <si>
    <t>Víceúčelový robot</t>
  </si>
  <si>
    <t>Sušička</t>
  </si>
  <si>
    <t>Zahradní domek</t>
  </si>
  <si>
    <t>Oprava strojního zařízení</t>
  </si>
  <si>
    <t>Malby a nátěry</t>
  </si>
  <si>
    <t>Běžná údržba a opravy zařízení</t>
  </si>
  <si>
    <t>Oprava střechy</t>
  </si>
  <si>
    <t>Ústav sociální péče Jinošov</t>
  </si>
  <si>
    <t>oprava nouzového osvětlení</t>
  </si>
  <si>
    <t>výměna PVC</t>
  </si>
  <si>
    <t>oprava a údržba strojního zařízení</t>
  </si>
  <si>
    <t>opravy a údržba aut.</t>
  </si>
  <si>
    <t>opravy a údržba strojního zařízení</t>
  </si>
  <si>
    <t>opravy a údržba stavební</t>
  </si>
  <si>
    <t>Ústav sociální péče Zboží</t>
  </si>
  <si>
    <t>docház.systém</t>
  </si>
  <si>
    <t>vestavba soc. zařízení</t>
  </si>
  <si>
    <t>průmyslová myčka nádobí</t>
  </si>
  <si>
    <t>pračka Primus</t>
  </si>
  <si>
    <t>oprava izolace v koupelnách</t>
  </si>
  <si>
    <t>oprava automobilu</t>
  </si>
  <si>
    <t>malování celého objektu</t>
  </si>
  <si>
    <t>aktualizace software</t>
  </si>
  <si>
    <t>oprava vodovodního potrubí</t>
  </si>
  <si>
    <t>opravy schodových hran</t>
  </si>
  <si>
    <t>Domov pro seniory Havlíčkův Brod</t>
  </si>
  <si>
    <t>pračka se sušičkou</t>
  </si>
  <si>
    <t>9-místný automobil</t>
  </si>
  <si>
    <t>zpevněné plochy pod kontejnery Bř</t>
  </si>
  <si>
    <t>zažehlovací lis</t>
  </si>
  <si>
    <t>traktůrek s doplňky</t>
  </si>
  <si>
    <t>zámkový systém</t>
  </si>
  <si>
    <t>trouba plynová</t>
  </si>
  <si>
    <t>masážní stroj</t>
  </si>
  <si>
    <t>odvod do odpisů</t>
  </si>
  <si>
    <t>odvod odpisů</t>
  </si>
  <si>
    <t>oprava podlahy</t>
  </si>
  <si>
    <t>sekačka na trávu</t>
  </si>
  <si>
    <t>manipulační zařízení pro imobilní</t>
  </si>
  <si>
    <t>rehabilitační přístroj</t>
  </si>
  <si>
    <t>oprava a výměna podlahových krytin</t>
  </si>
  <si>
    <t>Osobní automobil</t>
  </si>
  <si>
    <t>Kuchyňský robot</t>
  </si>
  <si>
    <t>Záloha na výtah</t>
  </si>
  <si>
    <t>Varný kotel</t>
  </si>
  <si>
    <t>Sušička prádla</t>
  </si>
  <si>
    <t>Různé drobné opravy</t>
  </si>
  <si>
    <t>Údržba v prádelně</t>
  </si>
  <si>
    <t>Údržba dřevěných staveb</t>
  </si>
  <si>
    <t>Stavební údržba</t>
  </si>
  <si>
    <t>myčka na nádobí</t>
  </si>
  <si>
    <t>odvod na účet zřizovatele</t>
  </si>
  <si>
    <t>docházkový čipový systém</t>
  </si>
  <si>
    <t>sporák kombinovaný</t>
  </si>
  <si>
    <t>sporák elektrický</t>
  </si>
  <si>
    <t>malování, omítky, PVC</t>
  </si>
  <si>
    <t>oprava strojů,přístrojů a zařízení</t>
  </si>
  <si>
    <t>autoprovoz</t>
  </si>
  <si>
    <t xml:space="preserve">odvod do rozpočtu zřizovatele </t>
  </si>
  <si>
    <t>strojní</t>
  </si>
  <si>
    <t>kamerový systém</t>
  </si>
  <si>
    <t>Ústav sociální péče Křižanov</t>
  </si>
  <si>
    <t xml:space="preserve">na lůžko </t>
  </si>
  <si>
    <t>DD Ždírec</t>
  </si>
  <si>
    <t>DD Onšov</t>
  </si>
  <si>
    <t>DD Proseč Obořiště</t>
  </si>
  <si>
    <t>DD Proseč u  Pošné</t>
  </si>
  <si>
    <t>DD Humpolec</t>
  </si>
  <si>
    <t>DD Velký Újezd</t>
  </si>
  <si>
    <t>Průměr</t>
  </si>
  <si>
    <t>ÚSP Lidmaň</t>
  </si>
  <si>
    <t>ÚSP Zboží</t>
  </si>
  <si>
    <t>ÚSP Jinošov</t>
  </si>
  <si>
    <t>ÚSP Věž</t>
  </si>
  <si>
    <t>ÚSP Křižanov</t>
  </si>
  <si>
    <t>ÚSP Těchobz</t>
  </si>
  <si>
    <t>ÚSP Nové Syrovice</t>
  </si>
  <si>
    <t>DÚSP Černovice</t>
  </si>
  <si>
    <t>ÚSP Ledeč nad Sázavou</t>
  </si>
  <si>
    <t>Psychocentrum</t>
  </si>
  <si>
    <t>- ÚP</t>
  </si>
  <si>
    <t>Skutečnost za rok 2007</t>
  </si>
  <si>
    <t>Návrh na rok 2008</t>
  </si>
  <si>
    <t>Rozdíl 2008 - 2007</t>
  </si>
  <si>
    <t>Investice 2007</t>
  </si>
  <si>
    <t>Plán čerpání investičního fondu 2008</t>
  </si>
  <si>
    <t>Telefonní ústředna</t>
  </si>
  <si>
    <t>Pec na vypalování keramiky</t>
  </si>
  <si>
    <t>Docházkový systém</t>
  </si>
  <si>
    <t>Motomed- rehabilitační stroj</t>
  </si>
  <si>
    <t>Elektrický kotel – kuchyň</t>
  </si>
  <si>
    <t>Rekkonstrukce vstupních prostor</t>
  </si>
  <si>
    <t>Odvod do trozpočtu zřizovatele</t>
  </si>
  <si>
    <t>Opravy a údržba  2006</t>
  </si>
  <si>
    <t>Opravy a údržba 2007</t>
  </si>
  <si>
    <t>Plán oprav  dlouhodobého majetku  2008</t>
  </si>
  <si>
    <t>Běžné opravy, malování</t>
  </si>
  <si>
    <t>Výměn oken</t>
  </si>
  <si>
    <t>Běžné opravy, malování, výměna podlahovin</t>
  </si>
  <si>
    <t>Oprávky k 1.1.2008</t>
  </si>
  <si>
    <t>Účetní odpisy na rok 2008</t>
  </si>
  <si>
    <t>Zůstatková cena k 31.12.2008</t>
  </si>
  <si>
    <t>Zůstatek účtu k 1.1.2007</t>
  </si>
  <si>
    <t>Účetní stav 2007</t>
  </si>
  <si>
    <t>Zůstatek účtu k 31.12.2007</t>
  </si>
  <si>
    <t>Plán 2008</t>
  </si>
  <si>
    <t>Stav k 1.1.2008</t>
  </si>
  <si>
    <t>Stav k 31.12.2008</t>
  </si>
  <si>
    <t>stav k 31.12.2007</t>
  </si>
  <si>
    <t>Pedagogičtí prac.- vychovatelé</t>
  </si>
  <si>
    <t>dezinfektor</t>
  </si>
  <si>
    <t>pračka FS 16 odpružená</t>
  </si>
  <si>
    <t>schodolez</t>
  </si>
  <si>
    <t>Stiga park pro 25-4WD-sekačka trávy</t>
  </si>
  <si>
    <t>oprava el.instalace</t>
  </si>
  <si>
    <t>oprava regulátoru</t>
  </si>
  <si>
    <t>sanitář</t>
  </si>
  <si>
    <t>DS Mitrov</t>
  </si>
  <si>
    <t>protipožární dveře</t>
  </si>
  <si>
    <t xml:space="preserve">pračka </t>
  </si>
  <si>
    <t>sítě</t>
  </si>
  <si>
    <t>zábradlí kolem rybníka</t>
  </si>
  <si>
    <t>osobní automobil</t>
  </si>
  <si>
    <t>centrální stop</t>
  </si>
  <si>
    <t>opravy majetku</t>
  </si>
  <si>
    <t>malování, běžně prováděné opravy</t>
  </si>
  <si>
    <t>oprava podlah a instalace podah.vytápění v kapli</t>
  </si>
  <si>
    <t>oprava el přívodu</t>
  </si>
  <si>
    <t>oprava schodiště</t>
  </si>
  <si>
    <t>ostatní běžné provozní opravy</t>
  </si>
  <si>
    <t>opravy koupelen a pokojů</t>
  </si>
  <si>
    <t>DD Proseč u Pošné</t>
  </si>
  <si>
    <t>Tržby za prodané zboží /úč. 604/614</t>
  </si>
  <si>
    <t>technické zhodnocení - garáž</t>
  </si>
  <si>
    <t>sprchový panel</t>
  </si>
  <si>
    <t>chodník rehabilitační</t>
  </si>
  <si>
    <t>sprchové lůžko</t>
  </si>
  <si>
    <t>opravy</t>
  </si>
  <si>
    <t>Oprava koupelny</t>
  </si>
  <si>
    <t>obložení rohů v kuchyni-tech.zhodnocení</t>
  </si>
  <si>
    <t>technické zhodnocení -budova</t>
  </si>
  <si>
    <t>generátor-náhradní zdroj</t>
  </si>
  <si>
    <t>plot</t>
  </si>
  <si>
    <t>auto -Peugeot</t>
  </si>
  <si>
    <t>modernizace sprch</t>
  </si>
  <si>
    <t>zvedací vana</t>
  </si>
  <si>
    <t>myčky</t>
  </si>
  <si>
    <t>opravy a servis výtahů</t>
  </si>
  <si>
    <t>malování prostor 3. patra</t>
  </si>
  <si>
    <t>malování prostor a chodeb</t>
  </si>
  <si>
    <t>servis výtahů</t>
  </si>
  <si>
    <t>malování, nátěry dveří</t>
  </si>
  <si>
    <t>výměna podlahové krytiny</t>
  </si>
  <si>
    <t>oprava aut</t>
  </si>
  <si>
    <t>oprava a setvis kotelny</t>
  </si>
  <si>
    <t>opravy a servis kotelny</t>
  </si>
  <si>
    <t>dláždění chodníku</t>
  </si>
  <si>
    <t>pegagogičtí pracovníci</t>
  </si>
  <si>
    <t>postupná obnova výtahu Kubešova</t>
  </si>
  <si>
    <t>automobil na převážení stravy</t>
  </si>
  <si>
    <t>případná rezerva na prádelenské zařízení</t>
  </si>
  <si>
    <t>skleněná přepážka pro uzavření oddělení</t>
  </si>
  <si>
    <t xml:space="preserve">oprava vzduchotechniky </t>
  </si>
  <si>
    <t>oprava druhé části vzduchotechniky</t>
  </si>
  <si>
    <t>oprava výtahů</t>
  </si>
  <si>
    <t>oprava  výtahů</t>
  </si>
  <si>
    <t>oprava vzduchotechniky</t>
  </si>
  <si>
    <t>oprava balkonů</t>
  </si>
  <si>
    <t>oprava bazénu</t>
  </si>
  <si>
    <t>oprava prádelenského zařízení</t>
  </si>
  <si>
    <t>oprava prádelenského a kuchyňského zařízení</t>
  </si>
  <si>
    <t>oprava kuchyň+prádelna</t>
  </si>
  <si>
    <t>oprava kotelny</t>
  </si>
  <si>
    <t>udržování SW</t>
  </si>
  <si>
    <t>ostatní drobné opravy</t>
  </si>
  <si>
    <t>ostatní potřebné opravy</t>
  </si>
  <si>
    <t>ostatní běžné</t>
  </si>
  <si>
    <t>Domov důchodců Proseč-Obořiště</t>
  </si>
  <si>
    <t>Kotel Vaillant - tech. zhodn. - Zámek</t>
  </si>
  <si>
    <t>Stůl prac. nerezový - kuchyň</t>
  </si>
  <si>
    <t>Schodištní plošina</t>
  </si>
  <si>
    <t>Vana Bellentra</t>
  </si>
  <si>
    <t>Raider STIGA (traktor parkový)</t>
  </si>
  <si>
    <t>Automatické posuvné dveře</t>
  </si>
  <si>
    <t>Kotel - Hájovna</t>
  </si>
  <si>
    <t>Opravy ohradní zdi</t>
  </si>
  <si>
    <t>Oprava stavební - průjezd Zámku</t>
  </si>
  <si>
    <t>Oprava zámecké kaple (mobiliář)</t>
  </si>
  <si>
    <t>oprava zámecké kaple (mobiliář)</t>
  </si>
  <si>
    <t>Údržba parku</t>
  </si>
  <si>
    <t>os. Automobil CHEVROLET</t>
  </si>
  <si>
    <t>odvod do rozp. Zřizovatele</t>
  </si>
  <si>
    <t>os.automobil RENAULT</t>
  </si>
  <si>
    <t>běžné opravy elektro</t>
  </si>
  <si>
    <t>údržba výtahu</t>
  </si>
  <si>
    <t>opravy - přefakt. KÚ</t>
  </si>
  <si>
    <t>mikrobus 9 místný</t>
  </si>
  <si>
    <t>vodní zdroj Mokrá</t>
  </si>
  <si>
    <t>dokončení vodního zdroje Mokrá</t>
  </si>
  <si>
    <t>vodovod rekreační zařízení Lhotka</t>
  </si>
  <si>
    <t>přípojení rehabilitačního objektu na centrální kotelnu</t>
  </si>
  <si>
    <t>oprava pavilonu ležících</t>
  </si>
  <si>
    <t xml:space="preserve">oprava a údr. budov </t>
  </si>
  <si>
    <t>oprava hygienického zařízení na oddělení</t>
  </si>
  <si>
    <t>oprava a údr. budov (střecha, výtahy, vodov.kanaliz.)</t>
  </si>
  <si>
    <t>oprava a údržba mot. vozidel</t>
  </si>
  <si>
    <t>oprava a úsržba motorových vozidel</t>
  </si>
  <si>
    <t>údržba požární signalizace</t>
  </si>
  <si>
    <t>oprava a úsržba strojního zařízení</t>
  </si>
  <si>
    <t>Oprava hygienického zařízení 9.odd</t>
  </si>
  <si>
    <t>údržba střediska . Nátěry</t>
  </si>
  <si>
    <t>lékař</t>
  </si>
  <si>
    <t>odvod do rozpčtu zřizovatele</t>
  </si>
  <si>
    <t xml:space="preserve">malířské na natěračské práce </t>
  </si>
  <si>
    <t>výměna inter.dveří</t>
  </si>
  <si>
    <t>oprava dveří a obložení</t>
  </si>
  <si>
    <t>oprava malotraktoru</t>
  </si>
  <si>
    <t>oprava a údržba aut.</t>
  </si>
  <si>
    <t>Rekonstrukce soc.zařízení, tech.zhodnoc. v Lužické ul.</t>
  </si>
  <si>
    <t>Dezinfekční stroj na podložní mísly</t>
  </si>
  <si>
    <t>Myčka nádobí</t>
  </si>
  <si>
    <t>Plynové sporáky</t>
  </si>
  <si>
    <t>Mycí stroj na podlahy</t>
  </si>
  <si>
    <t>Oprava oken</t>
  </si>
  <si>
    <t>Oprava terasy v budově v Lužické ul.</t>
  </si>
  <si>
    <t>Oprava vstupní haly v budově v Máchově ul.</t>
  </si>
  <si>
    <t>Údržba automobilů</t>
  </si>
  <si>
    <t>Opravy kuchyňského a prádelenského zařízení</t>
  </si>
  <si>
    <t>Oprava nakládací rampy v budově v Lužické ul.</t>
  </si>
  <si>
    <t>rozšíření sítě</t>
  </si>
  <si>
    <t>doch.systém</t>
  </si>
  <si>
    <t>auto</t>
  </si>
  <si>
    <t>odvod</t>
  </si>
  <si>
    <t>odovod</t>
  </si>
  <si>
    <t>opravy  zařízení</t>
  </si>
  <si>
    <t>opravy majetek</t>
  </si>
  <si>
    <t>Dveře na uzavřeném oddělení</t>
  </si>
  <si>
    <t>Myčka na nádobí</t>
  </si>
  <si>
    <t>odděení se zvýšeným dohledem</t>
  </si>
  <si>
    <t>Server</t>
  </si>
  <si>
    <t>Zvedák</t>
  </si>
  <si>
    <t>opravy-voda,plyn,elektrika,EPS</t>
  </si>
  <si>
    <t>elektrika, voda, plyn EPS</t>
  </si>
  <si>
    <t>EPS, náhradní zdroj</t>
  </si>
  <si>
    <t>pračky</t>
  </si>
  <si>
    <t>Dorozumívací zařízení</t>
  </si>
  <si>
    <t>Opravy strojů a zařízení</t>
  </si>
  <si>
    <t>oprava stropní kontrukce</t>
  </si>
  <si>
    <t>Pračky, myčka</t>
  </si>
  <si>
    <t>oprava strojů,přístrojů a zaříhení</t>
  </si>
  <si>
    <t>Autoprovoz</t>
  </si>
  <si>
    <t>malování, revize,ostatní</t>
  </si>
  <si>
    <t>Voda, plyn, topení</t>
  </si>
  <si>
    <t>malování,výtahy, drobné opravy</t>
  </si>
  <si>
    <t>oprava strojů,přístrojů</t>
  </si>
  <si>
    <t>práce instalatérké</t>
  </si>
  <si>
    <t>oprava stuny</t>
  </si>
  <si>
    <t>68+4</t>
  </si>
  <si>
    <t>- Město Třebíč</t>
  </si>
  <si>
    <t>polohovací masážní lehátko</t>
  </si>
  <si>
    <t>sněhová fréza</t>
  </si>
  <si>
    <t>bezdrátový tel. Systém</t>
  </si>
  <si>
    <t>polohovací masážní křeslo</t>
  </si>
  <si>
    <t>sušička na prádlo</t>
  </si>
  <si>
    <t>odvod zřizovatli</t>
  </si>
  <si>
    <t>myčka černého nádobí</t>
  </si>
  <si>
    <t>oprava elektroinstalace 6-9. NP</t>
  </si>
  <si>
    <t>revize EPS, výtahů,kotelny,el. Zařízení</t>
  </si>
  <si>
    <t>revize EPS,výtahů,kotelny,el.zařízení</t>
  </si>
  <si>
    <t>malování kuchyně a technické části DS</t>
  </si>
  <si>
    <t>oprava elektroinstalace v byt. Jádrech</t>
  </si>
  <si>
    <t>oprava vodovod.potrubí</t>
  </si>
  <si>
    <t xml:space="preserve">výměna oken </t>
  </si>
  <si>
    <t>výměna linolea v pokojích klientů</t>
  </si>
  <si>
    <t>výměna osvětlení na pokojích klientů</t>
  </si>
  <si>
    <t>bezbariérový přístup na chráněné bydlení</t>
  </si>
  <si>
    <t>Počet lůžek za rok 2007:</t>
  </si>
  <si>
    <t>x</t>
  </si>
  <si>
    <t>stoly do kuchyně</t>
  </si>
  <si>
    <t>televize</t>
  </si>
  <si>
    <t>oprava pokojů  / omítky,PVC,osvětlení /</t>
  </si>
  <si>
    <t>oprava IM</t>
  </si>
  <si>
    <t>běžná oprava</t>
  </si>
  <si>
    <t>oprava výtahu</t>
  </si>
  <si>
    <t>podlahy PVC, malování</t>
  </si>
  <si>
    <t>běžné oprava údržba</t>
  </si>
  <si>
    <t>ostatní opravy</t>
  </si>
  <si>
    <t>malování,PVCpodlahy, snížení stropů</t>
  </si>
  <si>
    <t>Ztráta</t>
  </si>
  <si>
    <t>SKUPINA CELKEM</t>
  </si>
  <si>
    <t>TARIF</t>
  </si>
  <si>
    <t>OSOBNÍ  PŘÍPLATEK</t>
  </si>
  <si>
    <t>ODMĚNY</t>
  </si>
  <si>
    <t>OSTATNÍ</t>
  </si>
  <si>
    <t>Název organizace</t>
  </si>
  <si>
    <t>přepočtený počet zaměstnanců</t>
  </si>
  <si>
    <t>průměrná mzda celkem</t>
  </si>
  <si>
    <t>třída</t>
  </si>
  <si>
    <t>stupeň</t>
  </si>
  <si>
    <t>% z prům. mzdy</t>
  </si>
  <si>
    <t>ostatní celkem</t>
  </si>
  <si>
    <t>Diagnostický ústav sociální péče Černovice</t>
  </si>
  <si>
    <t>Domov důchodců Humpolec</t>
  </si>
  <si>
    <t>Domov důchodců Onšov</t>
  </si>
  <si>
    <t>Domov důchodců Proseč u Pošné</t>
  </si>
  <si>
    <t>Domov důchodců Velký Újezd</t>
  </si>
  <si>
    <t>Domov důchodců Ždírec</t>
  </si>
  <si>
    <t>Domov pro seniory Mitrov</t>
  </si>
  <si>
    <t>Domov pro seniory Náměsť nad Oslavou</t>
  </si>
  <si>
    <t>Domov pro seniory Třebíč - Manž. Curieových</t>
  </si>
  <si>
    <t>Domov pro seniory Třebíč, Koutkova - Kubešova</t>
  </si>
  <si>
    <t>Domov pro seniory Velké Meziříčí</t>
  </si>
  <si>
    <t>Ústav sociální péče Ledeč nad Sázavou</t>
  </si>
  <si>
    <t>Ústav sociální péče Lidmaň</t>
  </si>
  <si>
    <t>Ústav sociální péče Nové Syrovice</t>
  </si>
  <si>
    <t>Ústav sociální péče pro mentálně postižené Těchobuz</t>
  </si>
  <si>
    <t>Součet / vážený průměr za domovy důchodců</t>
  </si>
  <si>
    <t>Součet / vážený průměr za ÚSP včetně DÚSP Černovice</t>
  </si>
  <si>
    <t>Součet / vážený průměr za ÚSP bez DÚSP Černovice</t>
  </si>
  <si>
    <t>Finanční plán 2008</t>
  </si>
  <si>
    <t>2007 - na zaměstnance</t>
  </si>
  <si>
    <t>KFO</t>
  </si>
  <si>
    <t>Kulturní akce (klienti)</t>
  </si>
  <si>
    <t xml:space="preserve"> KFO</t>
  </si>
  <si>
    <t xml:space="preserve">Psychocentrum - manž. a rod. poradna </t>
  </si>
  <si>
    <t>Oprava sušárny a podkrovních místností</t>
  </si>
  <si>
    <t>Výměna podlahových krytin - schodiště</t>
  </si>
  <si>
    <t xml:space="preserve">        ÚSP Těchobuz</t>
  </si>
  <si>
    <t xml:space="preserve">DD Humpolec </t>
  </si>
  <si>
    <t>- přefakturace, lůžka</t>
  </si>
  <si>
    <t>Náklady 2007 (bez přefakturace, lůžka)</t>
  </si>
  <si>
    <t>Opravy auta</t>
  </si>
  <si>
    <t>Opravy prádelna</t>
  </si>
  <si>
    <t>Opravy stravovací provoz</t>
  </si>
  <si>
    <t>Drobné provozní opravy</t>
  </si>
  <si>
    <t>Myčka nádobí (motomed)</t>
  </si>
  <si>
    <t>opravy:výměna podlahových krytin-schodiště</t>
  </si>
  <si>
    <t>opravy: výměna přípojky vodovodu</t>
  </si>
  <si>
    <t>Opravy: výměna přípojky vodovodu</t>
  </si>
  <si>
    <t>psycholog</t>
  </si>
  <si>
    <t>vychovatelé</t>
  </si>
  <si>
    <t>Rok 2008</t>
  </si>
  <si>
    <t>Potřeba navýšení (záporný VH)</t>
  </si>
  <si>
    <t>Dotace KrÚ</t>
  </si>
  <si>
    <t>Navýšení příspěvku na provoz</t>
  </si>
  <si>
    <t>Celkové navýšení příspěvku na provoz</t>
  </si>
  <si>
    <t>VH (po navýšení dotace)</t>
  </si>
  <si>
    <t>Údaje o dotacích roku 2007</t>
  </si>
  <si>
    <t>Prostředky na navýšení příspěvku na provoz</t>
  </si>
  <si>
    <t>Navýšená dotace snížená o odpisy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</si>
</sst>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@\ &quot;*&quot;"/>
    <numFmt numFmtId="172" formatCode="[$-1010409]###\ ###\ ###.00"/>
    <numFmt numFmtId="173" formatCode="[$-1010409]###\ ###\ ###"/>
    <numFmt numFmtId="174" formatCode="[$-1010409]#,##0.00#%"/>
    <numFmt numFmtId="175" formatCode="0.0%"/>
    <numFmt numFmtId="176" formatCode="0.000%"/>
  </numFmts>
  <fonts count="30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12"/>
      <name val="Times New Roman CE"/>
      <family val="1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"/>
      <family val="2"/>
    </font>
    <font>
      <sz val="12"/>
      <name val="Arial CE"/>
      <family val="2"/>
    </font>
    <font>
      <b/>
      <sz val="12"/>
      <name val="Arial"/>
      <family val="2"/>
    </font>
    <font>
      <sz val="10"/>
      <color indexed="9"/>
      <name val="Arial CE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 CE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2"/>
      <color indexed="16"/>
      <name val="Arial"/>
      <family val="2"/>
    </font>
    <font>
      <sz val="12"/>
      <color indexed="8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8" fillId="0" borderId="0">
      <alignment wrapText="1"/>
      <protection/>
    </xf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1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3" fontId="5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2" borderId="4" xfId="21" applyFont="1" applyFill="1" applyBorder="1" applyAlignment="1">
      <alignment horizontal="center" vertical="center"/>
      <protection/>
    </xf>
    <xf numFmtId="3" fontId="2" fillId="0" borderId="5" xfId="21" applyNumberFormat="1" applyFont="1" applyBorder="1" applyAlignment="1">
      <alignment horizontal="center" vertical="center"/>
      <protection/>
    </xf>
    <xf numFmtId="3" fontId="2" fillId="0" borderId="6" xfId="21" applyNumberFormat="1" applyFont="1" applyBorder="1" applyAlignment="1">
      <alignment horizontal="right" vertical="center"/>
      <protection/>
    </xf>
    <xf numFmtId="3" fontId="2" fillId="0" borderId="7" xfId="21" applyNumberFormat="1" applyFont="1" applyBorder="1" applyAlignment="1">
      <alignment horizontal="right" vertical="center"/>
      <protection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2" xfId="0" applyNumberFormat="1" applyFont="1" applyBorder="1" applyAlignment="1" quotePrefix="1">
      <alignment horizontal="center"/>
    </xf>
    <xf numFmtId="3" fontId="2" fillId="0" borderId="1" xfId="0" applyNumberFormat="1" applyFont="1" applyBorder="1" applyAlignment="1" quotePrefix="1">
      <alignment horizontal="center"/>
    </xf>
    <xf numFmtId="3" fontId="2" fillId="0" borderId="13" xfId="0" applyNumberFormat="1" applyFont="1" applyBorder="1" applyAlignment="1" quotePrefix="1">
      <alignment horizontal="center"/>
    </xf>
    <xf numFmtId="3" fontId="2" fillId="0" borderId="11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8" xfId="0" applyNumberFormat="1" applyFont="1" applyBorder="1" applyAlignment="1" quotePrefix="1">
      <alignment horizontal="center"/>
    </xf>
    <xf numFmtId="3" fontId="2" fillId="0" borderId="19" xfId="0" applyNumberFormat="1" applyFont="1" applyBorder="1" applyAlignment="1" quotePrefix="1">
      <alignment horizontal="center"/>
    </xf>
    <xf numFmtId="3" fontId="5" fillId="0" borderId="4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2" fillId="0" borderId="20" xfId="21" applyNumberFormat="1" applyFont="1" applyBorder="1" applyAlignment="1">
      <alignment horizontal="right" vertical="center"/>
      <protection/>
    </xf>
    <xf numFmtId="3" fontId="2" fillId="0" borderId="21" xfId="21" applyNumberFormat="1" applyFont="1" applyBorder="1" applyAlignment="1">
      <alignment horizontal="right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1" fontId="4" fillId="0" borderId="10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4" xfId="0" applyFont="1" applyBorder="1" applyAlignment="1">
      <alignment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3" fontId="4" fillId="0" borderId="29" xfId="0" applyNumberFormat="1" applyFont="1" applyBorder="1" applyAlignment="1">
      <alignment vertical="center" wrapText="1"/>
    </xf>
    <xf numFmtId="3" fontId="4" fillId="0" borderId="30" xfId="0" applyNumberFormat="1" applyFont="1" applyBorder="1" applyAlignment="1">
      <alignment vertical="center" wrapText="1"/>
    </xf>
    <xf numFmtId="3" fontId="4" fillId="0" borderId="31" xfId="0" applyNumberFormat="1" applyFont="1" applyBorder="1" applyAlignment="1">
      <alignment vertical="center" wrapText="1"/>
    </xf>
    <xf numFmtId="3" fontId="2" fillId="4" borderId="32" xfId="0" applyNumberFormat="1" applyFont="1" applyFill="1" applyBorder="1" applyAlignment="1">
      <alignment vertical="center" wrapText="1"/>
    </xf>
    <xf numFmtId="10" fontId="2" fillId="4" borderId="33" xfId="0" applyNumberFormat="1" applyFont="1" applyFill="1" applyBorder="1" applyAlignment="1">
      <alignment vertical="center" wrapText="1"/>
    </xf>
    <xf numFmtId="3" fontId="4" fillId="0" borderId="34" xfId="0" applyNumberFormat="1" applyFont="1" applyBorder="1" applyAlignment="1">
      <alignment vertical="center" wrapText="1"/>
    </xf>
    <xf numFmtId="10" fontId="2" fillId="4" borderId="35" xfId="0" applyNumberFormat="1" applyFont="1" applyFill="1" applyBorder="1" applyAlignment="1">
      <alignment vertical="center" wrapText="1"/>
    </xf>
    <xf numFmtId="0" fontId="4" fillId="0" borderId="32" xfId="0" applyFont="1" applyBorder="1" applyAlignment="1">
      <alignment horizontal="left" vertical="center" wrapText="1"/>
    </xf>
    <xf numFmtId="3" fontId="4" fillId="0" borderId="32" xfId="0" applyNumberFormat="1" applyFont="1" applyBorder="1" applyAlignment="1">
      <alignment vertical="center" wrapText="1"/>
    </xf>
    <xf numFmtId="3" fontId="4" fillId="0" borderId="36" xfId="0" applyNumberFormat="1" applyFont="1" applyBorder="1" applyAlignment="1">
      <alignment vertical="center" wrapText="1"/>
    </xf>
    <xf numFmtId="3" fontId="4" fillId="0" borderId="37" xfId="0" applyNumberFormat="1" applyFont="1" applyBorder="1" applyAlignment="1">
      <alignment vertical="center" wrapText="1"/>
    </xf>
    <xf numFmtId="0" fontId="5" fillId="0" borderId="32" xfId="0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3" fontId="2" fillId="4" borderId="24" xfId="0" applyNumberFormat="1" applyFont="1" applyFill="1" applyBorder="1" applyAlignment="1">
      <alignment vertical="center" wrapText="1"/>
    </xf>
    <xf numFmtId="10" fontId="2" fillId="4" borderId="27" xfId="0" applyNumberFormat="1" applyFont="1" applyFill="1" applyBorder="1" applyAlignment="1">
      <alignment vertical="center" wrapText="1"/>
    </xf>
    <xf numFmtId="10" fontId="2" fillId="4" borderId="26" xfId="0" applyNumberFormat="1" applyFont="1" applyFill="1" applyBorder="1" applyAlignment="1">
      <alignment vertical="center" wrapText="1"/>
    </xf>
    <xf numFmtId="0" fontId="2" fillId="3" borderId="38" xfId="0" applyFont="1" applyFill="1" applyBorder="1" applyAlignment="1">
      <alignment horizontal="left" vertical="center" wrapText="1"/>
    </xf>
    <xf numFmtId="3" fontId="2" fillId="3" borderId="38" xfId="0" applyNumberFormat="1" applyFont="1" applyFill="1" applyBorder="1" applyAlignment="1">
      <alignment vertical="center" wrapText="1"/>
    </xf>
    <xf numFmtId="3" fontId="2" fillId="3" borderId="39" xfId="0" applyNumberFormat="1" applyFont="1" applyFill="1" applyBorder="1" applyAlignment="1">
      <alignment vertical="center" wrapText="1"/>
    </xf>
    <xf numFmtId="3" fontId="2" fillId="3" borderId="40" xfId="0" applyNumberFormat="1" applyFont="1" applyFill="1" applyBorder="1" applyAlignment="1">
      <alignment vertical="center" wrapText="1"/>
    </xf>
    <xf numFmtId="3" fontId="2" fillId="4" borderId="38" xfId="0" applyNumberFormat="1" applyFont="1" applyFill="1" applyBorder="1" applyAlignment="1">
      <alignment vertical="center" wrapText="1"/>
    </xf>
    <xf numFmtId="10" fontId="2" fillId="4" borderId="39" xfId="0" applyNumberFormat="1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 wrapText="1"/>
    </xf>
    <xf numFmtId="10" fontId="2" fillId="4" borderId="40" xfId="0" applyNumberFormat="1" applyFont="1" applyFill="1" applyBorder="1" applyAlignment="1">
      <alignment vertical="center" wrapText="1"/>
    </xf>
    <xf numFmtId="0" fontId="4" fillId="0" borderId="42" xfId="0" applyFont="1" applyBorder="1" applyAlignment="1">
      <alignment horizontal="left" vertical="center" wrapText="1"/>
    </xf>
    <xf numFmtId="3" fontId="4" fillId="0" borderId="43" xfId="0" applyNumberFormat="1" applyFont="1" applyBorder="1" applyAlignment="1">
      <alignment vertical="center" wrapText="1"/>
    </xf>
    <xf numFmtId="3" fontId="2" fillId="4" borderId="29" xfId="0" applyNumberFormat="1" applyFont="1" applyFill="1" applyBorder="1" applyAlignment="1">
      <alignment vertical="center" wrapText="1"/>
    </xf>
    <xf numFmtId="10" fontId="2" fillId="4" borderId="44" xfId="0" applyNumberFormat="1" applyFont="1" applyFill="1" applyBorder="1" applyAlignment="1">
      <alignment vertical="center" wrapText="1"/>
    </xf>
    <xf numFmtId="3" fontId="4" fillId="0" borderId="45" xfId="0" applyNumberFormat="1" applyFont="1" applyBorder="1" applyAlignment="1">
      <alignment vertical="center" wrapText="1"/>
    </xf>
    <xf numFmtId="10" fontId="2" fillId="4" borderId="45" xfId="0" applyNumberFormat="1" applyFont="1" applyFill="1" applyBorder="1" applyAlignment="1">
      <alignment vertical="center" wrapText="1"/>
    </xf>
    <xf numFmtId="3" fontId="4" fillId="0" borderId="37" xfId="0" applyNumberFormat="1" applyFont="1" applyFill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3" fontId="4" fillId="0" borderId="36" xfId="0" applyNumberFormat="1" applyFont="1" applyFill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 wrapText="1"/>
    </xf>
    <xf numFmtId="3" fontId="2" fillId="4" borderId="47" xfId="0" applyNumberFormat="1" applyFont="1" applyFill="1" applyBorder="1" applyAlignment="1">
      <alignment vertical="center" wrapText="1"/>
    </xf>
    <xf numFmtId="10" fontId="2" fillId="4" borderId="48" xfId="0" applyNumberFormat="1" applyFont="1" applyFill="1" applyBorder="1" applyAlignment="1">
      <alignment vertical="center" wrapText="1"/>
    </xf>
    <xf numFmtId="0" fontId="6" fillId="3" borderId="38" xfId="0" applyFont="1" applyFill="1" applyBorder="1" applyAlignment="1">
      <alignment horizontal="left" vertical="center" wrapText="1"/>
    </xf>
    <xf numFmtId="3" fontId="6" fillId="0" borderId="45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2" fillId="0" borderId="45" xfId="0" applyNumberFormat="1" applyFont="1" applyBorder="1" applyAlignment="1">
      <alignment horizontal="right"/>
    </xf>
    <xf numFmtId="3" fontId="6" fillId="0" borderId="35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2" fillId="3" borderId="40" xfId="0" applyNumberFormat="1" applyFont="1" applyFill="1" applyBorder="1" applyAlignment="1">
      <alignment vertical="center"/>
    </xf>
    <xf numFmtId="3" fontId="6" fillId="0" borderId="44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2" fillId="0" borderId="35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/>
    </xf>
    <xf numFmtId="3" fontId="2" fillId="0" borderId="26" xfId="0" applyNumberFormat="1" applyFont="1" applyBorder="1" applyAlignment="1">
      <alignment horizontal="right"/>
    </xf>
    <xf numFmtId="3" fontId="6" fillId="0" borderId="49" xfId="0" applyNumberFormat="1" applyFont="1" applyBorder="1" applyAlignment="1">
      <alignment/>
    </xf>
    <xf numFmtId="3" fontId="2" fillId="0" borderId="50" xfId="0" applyNumberFormat="1" applyFont="1" applyBorder="1" applyAlignment="1">
      <alignment horizontal="right"/>
    </xf>
    <xf numFmtId="3" fontId="2" fillId="3" borderId="39" xfId="0" applyNumberFormat="1" applyFont="1" applyFill="1" applyBorder="1" applyAlignment="1">
      <alignment vertical="center"/>
    </xf>
    <xf numFmtId="0" fontId="2" fillId="3" borderId="36" xfId="0" applyFont="1" applyFill="1" applyBorder="1" applyAlignment="1">
      <alignment horizontal="center"/>
    </xf>
    <xf numFmtId="3" fontId="2" fillId="3" borderId="36" xfId="0" applyNumberFormat="1" applyFont="1" applyFill="1" applyBorder="1" applyAlignment="1">
      <alignment horizontal="center"/>
    </xf>
    <xf numFmtId="3" fontId="2" fillId="3" borderId="33" xfId="0" applyNumberFormat="1" applyFont="1" applyFill="1" applyBorder="1" applyAlignment="1">
      <alignment horizontal="center"/>
    </xf>
    <xf numFmtId="3" fontId="2" fillId="3" borderId="35" xfId="0" applyNumberFormat="1" applyFont="1" applyFill="1" applyBorder="1" applyAlignment="1">
      <alignment horizontal="center"/>
    </xf>
    <xf numFmtId="0" fontId="0" fillId="3" borderId="51" xfId="0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2" fillId="0" borderId="37" xfId="0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1" fontId="2" fillId="0" borderId="34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/>
    </xf>
    <xf numFmtId="3" fontId="2" fillId="0" borderId="54" xfId="0" applyNumberFormat="1" applyFont="1" applyBorder="1" applyAlignment="1">
      <alignment/>
    </xf>
    <xf numFmtId="0" fontId="2" fillId="0" borderId="51" xfId="0" applyFont="1" applyBorder="1" applyAlignment="1">
      <alignment/>
    </xf>
    <xf numFmtId="3" fontId="2" fillId="0" borderId="55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1" fontId="2" fillId="0" borderId="51" xfId="0" applyNumberFormat="1" applyFont="1" applyBorder="1" applyAlignment="1">
      <alignment horizontal="center"/>
    </xf>
    <xf numFmtId="3" fontId="2" fillId="0" borderId="55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0" fontId="6" fillId="3" borderId="36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wrapText="1"/>
    </xf>
    <xf numFmtId="4" fontId="6" fillId="0" borderId="36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4" fontId="6" fillId="0" borderId="37" xfId="0" applyNumberFormat="1" applyFont="1" applyBorder="1" applyAlignment="1">
      <alignment horizontal="right"/>
    </xf>
    <xf numFmtId="4" fontId="6" fillId="0" borderId="36" xfId="0" applyNumberFormat="1" applyFont="1" applyFill="1" applyBorder="1" applyAlignment="1">
      <alignment horizontal="right"/>
    </xf>
    <xf numFmtId="4" fontId="6" fillId="0" borderId="35" xfId="0" applyNumberFormat="1" applyFont="1" applyFill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0" fontId="6" fillId="0" borderId="51" xfId="0" applyFont="1" applyBorder="1" applyAlignment="1">
      <alignment wrapText="1"/>
    </xf>
    <xf numFmtId="4" fontId="6" fillId="0" borderId="52" xfId="0" applyNumberFormat="1" applyFont="1" applyBorder="1" applyAlignment="1">
      <alignment/>
    </xf>
    <xf numFmtId="4" fontId="6" fillId="0" borderId="53" xfId="0" applyNumberFormat="1" applyFont="1" applyBorder="1" applyAlignment="1">
      <alignment/>
    </xf>
    <xf numFmtId="4" fontId="6" fillId="0" borderId="51" xfId="0" applyNumberFormat="1" applyFont="1" applyBorder="1" applyAlignment="1">
      <alignment horizontal="right"/>
    </xf>
    <xf numFmtId="4" fontId="6" fillId="0" borderId="52" xfId="0" applyNumberFormat="1" applyFont="1" applyBorder="1" applyAlignment="1">
      <alignment horizontal="right"/>
    </xf>
    <xf numFmtId="4" fontId="6" fillId="0" borderId="53" xfId="0" applyNumberFormat="1" applyFont="1" applyFill="1" applyBorder="1" applyAlignment="1">
      <alignment horizontal="right"/>
    </xf>
    <xf numFmtId="3" fontId="4" fillId="0" borderId="56" xfId="0" applyNumberFormat="1" applyFont="1" applyBorder="1" applyAlignment="1">
      <alignment vertical="center" wrapText="1"/>
    </xf>
    <xf numFmtId="3" fontId="4" fillId="0" borderId="22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57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 quotePrefix="1">
      <alignment horizontal="right"/>
    </xf>
    <xf numFmtId="3" fontId="2" fillId="0" borderId="58" xfId="0" applyNumberFormat="1" applyFont="1" applyBorder="1" applyAlignment="1" quotePrefix="1">
      <alignment horizontal="center"/>
    </xf>
    <xf numFmtId="3" fontId="2" fillId="0" borderId="19" xfId="0" applyNumberFormat="1" applyFont="1" applyBorder="1" applyAlignment="1">
      <alignment/>
    </xf>
    <xf numFmtId="3" fontId="2" fillId="0" borderId="59" xfId="0" applyNumberFormat="1" applyFont="1" applyBorder="1" applyAlignment="1">
      <alignment/>
    </xf>
    <xf numFmtId="0" fontId="6" fillId="2" borderId="60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3" fontId="2" fillId="0" borderId="56" xfId="0" applyNumberFormat="1" applyFont="1" applyBorder="1" applyAlignment="1" quotePrefix="1">
      <alignment horizontal="center"/>
    </xf>
    <xf numFmtId="3" fontId="2" fillId="0" borderId="22" xfId="0" applyNumberFormat="1" applyFont="1" applyBorder="1" applyAlignment="1" quotePrefix="1">
      <alignment horizontal="center"/>
    </xf>
    <xf numFmtId="3" fontId="2" fillId="0" borderId="23" xfId="0" applyNumberFormat="1" applyFont="1" applyBorder="1" applyAlignment="1" quotePrefix="1">
      <alignment horizontal="center"/>
    </xf>
    <xf numFmtId="3" fontId="2" fillId="0" borderId="2" xfId="0" applyNumberFormat="1" applyFont="1" applyFill="1" applyBorder="1" applyAlignment="1" quotePrefix="1">
      <alignment horizontal="right"/>
    </xf>
    <xf numFmtId="3" fontId="2" fillId="0" borderId="3" xfId="0" applyNumberFormat="1" applyFont="1" applyBorder="1" applyAlignment="1" quotePrefix="1">
      <alignment horizontal="right"/>
    </xf>
    <xf numFmtId="0" fontId="2" fillId="3" borderId="63" xfId="0" applyFont="1" applyFill="1" applyBorder="1" applyAlignment="1">
      <alignment horizontal="left" vertical="center" wrapText="1"/>
    </xf>
    <xf numFmtId="0" fontId="4" fillId="3" borderId="64" xfId="0" applyFont="1" applyFill="1" applyBorder="1" applyAlignment="1">
      <alignment horizontal="center"/>
    </xf>
    <xf numFmtId="0" fontId="4" fillId="3" borderId="65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3" fontId="2" fillId="3" borderId="63" xfId="0" applyNumberFormat="1" applyFont="1" applyFill="1" applyBorder="1" applyAlignment="1">
      <alignment vertical="center" wrapText="1"/>
    </xf>
    <xf numFmtId="3" fontId="2" fillId="3" borderId="48" xfId="0" applyNumberFormat="1" applyFont="1" applyFill="1" applyBorder="1" applyAlignment="1">
      <alignment vertical="center" wrapText="1"/>
    </xf>
    <xf numFmtId="3" fontId="2" fillId="3" borderId="66" xfId="0" applyNumberFormat="1" applyFont="1" applyFill="1" applyBorder="1" applyAlignment="1">
      <alignment vertical="center" wrapText="1"/>
    </xf>
    <xf numFmtId="0" fontId="4" fillId="3" borderId="49" xfId="0" applyFont="1" applyFill="1" applyBorder="1" applyAlignment="1">
      <alignment horizontal="center"/>
    </xf>
    <xf numFmtId="3" fontId="2" fillId="4" borderId="63" xfId="0" applyNumberFormat="1" applyFont="1" applyFill="1" applyBorder="1" applyAlignment="1">
      <alignment vertical="center" wrapText="1"/>
    </xf>
    <xf numFmtId="3" fontId="2" fillId="4" borderId="56" xfId="0" applyNumberFormat="1" applyFont="1" applyFill="1" applyBorder="1" applyAlignment="1">
      <alignment vertical="center" wrapText="1"/>
    </xf>
    <xf numFmtId="10" fontId="2" fillId="4" borderId="23" xfId="0" applyNumberFormat="1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 wrapText="1"/>
    </xf>
    <xf numFmtId="10" fontId="2" fillId="4" borderId="3" xfId="0" applyNumberFormat="1" applyFont="1" applyFill="1" applyBorder="1" applyAlignment="1">
      <alignment vertical="center" wrapText="1"/>
    </xf>
    <xf numFmtId="10" fontId="2" fillId="4" borderId="57" xfId="0" applyNumberFormat="1" applyFont="1" applyFill="1" applyBorder="1" applyAlignment="1">
      <alignment vertical="center" wrapText="1"/>
    </xf>
    <xf numFmtId="10" fontId="2" fillId="4" borderId="15" xfId="0" applyNumberFormat="1" applyFont="1" applyFill="1" applyBorder="1" applyAlignment="1">
      <alignment vertical="center" wrapText="1"/>
    </xf>
    <xf numFmtId="0" fontId="4" fillId="3" borderId="67" xfId="0" applyFont="1" applyFill="1" applyBorder="1" applyAlignment="1">
      <alignment horizontal="center"/>
    </xf>
    <xf numFmtId="3" fontId="2" fillId="3" borderId="68" xfId="0" applyNumberFormat="1" applyFont="1" applyFill="1" applyBorder="1" applyAlignment="1">
      <alignment vertical="center" wrapText="1"/>
    </xf>
    <xf numFmtId="10" fontId="2" fillId="4" borderId="66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/>
    </xf>
    <xf numFmtId="3" fontId="6" fillId="0" borderId="69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3" fontId="6" fillId="0" borderId="72" xfId="0" applyNumberFormat="1" applyFont="1" applyBorder="1" applyAlignment="1">
      <alignment/>
    </xf>
    <xf numFmtId="3" fontId="2" fillId="3" borderId="73" xfId="0" applyNumberFormat="1" applyFont="1" applyFill="1" applyBorder="1" applyAlignment="1">
      <alignment vertical="center"/>
    </xf>
    <xf numFmtId="3" fontId="2" fillId="0" borderId="2" xfId="0" applyNumberFormat="1" applyFont="1" applyBorder="1" applyAlignment="1" quotePrefix="1">
      <alignment horizontal="right"/>
    </xf>
    <xf numFmtId="3" fontId="2" fillId="0" borderId="13" xfId="0" applyNumberFormat="1" applyFont="1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4" fillId="0" borderId="74" xfId="0" applyNumberFormat="1" applyFont="1" applyBorder="1" applyAlignment="1">
      <alignment vertical="center" wrapText="1"/>
    </xf>
    <xf numFmtId="3" fontId="4" fillId="0" borderId="75" xfId="0" applyNumberFormat="1" applyFont="1" applyBorder="1" applyAlignment="1">
      <alignment vertical="center" wrapText="1"/>
    </xf>
    <xf numFmtId="3" fontId="4" fillId="0" borderId="76" xfId="0" applyNumberFormat="1" applyFont="1" applyBorder="1" applyAlignment="1">
      <alignment vertical="center" wrapText="1"/>
    </xf>
    <xf numFmtId="3" fontId="2" fillId="4" borderId="74" xfId="0" applyNumberFormat="1" applyFont="1" applyFill="1" applyBorder="1" applyAlignment="1">
      <alignment vertical="center" wrapText="1"/>
    </xf>
    <xf numFmtId="10" fontId="2" fillId="4" borderId="54" xfId="0" applyNumberFormat="1" applyFont="1" applyFill="1" applyBorder="1" applyAlignment="1">
      <alignment vertical="center" wrapText="1"/>
    </xf>
    <xf numFmtId="3" fontId="4" fillId="0" borderId="33" xfId="0" applyNumberFormat="1" applyFont="1" applyBorder="1" applyAlignment="1">
      <alignment vertical="center" wrapText="1"/>
    </xf>
    <xf numFmtId="3" fontId="2" fillId="4" borderId="37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5" fillId="3" borderId="75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0" fillId="0" borderId="3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" fillId="3" borderId="52" xfId="21" applyFont="1" applyFill="1" applyBorder="1" applyAlignment="1">
      <alignment horizontal="center" vertical="center"/>
      <protection/>
    </xf>
    <xf numFmtId="0" fontId="2" fillId="3" borderId="53" xfId="21" applyFont="1" applyFill="1" applyBorder="1" applyAlignment="1">
      <alignment horizontal="center" vertical="center"/>
      <protection/>
    </xf>
    <xf numFmtId="3" fontId="5" fillId="0" borderId="36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2" fillId="0" borderId="46" xfId="21" applyNumberFormat="1" applyFont="1" applyBorder="1" applyAlignment="1">
      <alignment horizontal="center" vertical="center"/>
      <protection/>
    </xf>
    <xf numFmtId="3" fontId="2" fillId="0" borderId="55" xfId="21" applyNumberFormat="1" applyFont="1" applyBorder="1" applyAlignment="1">
      <alignment horizontal="right" vertical="center"/>
      <protection/>
    </xf>
    <xf numFmtId="3" fontId="2" fillId="0" borderId="48" xfId="21" applyNumberFormat="1" applyFont="1" applyBorder="1" applyAlignment="1">
      <alignment horizontal="right" vertical="center"/>
      <protection/>
    </xf>
    <xf numFmtId="3" fontId="2" fillId="0" borderId="77" xfId="21" applyNumberFormat="1" applyFont="1" applyBorder="1" applyAlignment="1">
      <alignment horizontal="right" vertical="center"/>
      <protection/>
    </xf>
    <xf numFmtId="1" fontId="4" fillId="0" borderId="66" xfId="0" applyNumberFormat="1" applyFont="1" applyBorder="1" applyAlignment="1">
      <alignment/>
    </xf>
    <xf numFmtId="3" fontId="2" fillId="0" borderId="53" xfId="21" applyNumberFormat="1" applyFont="1" applyBorder="1" applyAlignment="1">
      <alignment horizontal="right" vertical="center"/>
      <protection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3" borderId="68" xfId="0" applyFont="1" applyFill="1" applyBorder="1" applyAlignment="1">
      <alignment horizontal="center" vertical="center" wrapText="1"/>
    </xf>
    <xf numFmtId="0" fontId="6" fillId="3" borderId="78" xfId="0" applyFont="1" applyFill="1" applyBorder="1" applyAlignment="1">
      <alignment horizontal="center" vertical="center" wrapText="1"/>
    </xf>
    <xf numFmtId="0" fontId="6" fillId="3" borderId="66" xfId="0" applyFont="1" applyFill="1" applyBorder="1" applyAlignment="1">
      <alignment horizontal="center" vertical="center" wrapText="1"/>
    </xf>
    <xf numFmtId="0" fontId="6" fillId="3" borderId="65" xfId="0" applyFont="1" applyFill="1" applyBorder="1" applyAlignment="1">
      <alignment horizontal="center" vertical="center" wrapText="1"/>
    </xf>
    <xf numFmtId="0" fontId="6" fillId="3" borderId="79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0" borderId="80" xfId="0" applyFont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37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80" xfId="0" applyNumberFormat="1" applyFont="1" applyBorder="1" applyAlignment="1">
      <alignment/>
    </xf>
    <xf numFmtId="3" fontId="2" fillId="0" borderId="81" xfId="0" applyNumberFormat="1" applyFont="1" applyBorder="1" applyAlignment="1">
      <alignment horizontal="center"/>
    </xf>
    <xf numFmtId="3" fontId="2" fillId="0" borderId="74" xfId="0" applyNumberFormat="1" applyFont="1" applyBorder="1" applyAlignment="1">
      <alignment horizontal="center"/>
    </xf>
    <xf numFmtId="3" fontId="2" fillId="0" borderId="75" xfId="0" applyNumberFormat="1" applyFont="1" applyBorder="1" applyAlignment="1">
      <alignment horizontal="center"/>
    </xf>
    <xf numFmtId="3" fontId="2" fillId="0" borderId="54" xfId="0" applyNumberFormat="1" applyFont="1" applyBorder="1" applyAlignment="1">
      <alignment horizontal="center"/>
    </xf>
    <xf numFmtId="0" fontId="6" fillId="0" borderId="82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82" xfId="0" applyNumberFormat="1" applyFont="1" applyBorder="1" applyAlignment="1">
      <alignment/>
    </xf>
    <xf numFmtId="3" fontId="2" fillId="0" borderId="83" xfId="0" applyNumberFormat="1" applyFont="1" applyBorder="1" applyAlignment="1">
      <alignment/>
    </xf>
    <xf numFmtId="3" fontId="2" fillId="0" borderId="37" xfId="0" applyNumberFormat="1" applyFont="1" applyFill="1" applyBorder="1" applyAlignment="1">
      <alignment horizontal="right"/>
    </xf>
    <xf numFmtId="3" fontId="2" fillId="0" borderId="36" xfId="0" applyNumberFormat="1" applyFont="1" applyFill="1" applyBorder="1" applyAlignment="1">
      <alignment horizontal="right"/>
    </xf>
    <xf numFmtId="3" fontId="2" fillId="0" borderId="32" xfId="0" applyNumberFormat="1" applyFont="1" applyBorder="1" applyAlignment="1">
      <alignment horizontal="center"/>
    </xf>
    <xf numFmtId="3" fontId="2" fillId="0" borderId="83" xfId="0" applyNumberFormat="1" applyFont="1" applyBorder="1" applyAlignment="1">
      <alignment horizontal="center"/>
    </xf>
    <xf numFmtId="0" fontId="6" fillId="0" borderId="84" xfId="0" applyFont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84" xfId="0" applyNumberFormat="1" applyFont="1" applyBorder="1" applyAlignment="1">
      <alignment/>
    </xf>
    <xf numFmtId="3" fontId="2" fillId="0" borderId="85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3" fontId="2" fillId="0" borderId="13" xfId="0" applyNumberFormat="1" applyFont="1" applyBorder="1" applyAlignment="1">
      <alignment horizontal="center"/>
    </xf>
    <xf numFmtId="3" fontId="2" fillId="4" borderId="17" xfId="0" applyNumberFormat="1" applyFont="1" applyFill="1" applyBorder="1" applyAlignment="1">
      <alignment vertical="center" wrapText="1"/>
    </xf>
    <xf numFmtId="10" fontId="2" fillId="4" borderId="7" xfId="0" applyNumberFormat="1" applyFont="1" applyFill="1" applyBorder="1" applyAlignment="1">
      <alignment vertical="center" wrapText="1"/>
    </xf>
    <xf numFmtId="10" fontId="2" fillId="4" borderId="6" xfId="0" applyNumberFormat="1" applyFont="1" applyFill="1" applyBorder="1" applyAlignment="1">
      <alignment vertical="center" wrapText="1"/>
    </xf>
    <xf numFmtId="0" fontId="4" fillId="0" borderId="8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4" fillId="2" borderId="87" xfId="0" applyFont="1" applyFill="1" applyBorder="1" applyAlignment="1">
      <alignment horizontal="center" textRotation="90" wrapText="1"/>
    </xf>
    <xf numFmtId="0" fontId="15" fillId="0" borderId="0" xfId="0" applyFont="1" applyFill="1" applyAlignment="1">
      <alignment horizontal="center" vertical="center" textRotation="90"/>
    </xf>
    <xf numFmtId="3" fontId="15" fillId="0" borderId="56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167" fontId="14" fillId="0" borderId="56" xfId="0" applyNumberFormat="1" applyFont="1" applyFill="1" applyBorder="1" applyAlignment="1">
      <alignment/>
    </xf>
    <xf numFmtId="167" fontId="14" fillId="0" borderId="22" xfId="0" applyNumberFormat="1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3" fontId="15" fillId="0" borderId="1" xfId="0" applyNumberFormat="1" applyFont="1" applyFill="1" applyBorder="1" applyAlignment="1">
      <alignment/>
    </xf>
    <xf numFmtId="167" fontId="14" fillId="0" borderId="2" xfId="0" applyNumberFormat="1" applyFont="1" applyFill="1" applyBorder="1" applyAlignment="1">
      <alignment/>
    </xf>
    <xf numFmtId="167" fontId="14" fillId="0" borderId="1" xfId="0" applyNumberFormat="1" applyFont="1" applyFill="1" applyBorder="1" applyAlignment="1">
      <alignment/>
    </xf>
    <xf numFmtId="3" fontId="15" fillId="0" borderId="88" xfId="0" applyNumberFormat="1" applyFont="1" applyFill="1" applyBorder="1" applyAlignment="1">
      <alignment/>
    </xf>
    <xf numFmtId="3" fontId="15" fillId="0" borderId="89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0" fillId="0" borderId="0" xfId="0" applyNumberFormat="1" applyAlignment="1">
      <alignment/>
    </xf>
    <xf numFmtId="0" fontId="14" fillId="2" borderId="90" xfId="0" applyFont="1" applyFill="1" applyBorder="1" applyAlignment="1">
      <alignment horizontal="center" textRotation="90" wrapText="1"/>
    </xf>
    <xf numFmtId="0" fontId="14" fillId="2" borderId="91" xfId="0" applyFont="1" applyFill="1" applyBorder="1" applyAlignment="1">
      <alignment horizontal="center" textRotation="90" wrapText="1"/>
    </xf>
    <xf numFmtId="49" fontId="4" fillId="0" borderId="32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3" fontId="15" fillId="0" borderId="22" xfId="0" applyNumberFormat="1" applyFont="1" applyFill="1" applyBorder="1" applyAlignment="1">
      <alignment/>
    </xf>
    <xf numFmtId="3" fontId="15" fillId="0" borderId="1" xfId="0" applyNumberFormat="1" applyFont="1" applyFill="1" applyBorder="1" applyAlignment="1">
      <alignment/>
    </xf>
    <xf numFmtId="3" fontId="4" fillId="0" borderId="51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0" fontId="2" fillId="4" borderId="76" xfId="0" applyNumberFormat="1" applyFont="1" applyFill="1" applyBorder="1" applyAlignment="1">
      <alignment vertical="center" wrapText="1"/>
    </xf>
    <xf numFmtId="3" fontId="4" fillId="0" borderId="51" xfId="0" applyNumberFormat="1" applyFont="1" applyBorder="1" applyAlignment="1">
      <alignment vertical="center" wrapText="1"/>
    </xf>
    <xf numFmtId="3" fontId="4" fillId="0" borderId="52" xfId="0" applyNumberFormat="1" applyFont="1" applyBorder="1" applyAlignment="1">
      <alignment vertical="center" wrapText="1"/>
    </xf>
    <xf numFmtId="3" fontId="2" fillId="4" borderId="51" xfId="0" applyNumberFormat="1" applyFont="1" applyFill="1" applyBorder="1" applyAlignment="1">
      <alignment vertical="center" wrapText="1"/>
    </xf>
    <xf numFmtId="10" fontId="2" fillId="4" borderId="55" xfId="0" applyNumberFormat="1" applyFont="1" applyFill="1" applyBorder="1" applyAlignment="1">
      <alignment vertical="center" wrapText="1"/>
    </xf>
    <xf numFmtId="10" fontId="2" fillId="4" borderId="53" xfId="0" applyNumberFormat="1" applyFont="1" applyFill="1" applyBorder="1" applyAlignment="1">
      <alignment vertical="center" wrapText="1"/>
    </xf>
    <xf numFmtId="3" fontId="6" fillId="0" borderId="50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/>
    </xf>
    <xf numFmtId="3" fontId="2" fillId="0" borderId="18" xfId="0" applyNumberFormat="1" applyFont="1" applyBorder="1" applyAlignment="1" quotePrefix="1">
      <alignment horizontal="right"/>
    </xf>
    <xf numFmtId="0" fontId="14" fillId="2" borderId="27" xfId="0" applyFont="1" applyFill="1" applyBorder="1" applyAlignment="1">
      <alignment horizontal="left" wrapText="1"/>
    </xf>
    <xf numFmtId="0" fontId="14" fillId="2" borderId="90" xfId="0" applyFont="1" applyFill="1" applyBorder="1" applyAlignment="1">
      <alignment wrapText="1"/>
    </xf>
    <xf numFmtId="0" fontId="14" fillId="2" borderId="87" xfId="0" applyFont="1" applyFill="1" applyBorder="1" applyAlignment="1">
      <alignment wrapText="1"/>
    </xf>
    <xf numFmtId="0" fontId="14" fillId="2" borderId="91" xfId="0" applyFont="1" applyFill="1" applyBorder="1" applyAlignment="1">
      <alignment wrapText="1"/>
    </xf>
    <xf numFmtId="0" fontId="14" fillId="0" borderId="0" xfId="0" applyFont="1" applyAlignment="1">
      <alignment/>
    </xf>
    <xf numFmtId="0" fontId="14" fillId="2" borderId="92" xfId="0" applyFont="1" applyFill="1" applyBorder="1" applyAlignment="1">
      <alignment/>
    </xf>
    <xf numFmtId="3" fontId="14" fillId="0" borderId="93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3" fontId="14" fillId="0" borderId="23" xfId="0" applyNumberFormat="1" applyFont="1" applyBorder="1" applyAlignment="1">
      <alignment horizontal="right"/>
    </xf>
    <xf numFmtId="0" fontId="14" fillId="2" borderId="14" xfId="0" applyFont="1" applyFill="1" applyBorder="1" applyAlignment="1">
      <alignment/>
    </xf>
    <xf numFmtId="3" fontId="14" fillId="0" borderId="94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3" xfId="0" applyNumberFormat="1" applyFont="1" applyBorder="1" applyAlignment="1">
      <alignment horizontal="right"/>
    </xf>
    <xf numFmtId="0" fontId="14" fillId="2" borderId="95" xfId="0" applyFont="1" applyFill="1" applyBorder="1" applyAlignment="1">
      <alignment/>
    </xf>
    <xf numFmtId="3" fontId="14" fillId="0" borderId="96" xfId="0" applyNumberFormat="1" applyFont="1" applyBorder="1" applyAlignment="1">
      <alignment horizontal="right"/>
    </xf>
    <xf numFmtId="3" fontId="14" fillId="0" borderId="89" xfId="0" applyNumberFormat="1" applyFont="1" applyBorder="1" applyAlignment="1">
      <alignment horizontal="right"/>
    </xf>
    <xf numFmtId="3" fontId="14" fillId="0" borderId="97" xfId="0" applyNumberFormat="1" applyFont="1" applyBorder="1" applyAlignment="1">
      <alignment horizontal="right"/>
    </xf>
    <xf numFmtId="3" fontId="14" fillId="5" borderId="56" xfId="0" applyNumberFormat="1" applyFont="1" applyFill="1" applyBorder="1" applyAlignment="1">
      <alignment horizontal="right"/>
    </xf>
    <xf numFmtId="3" fontId="14" fillId="5" borderId="22" xfId="0" applyNumberFormat="1" applyFont="1" applyFill="1" applyBorder="1" applyAlignment="1">
      <alignment horizontal="right"/>
    </xf>
    <xf numFmtId="3" fontId="14" fillId="5" borderId="23" xfId="0" applyNumberFormat="1" applyFont="1" applyFill="1" applyBorder="1" applyAlignment="1">
      <alignment horizontal="right"/>
    </xf>
    <xf numFmtId="0" fontId="14" fillId="2" borderId="16" xfId="0" applyFont="1" applyFill="1" applyBorder="1" applyAlignment="1">
      <alignment/>
    </xf>
    <xf numFmtId="3" fontId="16" fillId="6" borderId="17" xfId="0" applyNumberFormat="1" applyFont="1" applyFill="1" applyBorder="1" applyAlignment="1">
      <alignment horizontal="right"/>
    </xf>
    <xf numFmtId="3" fontId="16" fillId="6" borderId="4" xfId="0" applyNumberFormat="1" applyFont="1" applyFill="1" applyBorder="1" applyAlignment="1">
      <alignment horizontal="right"/>
    </xf>
    <xf numFmtId="3" fontId="16" fillId="6" borderId="7" xfId="0" applyNumberFormat="1" applyFont="1" applyFill="1" applyBorder="1" applyAlignment="1">
      <alignment horizontal="right"/>
    </xf>
    <xf numFmtId="0" fontId="14" fillId="2" borderId="27" xfId="0" applyFont="1" applyFill="1" applyBorder="1" applyAlignment="1">
      <alignment/>
    </xf>
    <xf numFmtId="171" fontId="14" fillId="0" borderId="0" xfId="0" applyNumberFormat="1" applyFont="1" applyBorder="1" applyAlignment="1">
      <alignment/>
    </xf>
    <xf numFmtId="3" fontId="14" fillId="2" borderId="92" xfId="0" applyNumberFormat="1" applyFont="1" applyFill="1" applyBorder="1" applyAlignment="1">
      <alignment/>
    </xf>
    <xf numFmtId="0" fontId="14" fillId="0" borderId="0" xfId="0" applyNumberFormat="1" applyFont="1" applyBorder="1" applyAlignment="1">
      <alignment horizontal="right"/>
    </xf>
    <xf numFmtId="3" fontId="14" fillId="2" borderId="14" xfId="0" applyNumberFormat="1" applyFont="1" applyFill="1" applyBorder="1" applyAlignment="1">
      <alignment/>
    </xf>
    <xf numFmtId="3" fontId="14" fillId="2" borderId="16" xfId="0" applyNumberFormat="1" applyFont="1" applyFill="1" applyBorder="1" applyAlignment="1">
      <alignment/>
    </xf>
    <xf numFmtId="3" fontId="16" fillId="6" borderId="98" xfId="0" applyNumberFormat="1" applyFont="1" applyFill="1" applyBorder="1" applyAlignment="1">
      <alignment horizontal="right"/>
    </xf>
    <xf numFmtId="3" fontId="16" fillId="6" borderId="99" xfId="0" applyNumberFormat="1" applyFont="1" applyFill="1" applyBorder="1" applyAlignment="1">
      <alignment horizontal="right"/>
    </xf>
    <xf numFmtId="3" fontId="16" fillId="6" borderId="100" xfId="0" applyNumberFormat="1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4" fillId="2" borderId="27" xfId="0" applyFont="1" applyFill="1" applyBorder="1" applyAlignment="1">
      <alignment wrapText="1"/>
    </xf>
    <xf numFmtId="0" fontId="14" fillId="2" borderId="86" xfId="0" applyFont="1" applyFill="1" applyBorder="1" applyAlignment="1">
      <alignment/>
    </xf>
    <xf numFmtId="167" fontId="16" fillId="7" borderId="56" xfId="0" applyNumberFormat="1" applyFont="1" applyFill="1" applyBorder="1" applyAlignment="1">
      <alignment horizontal="right"/>
    </xf>
    <xf numFmtId="167" fontId="16" fillId="7" borderId="22" xfId="0" applyNumberFormat="1" applyFont="1" applyFill="1" applyBorder="1" applyAlignment="1">
      <alignment horizontal="right"/>
    </xf>
    <xf numFmtId="167" fontId="16" fillId="7" borderId="23" xfId="0" applyNumberFormat="1" applyFont="1" applyFill="1" applyBorder="1" applyAlignment="1">
      <alignment horizontal="right"/>
    </xf>
    <xf numFmtId="0" fontId="14" fillId="2" borderId="18" xfId="0" applyFont="1" applyFill="1" applyBorder="1" applyAlignment="1">
      <alignment/>
    </xf>
    <xf numFmtId="167" fontId="14" fillId="0" borderId="2" xfId="0" applyNumberFormat="1" applyFont="1" applyBorder="1" applyAlignment="1">
      <alignment horizontal="right"/>
    </xf>
    <xf numFmtId="167" fontId="14" fillId="0" borderId="1" xfId="0" applyNumberFormat="1" applyFont="1" applyBorder="1" applyAlignment="1">
      <alignment horizontal="right"/>
    </xf>
    <xf numFmtId="167" fontId="14" fillId="0" borderId="3" xfId="0" applyNumberFormat="1" applyFont="1" applyBorder="1" applyAlignment="1">
      <alignment horizontal="right"/>
    </xf>
    <xf numFmtId="167" fontId="16" fillId="7" borderId="2" xfId="0" applyNumberFormat="1" applyFont="1" applyFill="1" applyBorder="1" applyAlignment="1">
      <alignment horizontal="right"/>
    </xf>
    <xf numFmtId="167" fontId="16" fillId="7" borderId="1" xfId="0" applyNumberFormat="1" applyFont="1" applyFill="1" applyBorder="1" applyAlignment="1">
      <alignment horizontal="right"/>
    </xf>
    <xf numFmtId="167" fontId="16" fillId="7" borderId="3" xfId="0" applyNumberFormat="1" applyFont="1" applyFill="1" applyBorder="1" applyAlignment="1">
      <alignment horizontal="right"/>
    </xf>
    <xf numFmtId="0" fontId="14" fillId="2" borderId="5" xfId="0" applyFont="1" applyFill="1" applyBorder="1" applyAlignment="1">
      <alignment/>
    </xf>
    <xf numFmtId="167" fontId="14" fillId="0" borderId="17" xfId="0" applyNumberFormat="1" applyFont="1" applyBorder="1" applyAlignment="1">
      <alignment horizontal="right"/>
    </xf>
    <xf numFmtId="167" fontId="14" fillId="0" borderId="4" xfId="0" applyNumberFormat="1" applyFont="1" applyBorder="1" applyAlignment="1">
      <alignment horizontal="right"/>
    </xf>
    <xf numFmtId="167" fontId="14" fillId="0" borderId="7" xfId="0" applyNumberFormat="1" applyFont="1" applyBorder="1" applyAlignment="1">
      <alignment horizontal="right"/>
    </xf>
    <xf numFmtId="0" fontId="12" fillId="0" borderId="42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49" fontId="12" fillId="0" borderId="32" xfId="0" applyNumberFormat="1" applyFont="1" applyBorder="1" applyAlignment="1">
      <alignment horizontal="left" vertical="center" wrapText="1"/>
    </xf>
    <xf numFmtId="49" fontId="12" fillId="0" borderId="46" xfId="0" applyNumberFormat="1" applyFont="1" applyBorder="1" applyAlignment="1">
      <alignment horizontal="left" vertical="center" wrapText="1"/>
    </xf>
    <xf numFmtId="0" fontId="13" fillId="3" borderId="63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vertical="center" wrapText="1"/>
    </xf>
    <xf numFmtId="0" fontId="12" fillId="0" borderId="46" xfId="0" applyFont="1" applyBorder="1" applyAlignment="1">
      <alignment vertical="center" wrapText="1"/>
    </xf>
    <xf numFmtId="0" fontId="13" fillId="3" borderId="38" xfId="0" applyFont="1" applyFill="1" applyBorder="1" applyAlignment="1">
      <alignment horizontal="left" vertical="center" wrapText="1"/>
    </xf>
    <xf numFmtId="3" fontId="15" fillId="0" borderId="89" xfId="0" applyNumberFormat="1" applyFont="1" applyFill="1" applyBorder="1" applyAlignment="1">
      <alignment/>
    </xf>
    <xf numFmtId="3" fontId="1" fillId="7" borderId="8" xfId="0" applyNumberFormat="1" applyFont="1" applyFill="1" applyBorder="1" applyAlignment="1">
      <alignment horizontal="left"/>
    </xf>
    <xf numFmtId="3" fontId="1" fillId="7" borderId="21" xfId="0" applyNumberFormat="1" applyFont="1" applyFill="1" applyBorder="1" applyAlignment="1">
      <alignment horizontal="left"/>
    </xf>
    <xf numFmtId="3" fontId="1" fillId="7" borderId="10" xfId="0" applyNumberFormat="1" applyFont="1" applyFill="1" applyBorder="1" applyAlignment="1">
      <alignment horizontal="left"/>
    </xf>
    <xf numFmtId="3" fontId="15" fillId="0" borderId="101" xfId="0" applyNumberFormat="1" applyFont="1" applyFill="1" applyBorder="1" applyAlignment="1">
      <alignment/>
    </xf>
    <xf numFmtId="3" fontId="15" fillId="0" borderId="102" xfId="0" applyNumberFormat="1" applyFont="1" applyFill="1" applyBorder="1" applyAlignment="1">
      <alignment/>
    </xf>
    <xf numFmtId="3" fontId="15" fillId="0" borderId="102" xfId="0" applyNumberFormat="1" applyFont="1" applyFill="1" applyBorder="1" applyAlignment="1">
      <alignment/>
    </xf>
    <xf numFmtId="3" fontId="1" fillId="2" borderId="98" xfId="0" applyNumberFormat="1" applyFont="1" applyFill="1" applyBorder="1" applyAlignment="1">
      <alignment/>
    </xf>
    <xf numFmtId="3" fontId="1" fillId="2" borderId="99" xfId="0" applyNumberFormat="1" applyFont="1" applyFill="1" applyBorder="1" applyAlignment="1">
      <alignment/>
    </xf>
    <xf numFmtId="3" fontId="1" fillId="2" borderId="99" xfId="0" applyNumberFormat="1" applyFont="1" applyFill="1" applyBorder="1" applyAlignment="1">
      <alignment/>
    </xf>
    <xf numFmtId="3" fontId="1" fillId="2" borderId="100" xfId="0" applyNumberFormat="1" applyFont="1" applyFill="1" applyBorder="1" applyAlignment="1">
      <alignment/>
    </xf>
    <xf numFmtId="3" fontId="15" fillId="0" borderId="22" xfId="0" applyNumberFormat="1" applyFont="1" applyBorder="1" applyAlignment="1">
      <alignment vertical="center" wrapText="1"/>
    </xf>
    <xf numFmtId="3" fontId="15" fillId="0" borderId="1" xfId="0" applyNumberFormat="1" applyFont="1" applyBorder="1" applyAlignment="1">
      <alignment vertical="center" wrapText="1"/>
    </xf>
    <xf numFmtId="3" fontId="15" fillId="0" borderId="89" xfId="0" applyNumberFormat="1" applyFont="1" applyBorder="1" applyAlignment="1">
      <alignment vertical="center" wrapText="1"/>
    </xf>
    <xf numFmtId="3" fontId="15" fillId="0" borderId="102" xfId="0" applyNumberFormat="1" applyFont="1" applyBorder="1" applyAlignment="1">
      <alignment vertical="center" wrapText="1"/>
    </xf>
    <xf numFmtId="3" fontId="1" fillId="2" borderId="99" xfId="0" applyNumberFormat="1" applyFont="1" applyFill="1" applyBorder="1" applyAlignment="1">
      <alignment vertical="center" wrapText="1"/>
    </xf>
    <xf numFmtId="167" fontId="14" fillId="0" borderId="57" xfId="0" applyNumberFormat="1" applyFont="1" applyFill="1" applyBorder="1" applyAlignment="1">
      <alignment/>
    </xf>
    <xf numFmtId="167" fontId="14" fillId="0" borderId="15" xfId="0" applyNumberFormat="1" applyFont="1" applyFill="1" applyBorder="1" applyAlignment="1">
      <alignment/>
    </xf>
    <xf numFmtId="0" fontId="14" fillId="2" borderId="98" xfId="0" applyFont="1" applyFill="1" applyBorder="1" applyAlignment="1">
      <alignment horizontal="center" textRotation="90" wrapText="1"/>
    </xf>
    <xf numFmtId="0" fontId="14" fillId="2" borderId="99" xfId="0" applyFont="1" applyFill="1" applyBorder="1" applyAlignment="1">
      <alignment horizontal="center" textRotation="90" wrapText="1"/>
    </xf>
    <xf numFmtId="0" fontId="14" fillId="2" borderId="100" xfId="0" applyFont="1" applyFill="1" applyBorder="1" applyAlignment="1">
      <alignment horizontal="center" textRotation="90" wrapText="1"/>
    </xf>
    <xf numFmtId="3" fontId="15" fillId="0" borderId="4" xfId="0" applyNumberFormat="1" applyFont="1" applyFill="1" applyBorder="1" applyAlignment="1">
      <alignment/>
    </xf>
    <xf numFmtId="0" fontId="2" fillId="2" borderId="103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104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88" xfId="0" applyFont="1" applyFill="1" applyBorder="1" applyAlignment="1">
      <alignment vertical="top"/>
    </xf>
    <xf numFmtId="0" fontId="4" fillId="0" borderId="89" xfId="0" applyFont="1" applyFill="1" applyBorder="1" applyAlignment="1">
      <alignment vertical="top"/>
    </xf>
    <xf numFmtId="0" fontId="4" fillId="0" borderId="97" xfId="0" applyFont="1" applyFill="1" applyBorder="1" applyAlignment="1">
      <alignment vertical="top"/>
    </xf>
    <xf numFmtId="0" fontId="4" fillId="2" borderId="90" xfId="0" applyFont="1" applyFill="1" applyBorder="1" applyAlignment="1">
      <alignment vertical="top"/>
    </xf>
    <xf numFmtId="0" fontId="4" fillId="2" borderId="87" xfId="0" applyFont="1" applyFill="1" applyBorder="1" applyAlignment="1">
      <alignment vertical="top"/>
    </xf>
    <xf numFmtId="0" fontId="4" fillId="2" borderId="99" xfId="0" applyFont="1" applyFill="1" applyBorder="1" applyAlignment="1">
      <alignment vertical="top"/>
    </xf>
    <xf numFmtId="0" fontId="4" fillId="2" borderId="100" xfId="0" applyFont="1" applyFill="1" applyBorder="1" applyAlignment="1">
      <alignment vertical="top"/>
    </xf>
    <xf numFmtId="0" fontId="2" fillId="2" borderId="98" xfId="0" applyFont="1" applyFill="1" applyBorder="1" applyAlignment="1">
      <alignment vertical="top"/>
    </xf>
    <xf numFmtId="0" fontId="2" fillId="2" borderId="100" xfId="0" applyFont="1" applyFill="1" applyBorder="1" applyAlignment="1">
      <alignment vertical="top"/>
    </xf>
    <xf numFmtId="0" fontId="2" fillId="2" borderId="105" xfId="0" applyFont="1" applyFill="1" applyBorder="1" applyAlignment="1">
      <alignment vertical="top"/>
    </xf>
    <xf numFmtId="0" fontId="4" fillId="2" borderId="103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104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98" xfId="0" applyFont="1" applyFill="1" applyBorder="1" applyAlignment="1">
      <alignment vertical="top"/>
    </xf>
    <xf numFmtId="0" fontId="4" fillId="2" borderId="105" xfId="0" applyFont="1" applyFill="1" applyBorder="1" applyAlignment="1">
      <alignment vertical="top"/>
    </xf>
    <xf numFmtId="0" fontId="19" fillId="0" borderId="56" xfId="20" applyFill="1" applyBorder="1">
      <alignment vertical="top" wrapText="1"/>
      <protection/>
    </xf>
    <xf numFmtId="0" fontId="19" fillId="0" borderId="2" xfId="20" applyFill="1" applyBorder="1">
      <alignment vertical="top" wrapText="1"/>
      <protection/>
    </xf>
    <xf numFmtId="173" fontId="21" fillId="0" borderId="13" xfId="20" applyFill="1" applyBorder="1">
      <alignment horizontal="right" vertical="top" wrapText="1"/>
      <protection/>
    </xf>
    <xf numFmtId="173" fontId="21" fillId="0" borderId="3" xfId="20" applyFill="1" applyBorder="1">
      <alignment horizontal="right" vertical="top" wrapText="1"/>
      <protection/>
    </xf>
    <xf numFmtId="173" fontId="21" fillId="8" borderId="106" xfId="20" applyFill="1" applyBorder="1">
      <alignment horizontal="right" vertical="top" wrapText="1"/>
      <protection/>
    </xf>
    <xf numFmtId="0" fontId="19" fillId="0" borderId="101" xfId="20" applyFill="1" applyBorder="1">
      <alignment vertical="top" wrapText="1"/>
      <protection/>
    </xf>
    <xf numFmtId="0" fontId="19" fillId="0" borderId="18" xfId="20" applyFill="1" applyBorder="1">
      <alignment vertical="top" wrapText="1"/>
      <protection/>
    </xf>
    <xf numFmtId="0" fontId="19" fillId="0" borderId="5" xfId="20" applyFill="1" applyBorder="1">
      <alignment vertical="top" wrapText="1"/>
      <protection/>
    </xf>
    <xf numFmtId="0" fontId="13" fillId="2" borderId="107" xfId="0" applyFont="1" applyFill="1" applyBorder="1" applyAlignment="1">
      <alignment horizontal="center" vertical="center" wrapText="1"/>
    </xf>
    <xf numFmtId="167" fontId="15" fillId="0" borderId="56" xfId="0" applyNumberFormat="1" applyFont="1" applyBorder="1" applyAlignment="1">
      <alignment horizontal="right"/>
    </xf>
    <xf numFmtId="167" fontId="15" fillId="0" borderId="22" xfId="0" applyNumberFormat="1" applyFont="1" applyBorder="1" applyAlignment="1">
      <alignment horizontal="right"/>
    </xf>
    <xf numFmtId="167" fontId="15" fillId="0" borderId="23" xfId="0" applyNumberFormat="1" applyFont="1" applyBorder="1" applyAlignment="1">
      <alignment horizontal="right"/>
    </xf>
    <xf numFmtId="167" fontId="15" fillId="0" borderId="2" xfId="0" applyNumberFormat="1" applyFont="1" applyBorder="1" applyAlignment="1">
      <alignment horizontal="right"/>
    </xf>
    <xf numFmtId="167" fontId="15" fillId="0" borderId="1" xfId="0" applyNumberFormat="1" applyFont="1" applyBorder="1" applyAlignment="1">
      <alignment horizontal="right"/>
    </xf>
    <xf numFmtId="167" fontId="15" fillId="0" borderId="3" xfId="0" applyNumberFormat="1" applyFont="1" applyBorder="1" applyAlignment="1">
      <alignment horizontal="right"/>
    </xf>
    <xf numFmtId="167" fontId="15" fillId="0" borderId="88" xfId="0" applyNumberFormat="1" applyFont="1" applyBorder="1" applyAlignment="1">
      <alignment horizontal="right"/>
    </xf>
    <xf numFmtId="167" fontId="15" fillId="0" borderId="89" xfId="0" applyNumberFormat="1" applyFont="1" applyBorder="1" applyAlignment="1">
      <alignment horizontal="right"/>
    </xf>
    <xf numFmtId="167" fontId="15" fillId="0" borderId="97" xfId="0" applyNumberFormat="1" applyFont="1" applyBorder="1" applyAlignment="1">
      <alignment horizontal="right"/>
    </xf>
    <xf numFmtId="167" fontId="1" fillId="9" borderId="98" xfId="0" applyNumberFormat="1" applyFont="1" applyFill="1" applyBorder="1" applyAlignment="1">
      <alignment horizontal="right"/>
    </xf>
    <xf numFmtId="167" fontId="1" fillId="9" borderId="99" xfId="0" applyNumberFormat="1" applyFont="1" applyFill="1" applyBorder="1" applyAlignment="1">
      <alignment horizontal="right"/>
    </xf>
    <xf numFmtId="167" fontId="1" fillId="9" borderId="100" xfId="0" applyNumberFormat="1" applyFont="1" applyFill="1" applyBorder="1" applyAlignment="1">
      <alignment horizontal="right"/>
    </xf>
    <xf numFmtId="167" fontId="25" fillId="0" borderId="89" xfId="0" applyNumberFormat="1" applyFont="1" applyBorder="1" applyAlignment="1">
      <alignment horizontal="right"/>
    </xf>
    <xf numFmtId="3" fontId="26" fillId="0" borderId="89" xfId="0" applyNumberFormat="1" applyFont="1" applyBorder="1" applyAlignment="1">
      <alignment horizontal="right"/>
    </xf>
    <xf numFmtId="167" fontId="0" fillId="0" borderId="22" xfId="0" applyNumberForma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2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101" xfId="0" applyNumberFormat="1" applyFill="1" applyBorder="1" applyAlignment="1">
      <alignment horizontal="right"/>
    </xf>
    <xf numFmtId="3" fontId="0" fillId="0" borderId="102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0" fontId="3" fillId="2" borderId="22" xfId="0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/>
    </xf>
    <xf numFmtId="167" fontId="0" fillId="0" borderId="56" xfId="0" applyNumberFormat="1" applyFill="1" applyBorder="1" applyAlignment="1">
      <alignment/>
    </xf>
    <xf numFmtId="167" fontId="0" fillId="0" borderId="23" xfId="0" applyNumberFormat="1" applyFill="1" applyBorder="1" applyAlignment="1">
      <alignment/>
    </xf>
    <xf numFmtId="167" fontId="0" fillId="0" borderId="2" xfId="0" applyNumberFormat="1" applyFill="1" applyBorder="1" applyAlignment="1">
      <alignment/>
    </xf>
    <xf numFmtId="167" fontId="0" fillId="0" borderId="3" xfId="0" applyNumberFormat="1" applyFill="1" applyBorder="1" applyAlignment="1">
      <alignment/>
    </xf>
    <xf numFmtId="0" fontId="3" fillId="2" borderId="5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0" borderId="108" xfId="0" applyBorder="1" applyAlignment="1">
      <alignment/>
    </xf>
    <xf numFmtId="0" fontId="3" fillId="2" borderId="98" xfId="0" applyFont="1" applyFill="1" applyBorder="1" applyAlignment="1">
      <alignment horizontal="center" vertical="center"/>
    </xf>
    <xf numFmtId="0" fontId="3" fillId="2" borderId="99" xfId="0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/>
    </xf>
    <xf numFmtId="3" fontId="2" fillId="3" borderId="66" xfId="0" applyNumberFormat="1" applyFont="1" applyFill="1" applyBorder="1" applyAlignment="1">
      <alignment vertical="center"/>
    </xf>
    <xf numFmtId="3" fontId="0" fillId="0" borderId="88" xfId="0" applyNumberFormat="1" applyFill="1" applyBorder="1" applyAlignment="1">
      <alignment horizontal="right"/>
    </xf>
    <xf numFmtId="3" fontId="0" fillId="0" borderId="89" xfId="0" applyNumberFormat="1" applyFill="1" applyBorder="1" applyAlignment="1">
      <alignment horizontal="right"/>
    </xf>
    <xf numFmtId="3" fontId="0" fillId="0" borderId="97" xfId="0" applyNumberFormat="1" applyFill="1" applyBorder="1" applyAlignment="1">
      <alignment horizontal="right"/>
    </xf>
    <xf numFmtId="167" fontId="0" fillId="0" borderId="88" xfId="0" applyNumberFormat="1" applyFill="1" applyBorder="1" applyAlignment="1">
      <alignment/>
    </xf>
    <xf numFmtId="167" fontId="0" fillId="0" borderId="89" xfId="0" applyNumberFormat="1" applyFill="1" applyBorder="1" applyAlignment="1">
      <alignment/>
    </xf>
    <xf numFmtId="167" fontId="0" fillId="0" borderId="97" xfId="0" applyNumberFormat="1" applyFill="1" applyBorder="1" applyAlignment="1">
      <alignment/>
    </xf>
    <xf numFmtId="3" fontId="0" fillId="0" borderId="98" xfId="0" applyNumberFormat="1" applyBorder="1" applyAlignment="1">
      <alignment/>
    </xf>
    <xf numFmtId="3" fontId="0" fillId="0" borderId="99" xfId="0" applyNumberFormat="1" applyBorder="1" applyAlignment="1">
      <alignment/>
    </xf>
    <xf numFmtId="3" fontId="0" fillId="0" borderId="100" xfId="0" applyNumberFormat="1" applyBorder="1" applyAlignment="1">
      <alignment/>
    </xf>
    <xf numFmtId="2" fontId="15" fillId="0" borderId="87" xfId="0" applyNumberFormat="1" applyFont="1" applyBorder="1" applyAlignment="1">
      <alignment/>
    </xf>
    <xf numFmtId="0" fontId="13" fillId="2" borderId="92" xfId="0" applyFont="1" applyFill="1" applyBorder="1" applyAlignment="1">
      <alignment/>
    </xf>
    <xf numFmtId="0" fontId="13" fillId="2" borderId="16" xfId="0" applyFont="1" applyFill="1" applyBorder="1" applyAlignment="1">
      <alignment/>
    </xf>
    <xf numFmtId="0" fontId="15" fillId="0" borderId="87" xfId="0" applyFont="1" applyBorder="1" applyAlignment="1">
      <alignment/>
    </xf>
    <xf numFmtId="3" fontId="15" fillId="0" borderId="93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3" fontId="15" fillId="0" borderId="109" xfId="0" applyNumberFormat="1" applyFont="1" applyBorder="1" applyAlignment="1">
      <alignment wrapText="1"/>
    </xf>
    <xf numFmtId="3" fontId="15" fillId="0" borderId="4" xfId="0" applyNumberFormat="1" applyFont="1" applyBorder="1" applyAlignment="1">
      <alignment wrapText="1"/>
    </xf>
    <xf numFmtId="3" fontId="15" fillId="0" borderId="22" xfId="0" applyNumberFormat="1" applyFont="1" applyBorder="1" applyAlignment="1">
      <alignment/>
    </xf>
    <xf numFmtId="3" fontId="15" fillId="0" borderId="4" xfId="0" applyNumberFormat="1" applyFont="1" applyBorder="1" applyAlignment="1">
      <alignment/>
    </xf>
    <xf numFmtId="2" fontId="17" fillId="0" borderId="0" xfId="0" applyNumberFormat="1" applyFont="1" applyAlignment="1">
      <alignment/>
    </xf>
    <xf numFmtId="3" fontId="15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175" fontId="23" fillId="0" borderId="100" xfId="20" applyNumberFormat="1" applyFont="1" applyFill="1" applyBorder="1">
      <alignment horizontal="right" vertical="top" wrapText="1"/>
      <protection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3" fontId="15" fillId="0" borderId="57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3" fontId="15" fillId="0" borderId="113" xfId="0" applyNumberFormat="1" applyFont="1" applyFill="1" applyBorder="1" applyAlignment="1">
      <alignment/>
    </xf>
    <xf numFmtId="3" fontId="1" fillId="2" borderId="114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" fillId="7" borderId="20" xfId="0" applyNumberFormat="1" applyFont="1" applyFill="1" applyBorder="1" applyAlignment="1">
      <alignment horizontal="left"/>
    </xf>
    <xf numFmtId="0" fontId="14" fillId="2" borderId="115" xfId="0" applyFont="1" applyFill="1" applyBorder="1" applyAlignment="1">
      <alignment horizontal="center" textRotation="90" wrapText="1"/>
    </xf>
    <xf numFmtId="0" fontId="14" fillId="2" borderId="116" xfId="0" applyFont="1" applyFill="1" applyBorder="1" applyAlignment="1">
      <alignment horizontal="center" textRotation="90" wrapText="1"/>
    </xf>
    <xf numFmtId="3" fontId="1" fillId="5" borderId="92" xfId="0" applyNumberFormat="1" applyFont="1" applyFill="1" applyBorder="1" applyAlignment="1">
      <alignment/>
    </xf>
    <xf numFmtId="3" fontId="1" fillId="5" borderId="14" xfId="0" applyNumberFormat="1" applyFont="1" applyFill="1" applyBorder="1" applyAlignment="1">
      <alignment/>
    </xf>
    <xf numFmtId="3" fontId="1" fillId="5" borderId="95" xfId="0" applyNumberFormat="1" applyFont="1" applyFill="1" applyBorder="1" applyAlignment="1">
      <alignment/>
    </xf>
    <xf numFmtId="3" fontId="1" fillId="5" borderId="11" xfId="0" applyNumberFormat="1" applyFont="1" applyFill="1" applyBorder="1" applyAlignment="1">
      <alignment/>
    </xf>
    <xf numFmtId="3" fontId="1" fillId="2" borderId="116" xfId="0" applyNumberFormat="1" applyFont="1" applyFill="1" applyBorder="1" applyAlignment="1">
      <alignment/>
    </xf>
    <xf numFmtId="3" fontId="1" fillId="7" borderId="116" xfId="0" applyNumberFormat="1" applyFont="1" applyFill="1" applyBorder="1" applyAlignment="1">
      <alignment horizontal="left"/>
    </xf>
    <xf numFmtId="3" fontId="1" fillId="6" borderId="92" xfId="0" applyNumberFormat="1" applyFont="1" applyFill="1" applyBorder="1" applyAlignment="1">
      <alignment/>
    </xf>
    <xf numFmtId="3" fontId="1" fillId="6" borderId="14" xfId="0" applyNumberFormat="1" applyFont="1" applyFill="1" applyBorder="1" applyAlignment="1">
      <alignment/>
    </xf>
    <xf numFmtId="0" fontId="15" fillId="0" borderId="115" xfId="0" applyFont="1" applyBorder="1" applyAlignment="1">
      <alignment/>
    </xf>
    <xf numFmtId="3" fontId="15" fillId="0" borderId="57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15" fillId="0" borderId="6" xfId="0" applyNumberFormat="1" applyFont="1" applyBorder="1" applyAlignment="1">
      <alignment/>
    </xf>
    <xf numFmtId="3" fontId="1" fillId="5" borderId="92" xfId="0" applyNumberFormat="1" applyFont="1" applyFill="1" applyBorder="1" applyAlignment="1">
      <alignment/>
    </xf>
    <xf numFmtId="3" fontId="1" fillId="5" borderId="16" xfId="0" applyNumberFormat="1" applyFont="1" applyFill="1" applyBorder="1" applyAlignment="1">
      <alignment/>
    </xf>
    <xf numFmtId="0" fontId="14" fillId="2" borderId="117" xfId="0" applyFont="1" applyFill="1" applyBorder="1" applyAlignment="1">
      <alignment horizontal="center" textRotation="90" wrapText="1"/>
    </xf>
    <xf numFmtId="3" fontId="1" fillId="2" borderId="118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7" borderId="116" xfId="0" applyNumberFormat="1" applyFont="1" applyFill="1" applyBorder="1" applyAlignment="1">
      <alignment/>
    </xf>
    <xf numFmtId="2" fontId="15" fillId="0" borderId="115" xfId="0" applyNumberFormat="1" applyFont="1" applyBorder="1" applyAlignment="1">
      <alignment/>
    </xf>
    <xf numFmtId="3" fontId="15" fillId="0" borderId="57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15" fillId="0" borderId="6" xfId="0" applyNumberFormat="1" applyFont="1" applyBorder="1" applyAlignment="1">
      <alignment/>
    </xf>
    <xf numFmtId="0" fontId="15" fillId="0" borderId="119" xfId="0" applyFont="1" applyBorder="1" applyAlignment="1">
      <alignment/>
    </xf>
    <xf numFmtId="3" fontId="15" fillId="0" borderId="93" xfId="0" applyNumberFormat="1" applyFont="1" applyBorder="1" applyAlignment="1">
      <alignment/>
    </xf>
    <xf numFmtId="3" fontId="15" fillId="0" borderId="94" xfId="0" applyNumberFormat="1" applyFont="1" applyBorder="1" applyAlignment="1">
      <alignment/>
    </xf>
    <xf numFmtId="3" fontId="15" fillId="0" borderId="109" xfId="0" applyNumberFormat="1" applyFont="1" applyBorder="1" applyAlignment="1">
      <alignment/>
    </xf>
    <xf numFmtId="3" fontId="1" fillId="5" borderId="117" xfId="0" applyNumberFormat="1" applyFont="1" applyFill="1" applyBorder="1" applyAlignment="1">
      <alignment/>
    </xf>
    <xf numFmtId="3" fontId="1" fillId="5" borderId="14" xfId="0" applyNumberFormat="1" applyFont="1" applyFill="1" applyBorder="1" applyAlignment="1">
      <alignment/>
    </xf>
    <xf numFmtId="3" fontId="1" fillId="5" borderId="86" xfId="0" applyNumberFormat="1" applyFont="1" applyFill="1" applyBorder="1" applyAlignment="1">
      <alignment/>
    </xf>
    <xf numFmtId="3" fontId="1" fillId="5" borderId="18" xfId="0" applyNumberFormat="1" applyFont="1" applyFill="1" applyBorder="1" applyAlignment="1">
      <alignment/>
    </xf>
    <xf numFmtId="3" fontId="1" fillId="5" borderId="5" xfId="0" applyNumberFormat="1" applyFont="1" applyFill="1" applyBorder="1" applyAlignment="1">
      <alignment/>
    </xf>
    <xf numFmtId="3" fontId="1" fillId="6" borderId="16" xfId="0" applyNumberFormat="1" applyFont="1" applyFill="1" applyBorder="1" applyAlignment="1">
      <alignment/>
    </xf>
    <xf numFmtId="3" fontId="1" fillId="6" borderId="120" xfId="0" applyNumberFormat="1" applyFont="1" applyFill="1" applyBorder="1" applyAlignment="1">
      <alignment/>
    </xf>
    <xf numFmtId="167" fontId="16" fillId="7" borderId="102" xfId="0" applyNumberFormat="1" applyFont="1" applyFill="1" applyBorder="1" applyAlignment="1">
      <alignment horizontal="right"/>
    </xf>
    <xf numFmtId="167" fontId="14" fillId="0" borderId="88" xfId="0" applyNumberFormat="1" applyFont="1" applyFill="1" applyBorder="1" applyAlignment="1">
      <alignment/>
    </xf>
    <xf numFmtId="167" fontId="14" fillId="0" borderId="89" xfId="0" applyNumberFormat="1" applyFont="1" applyFill="1" applyBorder="1" applyAlignment="1">
      <alignment/>
    </xf>
    <xf numFmtId="167" fontId="14" fillId="0" borderId="113" xfId="0" applyNumberFormat="1" applyFont="1" applyFill="1" applyBorder="1" applyAlignment="1">
      <alignment/>
    </xf>
    <xf numFmtId="167" fontId="14" fillId="2" borderId="98" xfId="0" applyNumberFormat="1" applyFont="1" applyFill="1" applyBorder="1" applyAlignment="1">
      <alignment/>
    </xf>
    <xf numFmtId="167" fontId="14" fillId="2" borderId="99" xfId="0" applyNumberFormat="1" applyFont="1" applyFill="1" applyBorder="1" applyAlignment="1">
      <alignment/>
    </xf>
    <xf numFmtId="167" fontId="14" fillId="2" borderId="114" xfId="0" applyNumberFormat="1" applyFont="1" applyFill="1" applyBorder="1" applyAlignment="1">
      <alignment/>
    </xf>
    <xf numFmtId="167" fontId="16" fillId="2" borderId="116" xfId="0" applyNumberFormat="1" applyFont="1" applyFill="1" applyBorder="1" applyAlignment="1">
      <alignment/>
    </xf>
    <xf numFmtId="167" fontId="14" fillId="0" borderId="101" xfId="0" applyNumberFormat="1" applyFont="1" applyFill="1" applyBorder="1" applyAlignment="1">
      <alignment/>
    </xf>
    <xf numFmtId="167" fontId="14" fillId="0" borderId="102" xfId="0" applyNumberFormat="1" applyFont="1" applyFill="1" applyBorder="1" applyAlignment="1">
      <alignment/>
    </xf>
    <xf numFmtId="167" fontId="14" fillId="0" borderId="12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67" fontId="16" fillId="7" borderId="57" xfId="0" applyNumberFormat="1" applyFont="1" applyFill="1" applyBorder="1" applyAlignment="1">
      <alignment horizontal="right"/>
    </xf>
    <xf numFmtId="167" fontId="14" fillId="0" borderId="15" xfId="0" applyNumberFormat="1" applyFont="1" applyBorder="1" applyAlignment="1">
      <alignment horizontal="right"/>
    </xf>
    <xf numFmtId="167" fontId="16" fillId="7" borderId="15" xfId="0" applyNumberFormat="1" applyFont="1" applyFill="1" applyBorder="1" applyAlignment="1">
      <alignment horizontal="right"/>
    </xf>
    <xf numFmtId="167" fontId="14" fillId="0" borderId="6" xfId="0" applyNumberFormat="1" applyFont="1" applyBorder="1" applyAlignment="1">
      <alignment horizontal="right"/>
    </xf>
    <xf numFmtId="167" fontId="16" fillId="7" borderId="93" xfId="0" applyNumberFormat="1" applyFont="1" applyFill="1" applyBorder="1" applyAlignment="1">
      <alignment horizontal="right"/>
    </xf>
    <xf numFmtId="167" fontId="14" fillId="0" borderId="94" xfId="0" applyNumberFormat="1" applyFont="1" applyBorder="1" applyAlignment="1">
      <alignment horizontal="right"/>
    </xf>
    <xf numFmtId="167" fontId="16" fillId="7" borderId="94" xfId="0" applyNumberFormat="1" applyFont="1" applyFill="1" applyBorder="1" applyAlignment="1">
      <alignment horizontal="right"/>
    </xf>
    <xf numFmtId="167" fontId="14" fillId="0" borderId="109" xfId="0" applyNumberFormat="1" applyFont="1" applyBorder="1" applyAlignment="1">
      <alignment horizontal="right"/>
    </xf>
    <xf numFmtId="167" fontId="16" fillId="5" borderId="92" xfId="0" applyNumberFormat="1" applyFont="1" applyFill="1" applyBorder="1" applyAlignment="1">
      <alignment/>
    </xf>
    <xf numFmtId="167" fontId="16" fillId="5" borderId="14" xfId="0" applyNumberFormat="1" applyFont="1" applyFill="1" applyBorder="1" applyAlignment="1">
      <alignment/>
    </xf>
    <xf numFmtId="167" fontId="16" fillId="5" borderId="95" xfId="0" applyNumberFormat="1" applyFont="1" applyFill="1" applyBorder="1" applyAlignment="1">
      <alignment/>
    </xf>
    <xf numFmtId="167" fontId="16" fillId="5" borderId="11" xfId="0" applyNumberFormat="1" applyFont="1" applyFill="1" applyBorder="1" applyAlignment="1">
      <alignment/>
    </xf>
    <xf numFmtId="167" fontId="16" fillId="5" borderId="92" xfId="0" applyNumberFormat="1" applyFont="1" applyFill="1" applyBorder="1" applyAlignment="1">
      <alignment horizontal="right"/>
    </xf>
    <xf numFmtId="167" fontId="16" fillId="5" borderId="14" xfId="0" applyNumberFormat="1" applyFont="1" applyFill="1" applyBorder="1" applyAlignment="1">
      <alignment horizontal="right"/>
    </xf>
    <xf numFmtId="167" fontId="16" fillId="5" borderId="16" xfId="0" applyNumberFormat="1" applyFont="1" applyFill="1" applyBorder="1" applyAlignment="1">
      <alignment horizontal="right"/>
    </xf>
    <xf numFmtId="2" fontId="15" fillId="0" borderId="119" xfId="0" applyNumberFormat="1" applyFont="1" applyBorder="1" applyAlignment="1">
      <alignment/>
    </xf>
    <xf numFmtId="3" fontId="15" fillId="0" borderId="94" xfId="0" applyNumberFormat="1" applyFont="1" applyBorder="1" applyAlignment="1">
      <alignment/>
    </xf>
    <xf numFmtId="0" fontId="13" fillId="2" borderId="117" xfId="0" applyFont="1" applyFill="1" applyBorder="1" applyAlignment="1">
      <alignment/>
    </xf>
    <xf numFmtId="49" fontId="13" fillId="2" borderId="14" xfId="0" applyNumberFormat="1" applyFont="1" applyFill="1" applyBorder="1" applyAlignment="1">
      <alignment/>
    </xf>
    <xf numFmtId="0" fontId="13" fillId="2" borderId="14" xfId="0" applyFont="1" applyFill="1" applyBorder="1" applyAlignment="1">
      <alignment wrapText="1"/>
    </xf>
    <xf numFmtId="0" fontId="14" fillId="2" borderId="121" xfId="0" applyFont="1" applyFill="1" applyBorder="1" applyAlignment="1">
      <alignment horizontal="center" textRotation="90" wrapText="1"/>
    </xf>
    <xf numFmtId="167" fontId="16" fillId="7" borderId="122" xfId="0" applyNumberFormat="1" applyFont="1" applyFill="1" applyBorder="1" applyAlignment="1">
      <alignment horizontal="right"/>
    </xf>
    <xf numFmtId="0" fontId="13" fillId="2" borderId="107" xfId="0" applyFont="1" applyFill="1" applyBorder="1" applyAlignment="1">
      <alignment horizontal="center" vertical="center" wrapText="1"/>
    </xf>
    <xf numFmtId="3" fontId="6" fillId="0" borderId="57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6" fillId="0" borderId="37" xfId="20" applyFont="1" applyBorder="1" applyAlignment="1">
      <alignment wrapText="1"/>
      <protection/>
    </xf>
    <xf numFmtId="4" fontId="6" fillId="0" borderId="36" xfId="20" applyNumberFormat="1" applyFont="1" applyBorder="1">
      <alignment wrapText="1"/>
      <protection/>
    </xf>
    <xf numFmtId="4" fontId="6" fillId="0" borderId="35" xfId="20" applyNumberFormat="1" applyFont="1" applyBorder="1">
      <alignment wrapText="1"/>
      <protection/>
    </xf>
    <xf numFmtId="4" fontId="6" fillId="0" borderId="37" xfId="20" applyNumberFormat="1" applyFont="1" applyBorder="1" applyAlignment="1">
      <alignment horizontal="right"/>
      <protection/>
    </xf>
    <xf numFmtId="4" fontId="6" fillId="0" borderId="36" xfId="20" applyNumberFormat="1" applyFont="1" applyFill="1" applyBorder="1" applyAlignment="1">
      <alignment horizontal="right"/>
      <protection/>
    </xf>
    <xf numFmtId="4" fontId="6" fillId="0" borderId="35" xfId="20" applyNumberFormat="1" applyFont="1" applyFill="1" applyBorder="1" applyAlignment="1">
      <alignment horizontal="right"/>
      <protection/>
    </xf>
    <xf numFmtId="4" fontId="6" fillId="0" borderId="36" xfId="20" applyNumberFormat="1" applyFont="1" applyBorder="1" applyAlignment="1">
      <alignment horizontal="right"/>
      <protection/>
    </xf>
    <xf numFmtId="0" fontId="6" fillId="0" borderId="51" xfId="20" applyFont="1" applyBorder="1" applyAlignment="1">
      <alignment wrapText="1"/>
      <protection/>
    </xf>
    <xf numFmtId="4" fontId="6" fillId="0" borderId="52" xfId="20" applyNumberFormat="1" applyFont="1" applyBorder="1">
      <alignment wrapText="1"/>
      <protection/>
    </xf>
    <xf numFmtId="4" fontId="6" fillId="0" borderId="53" xfId="20" applyNumberFormat="1" applyFont="1" applyBorder="1">
      <alignment wrapText="1"/>
      <protection/>
    </xf>
    <xf numFmtId="4" fontId="6" fillId="0" borderId="51" xfId="20" applyNumberFormat="1" applyFont="1" applyBorder="1" applyAlignment="1">
      <alignment horizontal="right"/>
      <protection/>
    </xf>
    <xf numFmtId="4" fontId="6" fillId="0" borderId="52" xfId="20" applyNumberFormat="1" applyFont="1" applyBorder="1" applyAlignment="1">
      <alignment horizontal="right"/>
      <protection/>
    </xf>
    <xf numFmtId="4" fontId="6" fillId="0" borderId="53" xfId="20" applyNumberFormat="1" applyFont="1" applyFill="1" applyBorder="1" applyAlignment="1">
      <alignment horizontal="right"/>
      <protection/>
    </xf>
    <xf numFmtId="3" fontId="14" fillId="0" borderId="22" xfId="0" applyNumberFormat="1" applyFont="1" applyBorder="1" applyAlignment="1">
      <alignment/>
    </xf>
    <xf numFmtId="3" fontId="14" fillId="9" borderId="23" xfId="0" applyNumberFormat="1" applyFont="1" applyFill="1" applyBorder="1" applyAlignment="1">
      <alignment/>
    </xf>
    <xf numFmtId="3" fontId="14" fillId="0" borderId="1" xfId="0" applyNumberFormat="1" applyFont="1" applyBorder="1" applyAlignment="1">
      <alignment/>
    </xf>
    <xf numFmtId="3" fontId="14" fillId="0" borderId="89" xfId="0" applyNumberFormat="1" applyFont="1" applyBorder="1" applyAlignment="1">
      <alignment/>
    </xf>
    <xf numFmtId="3" fontId="14" fillId="0" borderId="99" xfId="0" applyNumberFormat="1" applyFont="1" applyBorder="1" applyAlignment="1">
      <alignment/>
    </xf>
    <xf numFmtId="3" fontId="14" fillId="9" borderId="99" xfId="0" applyNumberFormat="1" applyFont="1" applyFill="1" applyBorder="1" applyAlignment="1">
      <alignment/>
    </xf>
    <xf numFmtId="3" fontId="14" fillId="9" borderId="100" xfId="0" applyNumberFormat="1" applyFont="1" applyFill="1" applyBorder="1" applyAlignment="1">
      <alignment/>
    </xf>
    <xf numFmtId="0" fontId="14" fillId="0" borderId="0" xfId="0" applyFont="1" applyAlignment="1">
      <alignment/>
    </xf>
    <xf numFmtId="3" fontId="28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6" fillId="10" borderId="99" xfId="0" applyNumberFormat="1" applyFont="1" applyFill="1" applyBorder="1" applyAlignment="1">
      <alignment/>
    </xf>
    <xf numFmtId="0" fontId="14" fillId="0" borderId="87" xfId="0" applyFont="1" applyBorder="1" applyAlignment="1">
      <alignment/>
    </xf>
    <xf numFmtId="0" fontId="14" fillId="9" borderId="87" xfId="0" applyFont="1" applyFill="1" applyBorder="1" applyAlignment="1">
      <alignment/>
    </xf>
    <xf numFmtId="0" fontId="14" fillId="9" borderId="99" xfId="0" applyFont="1" applyFill="1" applyBorder="1" applyAlignment="1">
      <alignment/>
    </xf>
    <xf numFmtId="0" fontId="14" fillId="9" borderId="100" xfId="0" applyFont="1" applyFill="1" applyBorder="1" applyAlignment="1">
      <alignment/>
    </xf>
    <xf numFmtId="0" fontId="16" fillId="0" borderId="98" xfId="0" applyFont="1" applyBorder="1" applyAlignment="1">
      <alignment/>
    </xf>
    <xf numFmtId="0" fontId="16" fillId="0" borderId="99" xfId="0" applyFont="1" applyBorder="1" applyAlignment="1">
      <alignment/>
    </xf>
    <xf numFmtId="0" fontId="16" fillId="9" borderId="99" xfId="0" applyFont="1" applyFill="1" applyBorder="1" applyAlignment="1">
      <alignment/>
    </xf>
    <xf numFmtId="0" fontId="16" fillId="0" borderId="100" xfId="0" applyFont="1" applyBorder="1" applyAlignment="1">
      <alignment/>
    </xf>
    <xf numFmtId="0" fontId="16" fillId="9" borderId="121" xfId="0" applyFont="1" applyFill="1" applyBorder="1" applyAlignment="1">
      <alignment/>
    </xf>
    <xf numFmtId="0" fontId="16" fillId="9" borderId="100" xfId="0" applyFont="1" applyFill="1" applyBorder="1" applyAlignment="1">
      <alignment/>
    </xf>
    <xf numFmtId="3" fontId="14" fillId="0" borderId="98" xfId="0" applyNumberFormat="1" applyFont="1" applyBorder="1" applyAlignment="1">
      <alignment/>
    </xf>
    <xf numFmtId="3" fontId="14" fillId="5" borderId="99" xfId="0" applyNumberFormat="1" applyFont="1" applyFill="1" applyBorder="1" applyAlignment="1">
      <alignment/>
    </xf>
    <xf numFmtId="3" fontId="14" fillId="0" borderId="100" xfId="0" applyNumberFormat="1" applyFont="1" applyBorder="1" applyAlignment="1">
      <alignment/>
    </xf>
    <xf numFmtId="0" fontId="14" fillId="0" borderId="0" xfId="0" applyFont="1" applyFill="1" applyAlignment="1">
      <alignment/>
    </xf>
    <xf numFmtId="3" fontId="14" fillId="7" borderId="99" xfId="0" applyNumberFormat="1" applyFont="1" applyFill="1" applyBorder="1" applyAlignment="1">
      <alignment/>
    </xf>
    <xf numFmtId="3" fontId="14" fillId="7" borderId="100" xfId="0" applyNumberFormat="1" applyFont="1" applyFill="1" applyBorder="1" applyAlignment="1">
      <alignment/>
    </xf>
    <xf numFmtId="3" fontId="14" fillId="0" borderId="23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0" fontId="14" fillId="2" borderId="119" xfId="0" applyFont="1" applyFill="1" applyBorder="1" applyAlignment="1">
      <alignment horizontal="center" textRotation="90" wrapText="1"/>
    </xf>
    <xf numFmtId="0" fontId="1" fillId="2" borderId="116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" fillId="2" borderId="117" xfId="0" applyFont="1" applyFill="1" applyBorder="1" applyAlignment="1">
      <alignment horizontal="center" vertical="center" wrapText="1"/>
    </xf>
    <xf numFmtId="0" fontId="16" fillId="2" borderId="123" xfId="0" applyFont="1" applyFill="1" applyBorder="1" applyAlignment="1">
      <alignment horizontal="center" vertical="center" wrapText="1"/>
    </xf>
    <xf numFmtId="0" fontId="14" fillId="2" borderId="56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4" fillId="2" borderId="88" xfId="0" applyFont="1" applyFill="1" applyBorder="1" applyAlignment="1">
      <alignment/>
    </xf>
    <xf numFmtId="0" fontId="14" fillId="2" borderId="98" xfId="0" applyFont="1" applyFill="1" applyBorder="1" applyAlignment="1">
      <alignment/>
    </xf>
    <xf numFmtId="0" fontId="14" fillId="2" borderId="17" xfId="0" applyFont="1" applyFill="1" applyBorder="1" applyAlignment="1">
      <alignment/>
    </xf>
    <xf numFmtId="0" fontId="14" fillId="0" borderId="98" xfId="0" applyFont="1" applyBorder="1" applyAlignment="1">
      <alignment/>
    </xf>
    <xf numFmtId="0" fontId="14" fillId="7" borderId="98" xfId="0" applyFont="1" applyFill="1" applyBorder="1" applyAlignment="1">
      <alignment/>
    </xf>
    <xf numFmtId="49" fontId="14" fillId="2" borderId="92" xfId="0" applyNumberFormat="1" applyFont="1" applyFill="1" applyBorder="1" applyAlignment="1">
      <alignment/>
    </xf>
    <xf numFmtId="49" fontId="14" fillId="2" borderId="14" xfId="0" applyNumberFormat="1" applyFont="1" applyFill="1" applyBorder="1" applyAlignment="1">
      <alignment/>
    </xf>
    <xf numFmtId="49" fontId="14" fillId="2" borderId="16" xfId="0" applyNumberFormat="1" applyFont="1" applyFill="1" applyBorder="1" applyAlignment="1">
      <alignment/>
    </xf>
    <xf numFmtId="3" fontId="14" fillId="0" borderId="93" xfId="0" applyNumberFormat="1" applyFont="1" applyBorder="1" applyAlignment="1">
      <alignment/>
    </xf>
    <xf numFmtId="3" fontId="14" fillId="0" borderId="57" xfId="0" applyNumberFormat="1" applyFont="1" applyBorder="1" applyAlignment="1">
      <alignment/>
    </xf>
    <xf numFmtId="3" fontId="16" fillId="5" borderId="92" xfId="0" applyNumberFormat="1" applyFont="1" applyFill="1" applyBorder="1" applyAlignment="1">
      <alignment/>
    </xf>
    <xf numFmtId="3" fontId="14" fillId="5" borderId="92" xfId="0" applyNumberFormat="1" applyFont="1" applyFill="1" applyBorder="1" applyAlignment="1">
      <alignment/>
    </xf>
    <xf numFmtId="3" fontId="14" fillId="0" borderId="92" xfId="0" applyNumberFormat="1" applyFont="1" applyBorder="1" applyAlignment="1">
      <alignment/>
    </xf>
    <xf numFmtId="3" fontId="14" fillId="0" borderId="96" xfId="0" applyNumberFormat="1" applyFont="1" applyBorder="1" applyAlignment="1">
      <alignment/>
    </xf>
    <xf numFmtId="3" fontId="14" fillId="0" borderId="113" xfId="0" applyNumberFormat="1" applyFont="1" applyBorder="1" applyAlignment="1">
      <alignment/>
    </xf>
    <xf numFmtId="3" fontId="16" fillId="5" borderId="95" xfId="0" applyNumberFormat="1" applyFont="1" applyFill="1" applyBorder="1" applyAlignment="1">
      <alignment/>
    </xf>
    <xf numFmtId="3" fontId="14" fillId="5" borderId="14" xfId="0" applyNumberFormat="1" applyFont="1" applyFill="1" applyBorder="1" applyAlignment="1">
      <alignment/>
    </xf>
    <xf numFmtId="3" fontId="14" fillId="0" borderId="95" xfId="0" applyNumberFormat="1" applyFont="1" applyBorder="1" applyAlignment="1">
      <alignment/>
    </xf>
    <xf numFmtId="0" fontId="14" fillId="0" borderId="8" xfId="0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114" xfId="0" applyNumberFormat="1" applyFont="1" applyBorder="1" applyAlignment="1">
      <alignment/>
    </xf>
    <xf numFmtId="3" fontId="14" fillId="0" borderId="94" xfId="0" applyNumberFormat="1" applyFont="1" applyBorder="1" applyAlignment="1">
      <alignment/>
    </xf>
    <xf numFmtId="3" fontId="14" fillId="0" borderId="121" xfId="0" applyNumberFormat="1" applyFont="1" applyBorder="1" applyAlignment="1">
      <alignment/>
    </xf>
    <xf numFmtId="3" fontId="14" fillId="9" borderId="92" xfId="0" applyNumberFormat="1" applyFont="1" applyFill="1" applyBorder="1" applyAlignment="1">
      <alignment/>
    </xf>
    <xf numFmtId="3" fontId="14" fillId="9" borderId="14" xfId="0" applyNumberFormat="1" applyFont="1" applyFill="1" applyBorder="1" applyAlignment="1">
      <alignment/>
    </xf>
    <xf numFmtId="3" fontId="14" fillId="9" borderId="16" xfId="0" applyNumberFormat="1" applyFont="1" applyFill="1" applyBorder="1" applyAlignment="1">
      <alignment/>
    </xf>
    <xf numFmtId="3" fontId="14" fillId="9" borderId="124" xfId="0" applyNumberFormat="1" applyFont="1" applyFill="1" applyBorder="1" applyAlignment="1">
      <alignment/>
    </xf>
    <xf numFmtId="3" fontId="14" fillId="9" borderId="56" xfId="0" applyNumberFormat="1" applyFont="1" applyFill="1" applyBorder="1" applyAlignment="1">
      <alignment/>
    </xf>
    <xf numFmtId="3" fontId="14" fillId="9" borderId="2" xfId="0" applyNumberFormat="1" applyFont="1" applyFill="1" applyBorder="1" applyAlignment="1">
      <alignment/>
    </xf>
    <xf numFmtId="3" fontId="14" fillId="9" borderId="3" xfId="0" applyNumberFormat="1" applyFont="1" applyFill="1" applyBorder="1" applyAlignment="1">
      <alignment/>
    </xf>
    <xf numFmtId="3" fontId="14" fillId="9" borderId="17" xfId="0" applyNumberFormat="1" applyFont="1" applyFill="1" applyBorder="1" applyAlignment="1">
      <alignment/>
    </xf>
    <xf numFmtId="3" fontId="14" fillId="9" borderId="7" xfId="0" applyNumberFormat="1" applyFont="1" applyFill="1" applyBorder="1" applyAlignment="1">
      <alignment/>
    </xf>
    <xf numFmtId="3" fontId="14" fillId="9" borderId="8" xfId="0" applyNumberFormat="1" applyFont="1" applyFill="1" applyBorder="1" applyAlignment="1">
      <alignment/>
    </xf>
    <xf numFmtId="3" fontId="14" fillId="9" borderId="10" xfId="0" applyNumberFormat="1" applyFont="1" applyFill="1" applyBorder="1" applyAlignment="1">
      <alignment/>
    </xf>
    <xf numFmtId="3" fontId="14" fillId="7" borderId="98" xfId="0" applyNumberFormat="1" applyFont="1" applyFill="1" applyBorder="1" applyAlignment="1">
      <alignment/>
    </xf>
    <xf numFmtId="3" fontId="14" fillId="7" borderId="121" xfId="0" applyNumberFormat="1" applyFont="1" applyFill="1" applyBorder="1" applyAlignment="1">
      <alignment/>
    </xf>
    <xf numFmtId="3" fontId="14" fillId="7" borderId="125" xfId="0" applyNumberFormat="1" applyFont="1" applyFill="1" applyBorder="1" applyAlignment="1">
      <alignment/>
    </xf>
    <xf numFmtId="3" fontId="16" fillId="5" borderId="116" xfId="0" applyNumberFormat="1" applyFont="1" applyFill="1" applyBorder="1" applyAlignment="1">
      <alignment/>
    </xf>
    <xf numFmtId="3" fontId="14" fillId="5" borderId="16" xfId="0" applyNumberFormat="1" applyFont="1" applyFill="1" applyBorder="1" applyAlignment="1">
      <alignment/>
    </xf>
    <xf numFmtId="3" fontId="14" fillId="7" borderId="116" xfId="0" applyNumberFormat="1" applyFont="1" applyFill="1" applyBorder="1" applyAlignment="1">
      <alignment/>
    </xf>
    <xf numFmtId="173" fontId="24" fillId="5" borderId="22" xfId="20" applyFont="1" applyFill="1" applyBorder="1">
      <alignment horizontal="right" vertical="top" wrapText="1"/>
      <protection/>
    </xf>
    <xf numFmtId="172" fontId="23" fillId="0" borderId="89" xfId="20" applyFont="1" applyFill="1" applyBorder="1">
      <alignment horizontal="right" vertical="top" wrapText="1"/>
      <protection/>
    </xf>
    <xf numFmtId="0" fontId="22" fillId="2" borderId="17" xfId="20" applyFont="1" applyFill="1" applyBorder="1">
      <alignment horizontal="right" vertical="top" wrapText="1"/>
      <protection/>
    </xf>
    <xf numFmtId="3" fontId="29" fillId="0" borderId="2" xfId="0" applyNumberFormat="1" applyFont="1" applyFill="1" applyBorder="1" applyAlignment="1">
      <alignment/>
    </xf>
    <xf numFmtId="3" fontId="29" fillId="0" borderId="1" xfId="0" applyNumberFormat="1" applyFont="1" applyFill="1" applyBorder="1" applyAlignment="1">
      <alignment/>
    </xf>
    <xf numFmtId="3" fontId="29" fillId="0" borderId="15" xfId="0" applyNumberFormat="1" applyFont="1" applyFill="1" applyBorder="1" applyAlignment="1">
      <alignment/>
    </xf>
    <xf numFmtId="3" fontId="29" fillId="0" borderId="1" xfId="0" applyNumberFormat="1" applyFont="1" applyBorder="1" applyAlignment="1">
      <alignment wrapText="1"/>
    </xf>
    <xf numFmtId="3" fontId="1" fillId="5" borderId="18" xfId="0" applyNumberFormat="1" applyFont="1" applyFill="1" applyBorder="1" applyAlignment="1">
      <alignment/>
    </xf>
    <xf numFmtId="3" fontId="1" fillId="6" borderId="14" xfId="0" applyNumberFormat="1" applyFont="1" applyFill="1" applyBorder="1" applyAlignment="1">
      <alignment/>
    </xf>
    <xf numFmtId="10" fontId="14" fillId="0" borderId="7" xfId="0" applyNumberFormat="1" applyFont="1" applyBorder="1" applyAlignment="1">
      <alignment/>
    </xf>
    <xf numFmtId="172" fontId="23" fillId="5" borderId="22" xfId="20" applyFont="1" applyFill="1" applyBorder="1">
      <alignment horizontal="right" vertical="top" wrapText="1"/>
      <protection/>
    </xf>
    <xf numFmtId="175" fontId="23" fillId="5" borderId="22" xfId="20" applyNumberFormat="1" applyFont="1" applyFill="1" applyBorder="1">
      <alignment horizontal="right" vertical="top" wrapText="1"/>
      <protection/>
    </xf>
    <xf numFmtId="172" fontId="23" fillId="5" borderId="99" xfId="20" applyFont="1" applyFill="1" applyBorder="1">
      <alignment horizontal="right" vertical="top" wrapText="1"/>
      <protection/>
    </xf>
    <xf numFmtId="175" fontId="23" fillId="5" borderId="99" xfId="20" applyNumberFormat="1" applyFont="1" applyFill="1" applyBorder="1">
      <alignment horizontal="right" vertical="top" wrapText="1"/>
      <protection/>
    </xf>
    <xf numFmtId="173" fontId="24" fillId="5" borderId="99" xfId="20" applyFont="1" applyFill="1" applyBorder="1">
      <alignment horizontal="right" vertical="top" wrapText="1"/>
      <protection/>
    </xf>
    <xf numFmtId="172" fontId="23" fillId="0" borderId="98" xfId="20" applyFont="1" applyFill="1" applyBorder="1">
      <alignment horizontal="right" vertical="top" wrapText="1"/>
      <protection/>
    </xf>
    <xf numFmtId="173" fontId="23" fillId="0" borderId="99" xfId="20" applyFont="1" applyFill="1" applyBorder="1">
      <alignment horizontal="right" vertical="top" wrapText="1"/>
      <protection/>
    </xf>
    <xf numFmtId="173" fontId="24" fillId="5" borderId="4" xfId="20" applyFont="1" applyFill="1" applyBorder="1">
      <alignment horizontal="right" vertical="top" wrapText="1"/>
      <protection/>
    </xf>
    <xf numFmtId="175" fontId="23" fillId="5" borderId="4" xfId="20" applyNumberFormat="1" applyFont="1" applyFill="1" applyBorder="1">
      <alignment horizontal="right" vertical="top" wrapText="1"/>
      <protection/>
    </xf>
    <xf numFmtId="175" fontId="23" fillId="5" borderId="7" xfId="20" applyNumberFormat="1" applyFont="1" applyFill="1" applyBorder="1">
      <alignment horizontal="right" vertical="top" wrapText="1"/>
      <protection/>
    </xf>
    <xf numFmtId="172" fontId="23" fillId="5" borderId="4" xfId="20" applyFont="1" applyFill="1" applyBorder="1">
      <alignment horizontal="right" vertical="top" wrapText="1"/>
      <protection/>
    </xf>
    <xf numFmtId="0" fontId="14" fillId="2" borderId="107" xfId="0" applyFont="1" applyFill="1" applyBorder="1" applyAlignment="1">
      <alignment wrapText="1"/>
    </xf>
    <xf numFmtId="175" fontId="14" fillId="0" borderId="4" xfId="0" applyNumberFormat="1" applyFont="1" applyBorder="1" applyAlignment="1">
      <alignment/>
    </xf>
    <xf numFmtId="175" fontId="14" fillId="0" borderId="7" xfId="0" applyNumberFormat="1" applyFont="1" applyBorder="1" applyAlignment="1">
      <alignment/>
    </xf>
    <xf numFmtId="175" fontId="14" fillId="0" borderId="109" xfId="0" applyNumberFormat="1" applyFont="1" applyBorder="1" applyAlignment="1">
      <alignment/>
    </xf>
    <xf numFmtId="0" fontId="14" fillId="2" borderId="92" xfId="0" applyFont="1" applyFill="1" applyBorder="1" applyAlignment="1">
      <alignment/>
    </xf>
    <xf numFmtId="0" fontId="14" fillId="2" borderId="16" xfId="0" applyFont="1" applyFill="1" applyBorder="1" applyAlignment="1">
      <alignment/>
    </xf>
    <xf numFmtId="0" fontId="0" fillId="0" borderId="107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25" xfId="0" applyBorder="1" applyAlignment="1">
      <alignment/>
    </xf>
    <xf numFmtId="0" fontId="0" fillId="0" borderId="105" xfId="0" applyBorder="1" applyAlignment="1">
      <alignment/>
    </xf>
    <xf numFmtId="0" fontId="14" fillId="2" borderId="107" xfId="0" applyFont="1" applyFill="1" applyBorder="1" applyAlignment="1">
      <alignment wrapText="1"/>
    </xf>
    <xf numFmtId="0" fontId="14" fillId="2" borderId="105" xfId="0" applyFont="1" applyFill="1" applyBorder="1" applyAlignment="1">
      <alignment wrapText="1"/>
    </xf>
    <xf numFmtId="173" fontId="24" fillId="0" borderId="99" xfId="20" applyFont="1" applyFill="1" applyBorder="1">
      <alignment horizontal="right" vertical="top" wrapText="1"/>
      <protection/>
    </xf>
    <xf numFmtId="175" fontId="23" fillId="0" borderId="99" xfId="20" applyNumberFormat="1" applyFont="1" applyFill="1" applyBorder="1">
      <alignment horizontal="right" vertical="top" wrapText="1"/>
      <protection/>
    </xf>
    <xf numFmtId="172" fontId="23" fillId="0" borderId="99" xfId="20" applyFont="1" applyFill="1" applyBorder="1">
      <alignment horizontal="right" vertical="top" wrapText="1"/>
      <protection/>
    </xf>
    <xf numFmtId="0" fontId="22" fillId="2" borderId="4" xfId="20" applyFont="1" applyFill="1" applyBorder="1">
      <alignment horizontal="right" vertical="top" wrapText="1"/>
      <protection/>
    </xf>
    <xf numFmtId="173" fontId="23" fillId="5" borderId="4" xfId="20" applyFont="1" applyFill="1" applyBorder="1">
      <alignment horizontal="right" vertical="top" wrapText="1"/>
      <protection/>
    </xf>
    <xf numFmtId="0" fontId="22" fillId="2" borderId="98" xfId="20" applyFont="1" applyFill="1" applyBorder="1">
      <alignment horizontal="right" vertical="top" wrapText="1"/>
      <protection/>
    </xf>
    <xf numFmtId="0" fontId="22" fillId="2" borderId="99" xfId="20" applyFont="1" applyFill="1" applyBorder="1">
      <alignment horizontal="right" vertical="top" wrapText="1"/>
      <protection/>
    </xf>
    <xf numFmtId="0" fontId="22" fillId="2" borderId="100" xfId="20" applyFont="1" applyFill="1" applyBorder="1">
      <alignment horizontal="right" vertical="top" wrapText="1"/>
      <protection/>
    </xf>
    <xf numFmtId="173" fontId="23" fillId="5" borderId="98" xfId="20" applyFont="1" applyFill="1" applyBorder="1">
      <alignment horizontal="right" vertical="top" wrapText="1"/>
      <protection/>
    </xf>
    <xf numFmtId="173" fontId="23" fillId="5" borderId="99" xfId="20" applyFont="1" applyFill="1" applyBorder="1">
      <alignment horizontal="right" vertical="top" wrapText="1"/>
      <protection/>
    </xf>
    <xf numFmtId="0" fontId="19" fillId="2" borderId="22" xfId="20" applyFill="1" applyBorder="1">
      <alignment horizontal="center" vertical="top" wrapText="1"/>
      <protection/>
    </xf>
    <xf numFmtId="0" fontId="19" fillId="2" borderId="23" xfId="20" applyFill="1" applyBorder="1">
      <alignment horizontal="center" vertical="top" wrapText="1"/>
      <protection/>
    </xf>
    <xf numFmtId="0" fontId="21" fillId="2" borderId="4" xfId="20" applyFill="1" applyBorder="1">
      <alignment horizontal="right" vertical="top" wrapText="1"/>
      <protection/>
    </xf>
    <xf numFmtId="0" fontId="21" fillId="2" borderId="7" xfId="20" applyFill="1" applyBorder="1">
      <alignment horizontal="right" vertical="top" wrapText="1"/>
      <protection/>
    </xf>
    <xf numFmtId="0" fontId="22" fillId="2" borderId="4" xfId="20" applyFill="1" applyBorder="1">
      <alignment horizontal="right" vertical="top" wrapText="1"/>
      <protection/>
    </xf>
    <xf numFmtId="175" fontId="23" fillId="0" borderId="89" xfId="20" applyNumberFormat="1" applyFont="1" applyFill="1" applyBorder="1">
      <alignment horizontal="right" vertical="top" wrapText="1"/>
      <protection/>
    </xf>
    <xf numFmtId="175" fontId="23" fillId="0" borderId="97" xfId="20" applyNumberFormat="1" applyFont="1" applyFill="1" applyBorder="1">
      <alignment horizontal="right" vertical="top" wrapText="1"/>
      <protection/>
    </xf>
    <xf numFmtId="175" fontId="23" fillId="5" borderId="23" xfId="20" applyNumberFormat="1" applyFont="1" applyFill="1" applyBorder="1">
      <alignment horizontal="right" vertical="top" wrapText="1"/>
      <protection/>
    </xf>
    <xf numFmtId="173" fontId="24" fillId="0" borderId="89" xfId="20" applyFont="1" applyFill="1" applyBorder="1">
      <alignment horizontal="right" vertical="top" wrapText="1"/>
      <protection/>
    </xf>
    <xf numFmtId="175" fontId="23" fillId="0" borderId="1" xfId="20" applyNumberFormat="1" applyFont="1" applyFill="1" applyBorder="1">
      <alignment horizontal="right" vertical="top" wrapText="1"/>
      <protection/>
    </xf>
    <xf numFmtId="175" fontId="23" fillId="0" borderId="3" xfId="20" applyNumberFormat="1" applyFont="1" applyFill="1" applyBorder="1">
      <alignment horizontal="right" vertical="top" wrapText="1"/>
      <protection/>
    </xf>
    <xf numFmtId="0" fontId="22" fillId="2" borderId="56" xfId="20" applyFont="1" applyFill="1" applyBorder="1">
      <alignment horizontal="right" vertical="top" wrapText="1"/>
      <protection/>
    </xf>
    <xf numFmtId="0" fontId="22" fillId="2" borderId="22" xfId="20" applyFont="1" applyFill="1" applyBorder="1">
      <alignment horizontal="right" vertical="top" wrapText="1"/>
      <protection/>
    </xf>
    <xf numFmtId="173" fontId="23" fillId="5" borderId="22" xfId="20" applyFont="1" applyFill="1" applyBorder="1">
      <alignment horizontal="right" vertical="top" wrapText="1"/>
      <protection/>
    </xf>
    <xf numFmtId="0" fontId="22" fillId="2" borderId="89" xfId="20" applyFont="1" applyFill="1" applyBorder="1">
      <alignment vertical="top" wrapText="1"/>
      <protection/>
    </xf>
    <xf numFmtId="173" fontId="23" fillId="0" borderId="89" xfId="20" applyFont="1" applyFill="1" applyBorder="1">
      <alignment horizontal="right" vertical="top" wrapText="1"/>
      <protection/>
    </xf>
    <xf numFmtId="0" fontId="22" fillId="2" borderId="1" xfId="20" applyFont="1" applyFill="1" applyBorder="1">
      <alignment vertical="top" wrapText="1"/>
      <protection/>
    </xf>
    <xf numFmtId="172" fontId="23" fillId="0" borderId="1" xfId="20" applyFont="1" applyFill="1" applyBorder="1">
      <alignment horizontal="right" vertical="top" wrapText="1"/>
      <protection/>
    </xf>
    <xf numFmtId="173" fontId="23" fillId="0" borderId="1" xfId="20" applyFont="1" applyFill="1" applyBorder="1">
      <alignment horizontal="right" vertical="top" wrapText="1"/>
      <protection/>
    </xf>
    <xf numFmtId="173" fontId="24" fillId="0" borderId="1" xfId="20" applyFont="1" applyFill="1" applyBorder="1">
      <alignment horizontal="right" vertical="top" wrapText="1"/>
      <protection/>
    </xf>
    <xf numFmtId="175" fontId="23" fillId="0" borderId="102" xfId="20" applyNumberFormat="1" applyFont="1" applyFill="1" applyBorder="1">
      <alignment horizontal="right" vertical="top" wrapText="1"/>
      <protection/>
    </xf>
    <xf numFmtId="173" fontId="24" fillId="0" borderId="102" xfId="20" applyFont="1" applyFill="1" applyBorder="1">
      <alignment horizontal="right" vertical="top" wrapText="1"/>
      <protection/>
    </xf>
    <xf numFmtId="172" fontId="23" fillId="0" borderId="102" xfId="20" applyFont="1" applyFill="1" applyBorder="1">
      <alignment horizontal="right" vertical="top" wrapText="1"/>
      <protection/>
    </xf>
    <xf numFmtId="0" fontId="22" fillId="2" borderId="102" xfId="20" applyFont="1" applyFill="1" applyBorder="1">
      <alignment vertical="top" wrapText="1"/>
      <protection/>
    </xf>
    <xf numFmtId="173" fontId="23" fillId="0" borderId="102" xfId="20" applyFont="1" applyFill="1" applyBorder="1">
      <alignment horizontal="right" vertical="top" wrapText="1"/>
      <protection/>
    </xf>
    <xf numFmtId="175" fontId="23" fillId="5" borderId="100" xfId="20" applyNumberFormat="1" applyFont="1" applyFill="1" applyBorder="1">
      <alignment horizontal="right" vertical="top" wrapText="1"/>
      <protection/>
    </xf>
    <xf numFmtId="0" fontId="22" fillId="2" borderId="88" xfId="20" applyFont="1" applyFill="1" applyBorder="1">
      <alignment vertical="top" wrapText="1"/>
      <protection/>
    </xf>
    <xf numFmtId="0" fontId="22" fillId="2" borderId="2" xfId="20" applyFont="1" applyFill="1" applyBorder="1">
      <alignment vertical="top" wrapText="1"/>
      <protection/>
    </xf>
    <xf numFmtId="0" fontId="19" fillId="2" borderId="56" xfId="20" applyFill="1" applyBorder="1">
      <alignment horizontal="center" vertical="top" wrapText="1"/>
      <protection/>
    </xf>
    <xf numFmtId="0" fontId="20" fillId="2" borderId="1" xfId="20" applyFont="1" applyFill="1" applyBorder="1">
      <alignment vertical="top" wrapText="1"/>
      <protection/>
    </xf>
    <xf numFmtId="0" fontId="20" fillId="2" borderId="15" xfId="20" applyFont="1" applyFill="1" applyBorder="1">
      <alignment vertical="top" wrapText="1"/>
      <protection/>
    </xf>
    <xf numFmtId="0" fontId="21" fillId="2" borderId="17" xfId="20" applyFill="1" applyBorder="1">
      <alignment horizontal="right" vertical="top" wrapText="1"/>
      <protection/>
    </xf>
    <xf numFmtId="0" fontId="20" fillId="2" borderId="57" xfId="20" applyFont="1" applyFill="1" applyBorder="1" applyAlignment="1">
      <alignment horizontal="center" vertical="top" wrapText="1"/>
      <protection/>
    </xf>
    <xf numFmtId="0" fontId="20" fillId="2" borderId="58" xfId="20" applyFont="1" applyFill="1" applyBorder="1" applyAlignment="1">
      <alignment horizontal="center" vertical="top" wrapText="1"/>
      <protection/>
    </xf>
    <xf numFmtId="0" fontId="20" fillId="2" borderId="126" xfId="20" applyFont="1" applyFill="1" applyBorder="1" applyAlignment="1">
      <alignment horizontal="center" vertical="top" wrapText="1"/>
      <protection/>
    </xf>
    <xf numFmtId="0" fontId="22" fillId="2" borderId="98" xfId="20" applyFont="1" applyFill="1" applyBorder="1">
      <alignment vertical="top" wrapText="1"/>
      <protection/>
    </xf>
    <xf numFmtId="0" fontId="22" fillId="2" borderId="99" xfId="20" applyFont="1" applyFill="1" applyBorder="1">
      <alignment vertical="top" wrapText="1"/>
      <protection/>
    </xf>
    <xf numFmtId="0" fontId="22" fillId="2" borderId="100" xfId="20" applyFont="1" applyFill="1" applyBorder="1">
      <alignment vertical="top" wrapText="1"/>
      <protection/>
    </xf>
    <xf numFmtId="0" fontId="22" fillId="2" borderId="123" xfId="0" applyFont="1" applyFill="1" applyBorder="1" applyAlignment="1">
      <alignment/>
    </xf>
    <xf numFmtId="0" fontId="2" fillId="2" borderId="108" xfId="0" applyFont="1" applyFill="1" applyBorder="1" applyAlignment="1">
      <alignment/>
    </xf>
    <xf numFmtId="0" fontId="2" fillId="2" borderId="120" xfId="0" applyFont="1" applyFill="1" applyBorder="1" applyAlignment="1">
      <alignment/>
    </xf>
    <xf numFmtId="0" fontId="2" fillId="2" borderId="110" xfId="0" applyFont="1" applyFill="1" applyBorder="1" applyAlignment="1">
      <alignment/>
    </xf>
    <xf numFmtId="0" fontId="2" fillId="2" borderId="111" xfId="0" applyFont="1" applyFill="1" applyBorder="1" applyAlignment="1">
      <alignment/>
    </xf>
    <xf numFmtId="0" fontId="2" fillId="2" borderId="112" xfId="0" applyFont="1" applyFill="1" applyBorder="1" applyAlignment="1">
      <alignment/>
    </xf>
    <xf numFmtId="167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0" fontId="2" fillId="2" borderId="56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167" fontId="0" fillId="0" borderId="22" xfId="0" applyNumberForma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3" fontId="0" fillId="0" borderId="102" xfId="0" applyNumberFormat="1" applyFill="1" applyBorder="1" applyAlignment="1">
      <alignment horizontal="right"/>
    </xf>
    <xf numFmtId="3" fontId="0" fillId="0" borderId="89" xfId="0" applyNumberFormat="1" applyFill="1" applyBorder="1" applyAlignment="1">
      <alignment horizontal="right"/>
    </xf>
    <xf numFmtId="167" fontId="0" fillId="0" borderId="89" xfId="0" applyNumberFormat="1" applyFill="1" applyBorder="1" applyAlignment="1">
      <alignment/>
    </xf>
    <xf numFmtId="0" fontId="3" fillId="2" borderId="107" xfId="0" applyFont="1" applyFill="1" applyBorder="1" applyAlignment="1">
      <alignment horizontal="center"/>
    </xf>
    <xf numFmtId="0" fontId="3" fillId="2" borderId="125" xfId="0" applyFont="1" applyFill="1" applyBorder="1" applyAlignment="1">
      <alignment horizontal="center"/>
    </xf>
    <xf numFmtId="0" fontId="3" fillId="2" borderId="105" xfId="0" applyFont="1" applyFill="1" applyBorder="1" applyAlignment="1">
      <alignment horizontal="center"/>
    </xf>
    <xf numFmtId="3" fontId="6" fillId="0" borderId="37" xfId="0" applyNumberFormat="1" applyFont="1" applyBorder="1" applyAlignment="1">
      <alignment horizontal="left"/>
    </xf>
    <xf numFmtId="3" fontId="6" fillId="0" borderId="67" xfId="0" applyNumberFormat="1" applyFont="1" applyBorder="1" applyAlignment="1">
      <alignment horizontal="left"/>
    </xf>
    <xf numFmtId="0" fontId="2" fillId="3" borderId="41" xfId="0" applyFont="1" applyFill="1" applyBorder="1" applyAlignment="1">
      <alignment vertical="center"/>
    </xf>
    <xf numFmtId="3" fontId="2" fillId="3" borderId="38" xfId="0" applyNumberFormat="1" applyFont="1" applyFill="1" applyBorder="1" applyAlignment="1">
      <alignment vertical="center"/>
    </xf>
    <xf numFmtId="3" fontId="6" fillId="0" borderId="64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127" xfId="0" applyNumberFormat="1" applyFont="1" applyBorder="1" applyAlignment="1">
      <alignment/>
    </xf>
    <xf numFmtId="3" fontId="6" fillId="0" borderId="79" xfId="0" applyNumberFormat="1" applyFont="1" applyBorder="1" applyAlignment="1">
      <alignment/>
    </xf>
    <xf numFmtId="3" fontId="2" fillId="3" borderId="128" xfId="0" applyNumberFormat="1" applyFont="1" applyFill="1" applyBorder="1" applyAlignment="1">
      <alignment vertical="center"/>
    </xf>
    <xf numFmtId="3" fontId="9" fillId="3" borderId="41" xfId="0" applyNumberFormat="1" applyFont="1" applyFill="1" applyBorder="1" applyAlignment="1">
      <alignment horizontal="left" vertical="center"/>
    </xf>
    <xf numFmtId="3" fontId="9" fillId="3" borderId="129" xfId="0" applyNumberFormat="1" applyFont="1" applyFill="1" applyBorder="1" applyAlignment="1">
      <alignment horizontal="left" vertical="center"/>
    </xf>
    <xf numFmtId="3" fontId="2" fillId="3" borderId="13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131" xfId="0" applyFont="1" applyFill="1" applyBorder="1" applyAlignment="1">
      <alignment horizontal="center" vertical="center"/>
    </xf>
    <xf numFmtId="0" fontId="1" fillId="3" borderId="132" xfId="0" applyFont="1" applyFill="1" applyBorder="1" applyAlignment="1">
      <alignment horizontal="center" vertical="center"/>
    </xf>
    <xf numFmtId="0" fontId="1" fillId="3" borderId="13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3" fontId="6" fillId="0" borderId="129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1" xfId="0" applyNumberFormat="1" applyFont="1" applyBorder="1" applyAlignment="1">
      <alignment horizontal="left"/>
    </xf>
    <xf numFmtId="3" fontId="6" fillId="0" borderId="37" xfId="0" applyNumberFormat="1" applyFont="1" applyBorder="1" applyAlignment="1">
      <alignment/>
    </xf>
    <xf numFmtId="3" fontId="2" fillId="3" borderId="39" xfId="0" applyNumberFormat="1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3" fontId="6" fillId="0" borderId="28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34" xfId="0" applyNumberFormat="1" applyFont="1" applyBorder="1" applyAlignment="1">
      <alignment horizontal="left"/>
    </xf>
    <xf numFmtId="3" fontId="6" fillId="0" borderId="132" xfId="0" applyNumberFormat="1" applyFont="1" applyBorder="1" applyAlignment="1">
      <alignment/>
    </xf>
    <xf numFmtId="3" fontId="6" fillId="0" borderId="133" xfId="0" applyNumberFormat="1" applyFont="1" applyBorder="1" applyAlignment="1">
      <alignment/>
    </xf>
    <xf numFmtId="0" fontId="9" fillId="3" borderId="38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2" fillId="3" borderId="39" xfId="21" applyFont="1" applyFill="1" applyBorder="1" applyAlignment="1">
      <alignment horizontal="center" vertical="center" wrapText="1"/>
      <protection/>
    </xf>
    <xf numFmtId="0" fontId="3" fillId="3" borderId="131" xfId="21" applyFont="1" applyFill="1" applyBorder="1" applyAlignment="1">
      <alignment horizontal="center" vertical="center"/>
      <protection/>
    </xf>
    <xf numFmtId="0" fontId="6" fillId="3" borderId="134" xfId="21" applyFont="1" applyFill="1" applyBorder="1" applyAlignment="1">
      <alignment horizontal="center" vertical="center" wrapText="1"/>
      <protection/>
    </xf>
    <xf numFmtId="3" fontId="2" fillId="3" borderId="135" xfId="0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vertical="center"/>
    </xf>
    <xf numFmtId="3" fontId="2" fillId="3" borderId="68" xfId="0" applyNumberFormat="1" applyFont="1" applyFill="1" applyBorder="1" applyAlignment="1">
      <alignment vertical="center"/>
    </xf>
    <xf numFmtId="0" fontId="2" fillId="3" borderId="68" xfId="0" applyFont="1" applyFill="1" applyBorder="1" applyAlignment="1">
      <alignment vertical="center"/>
    </xf>
    <xf numFmtId="0" fontId="5" fillId="3" borderId="74" xfId="0" applyFont="1" applyFill="1" applyBorder="1" applyAlignment="1">
      <alignment vertical="center"/>
    </xf>
    <xf numFmtId="0" fontId="2" fillId="3" borderId="51" xfId="21" applyFont="1" applyFill="1" applyBorder="1" applyAlignment="1">
      <alignment horizontal="center" vertical="center"/>
      <protection/>
    </xf>
    <xf numFmtId="0" fontId="2" fillId="3" borderId="35" xfId="21" applyFont="1" applyFill="1" applyBorder="1" applyAlignment="1">
      <alignment horizontal="center" vertical="center"/>
      <protection/>
    </xf>
    <xf numFmtId="0" fontId="3" fillId="3" borderId="130" xfId="0" applyFont="1" applyFill="1" applyBorder="1" applyAlignment="1">
      <alignment vertical="center"/>
    </xf>
    <xf numFmtId="0" fontId="6" fillId="3" borderId="38" xfId="0" applyFont="1" applyFill="1" applyBorder="1" applyAlignment="1">
      <alignment horizontal="center" vertical="center" wrapText="1"/>
    </xf>
    <xf numFmtId="0" fontId="2" fillId="3" borderId="131" xfId="0" applyFont="1" applyFill="1" applyBorder="1" applyAlignment="1">
      <alignment horizontal="center"/>
    </xf>
    <xf numFmtId="0" fontId="6" fillId="3" borderId="130" xfId="0" applyFont="1" applyFill="1" applyBorder="1" applyAlignment="1">
      <alignment horizontal="center" vertical="center" wrapText="1"/>
    </xf>
    <xf numFmtId="0" fontId="2" fillId="3" borderId="134" xfId="0" applyFont="1" applyFill="1" applyBorder="1" applyAlignment="1">
      <alignment horizontal="center" vertical="center" wrapText="1"/>
    </xf>
    <xf numFmtId="0" fontId="2" fillId="3" borderId="38" xfId="21" applyFont="1" applyFill="1" applyBorder="1" applyAlignment="1">
      <alignment horizontal="center" vertical="center"/>
      <protection/>
    </xf>
    <xf numFmtId="0" fontId="3" fillId="3" borderId="74" xfId="0" applyFont="1" applyFill="1" applyBorder="1" applyAlignment="1">
      <alignment vertical="center"/>
    </xf>
    <xf numFmtId="3" fontId="2" fillId="3" borderId="76" xfId="0" applyNumberFormat="1" applyFont="1" applyFill="1" applyBorder="1" applyAlignment="1">
      <alignment horizontal="center" vertical="center"/>
    </xf>
    <xf numFmtId="3" fontId="2" fillId="3" borderId="136" xfId="0" applyNumberFormat="1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131" xfId="0" applyFont="1" applyFill="1" applyBorder="1" applyAlignment="1">
      <alignment horizontal="center" vertical="center" wrapText="1"/>
    </xf>
    <xf numFmtId="3" fontId="2" fillId="3" borderId="131" xfId="0" applyNumberFormat="1" applyFont="1" applyFill="1" applyBorder="1" applyAlignment="1">
      <alignment horizontal="center" vertical="center"/>
    </xf>
    <xf numFmtId="3" fontId="2" fillId="0" borderId="54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0" fontId="6" fillId="3" borderId="53" xfId="0" applyFont="1" applyFill="1" applyBorder="1" applyAlignment="1">
      <alignment horizontal="center" vertical="center"/>
    </xf>
    <xf numFmtId="0" fontId="9" fillId="2" borderId="98" xfId="0" applyFont="1" applyFill="1" applyBorder="1" applyAlignment="1">
      <alignment horizontal="center" vertical="center"/>
    </xf>
    <xf numFmtId="0" fontId="9" fillId="2" borderId="99" xfId="0" applyFont="1" applyFill="1" applyBorder="1" applyAlignment="1">
      <alignment horizontal="center" vertical="center"/>
    </xf>
    <xf numFmtId="0" fontId="9" fillId="2" borderId="114" xfId="0" applyFont="1" applyFill="1" applyBorder="1" applyAlignment="1">
      <alignment horizontal="center" vertical="center"/>
    </xf>
    <xf numFmtId="0" fontId="9" fillId="2" borderId="107" xfId="0" applyFont="1" applyFill="1" applyBorder="1" applyAlignment="1">
      <alignment horizontal="center" vertical="center"/>
    </xf>
    <xf numFmtId="0" fontId="11" fillId="2" borderId="125" xfId="0" applyFont="1" applyFill="1" applyBorder="1" applyAlignment="1">
      <alignment horizontal="center" vertical="center"/>
    </xf>
    <xf numFmtId="0" fontId="11" fillId="2" borderId="105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103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top"/>
    </xf>
    <xf numFmtId="0" fontId="4" fillId="0" borderId="93" xfId="0" applyFont="1" applyFill="1" applyBorder="1" applyAlignment="1">
      <alignment vertical="top"/>
    </xf>
    <xf numFmtId="0" fontId="0" fillId="0" borderId="22" xfId="0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94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89" xfId="0" applyFont="1" applyFill="1" applyBorder="1" applyAlignment="1">
      <alignment vertical="top"/>
    </xf>
    <xf numFmtId="0" fontId="4" fillId="0" borderId="96" xfId="0" applyFont="1" applyFill="1" applyBorder="1" applyAlignment="1">
      <alignment vertical="top"/>
    </xf>
    <xf numFmtId="0" fontId="0" fillId="0" borderId="89" xfId="0" applyBorder="1" applyAlignment="1">
      <alignment vertical="top"/>
    </xf>
    <xf numFmtId="0" fontId="4" fillId="2" borderId="99" xfId="0" applyFont="1" applyFill="1" applyBorder="1" applyAlignment="1">
      <alignment vertical="top"/>
    </xf>
    <xf numFmtId="0" fontId="4" fillId="2" borderId="121" xfId="0" applyFont="1" applyFill="1" applyBorder="1" applyAlignment="1">
      <alignment vertical="top"/>
    </xf>
    <xf numFmtId="0" fontId="0" fillId="2" borderId="99" xfId="0" applyFill="1" applyBorder="1" applyAlignment="1">
      <alignment vertical="top"/>
    </xf>
    <xf numFmtId="0" fontId="2" fillId="2" borderId="107" xfId="0" applyFont="1" applyFill="1" applyBorder="1" applyAlignment="1">
      <alignment vertical="top"/>
    </xf>
    <xf numFmtId="0" fontId="3" fillId="2" borderId="117" xfId="0" applyFont="1" applyFill="1" applyBorder="1" applyAlignment="1">
      <alignment vertical="center"/>
    </xf>
    <xf numFmtId="0" fontId="0" fillId="0" borderId="124" xfId="0" applyFont="1" applyBorder="1" applyAlignment="1">
      <alignment vertical="center"/>
    </xf>
    <xf numFmtId="0" fontId="6" fillId="2" borderId="123" xfId="0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0" fillId="0" borderId="126" xfId="0" applyBorder="1" applyAlignment="1">
      <alignment/>
    </xf>
    <xf numFmtId="0" fontId="6" fillId="2" borderId="117" xfId="0" applyFont="1" applyFill="1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5" fillId="2" borderId="86" xfId="0" applyFont="1" applyFill="1" applyBorder="1" applyAlignment="1">
      <alignment vertical="center"/>
    </xf>
    <xf numFmtId="0" fontId="0" fillId="0" borderId="93" xfId="0" applyBorder="1" applyAlignment="1">
      <alignment vertical="center"/>
    </xf>
    <xf numFmtId="0" fontId="9" fillId="3" borderId="137" xfId="0" applyFont="1" applyFill="1" applyBorder="1" applyAlignment="1">
      <alignment horizontal="center" vertical="center"/>
    </xf>
    <xf numFmtId="0" fontId="9" fillId="3" borderId="138" xfId="0" applyFont="1" applyFill="1" applyBorder="1" applyAlignment="1">
      <alignment horizontal="center" vertical="center"/>
    </xf>
    <xf numFmtId="0" fontId="9" fillId="3" borderId="139" xfId="0" applyFont="1" applyFill="1" applyBorder="1" applyAlignment="1">
      <alignment horizontal="center" vertical="center"/>
    </xf>
    <xf numFmtId="3" fontId="2" fillId="3" borderId="140" xfId="0" applyNumberFormat="1" applyFont="1" applyFill="1" applyBorder="1" applyAlignment="1">
      <alignment horizontal="center" vertical="center"/>
    </xf>
    <xf numFmtId="3" fontId="2" fillId="3" borderId="141" xfId="0" applyNumberFormat="1" applyFont="1" applyFill="1" applyBorder="1" applyAlignment="1">
      <alignment horizontal="center" vertical="center"/>
    </xf>
    <xf numFmtId="3" fontId="6" fillId="0" borderId="142" xfId="0" applyNumberFormat="1" applyFont="1" applyBorder="1" applyAlignment="1">
      <alignment/>
    </xf>
    <xf numFmtId="3" fontId="6" fillId="0" borderId="143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14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3" borderId="145" xfId="0" applyFont="1" applyFill="1" applyBorder="1" applyAlignment="1">
      <alignment horizontal="center" vertical="center"/>
    </xf>
    <xf numFmtId="3" fontId="2" fillId="3" borderId="146" xfId="0" applyNumberFormat="1" applyFont="1" applyFill="1" applyBorder="1" applyAlignment="1">
      <alignment vertical="center"/>
    </xf>
    <xf numFmtId="3" fontId="2" fillId="3" borderId="147" xfId="0" applyNumberFormat="1" applyFont="1" applyFill="1" applyBorder="1" applyAlignment="1">
      <alignment vertical="center"/>
    </xf>
    <xf numFmtId="0" fontId="2" fillId="2" borderId="123" xfId="21" applyFont="1" applyFill="1" applyBorder="1" applyAlignment="1">
      <alignment horizontal="center" vertical="center"/>
      <protection/>
    </xf>
    <xf numFmtId="0" fontId="0" fillId="0" borderId="144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2" fillId="2" borderId="115" xfId="21" applyFont="1" applyFill="1" applyBorder="1" applyAlignment="1">
      <alignment horizontal="center" vertical="center" wrapText="1"/>
      <protection/>
    </xf>
    <xf numFmtId="0" fontId="0" fillId="0" borderId="10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56" xfId="2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6" fillId="2" borderId="120" xfId="21" applyFont="1" applyFill="1" applyBorder="1" applyAlignment="1">
      <alignment horizontal="center" vertical="center" wrapText="1"/>
      <protection/>
    </xf>
    <xf numFmtId="0" fontId="5" fillId="0" borderId="148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0" fontId="2" fillId="2" borderId="2" xfId="2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2" fillId="2" borderId="1" xfId="2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/>
    </xf>
    <xf numFmtId="0" fontId="2" fillId="2" borderId="120" xfId="0" applyFont="1" applyFill="1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126" xfId="0" applyFont="1" applyBorder="1" applyAlignment="1">
      <alignment/>
    </xf>
    <xf numFmtId="0" fontId="0" fillId="0" borderId="1" xfId="0" applyFont="1" applyBorder="1" applyAlignment="1">
      <alignment vertical="top"/>
    </xf>
    <xf numFmtId="3" fontId="6" fillId="0" borderId="32" xfId="0" applyNumberFormat="1" applyFont="1" applyBorder="1" applyAlignment="1">
      <alignment horizontal="center"/>
    </xf>
    <xf numFmtId="3" fontId="6" fillId="0" borderId="83" xfId="0" applyNumberFormat="1" applyFont="1" applyBorder="1" applyAlignment="1">
      <alignment horizontal="center"/>
    </xf>
    <xf numFmtId="3" fontId="6" fillId="0" borderId="127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left"/>
    </xf>
    <xf numFmtId="3" fontId="6" fillId="0" borderId="127" xfId="0" applyNumberFormat="1" applyFont="1" applyBorder="1" applyAlignment="1">
      <alignment horizontal="left"/>
    </xf>
    <xf numFmtId="3" fontId="6" fillId="0" borderId="83" xfId="0" applyNumberFormat="1" applyFont="1" applyBorder="1" applyAlignment="1">
      <alignment horizontal="left"/>
    </xf>
    <xf numFmtId="0" fontId="4" fillId="2" borderId="60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top"/>
    </xf>
    <xf numFmtId="0" fontId="0" fillId="0" borderId="89" xfId="0" applyFont="1" applyBorder="1" applyAlignment="1">
      <alignment vertical="top"/>
    </xf>
    <xf numFmtId="0" fontId="4" fillId="2" borderId="103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2" borderId="99" xfId="0" applyFont="1" applyFill="1" applyBorder="1" applyAlignment="1">
      <alignment vertical="top"/>
    </xf>
    <xf numFmtId="0" fontId="9" fillId="2" borderId="125" xfId="0" applyFont="1" applyFill="1" applyBorder="1" applyAlignment="1">
      <alignment horizontal="center" vertical="center"/>
    </xf>
    <xf numFmtId="0" fontId="9" fillId="2" borderId="105" xfId="0" applyFont="1" applyFill="1" applyBorder="1" applyAlignment="1">
      <alignment horizontal="center" vertical="center"/>
    </xf>
    <xf numFmtId="0" fontId="4" fillId="2" borderId="107" xfId="0" applyFont="1" applyFill="1" applyBorder="1" applyAlignment="1">
      <alignment vertical="top"/>
    </xf>
    <xf numFmtId="0" fontId="0" fillId="0" borderId="105" xfId="0" applyFont="1" applyBorder="1" applyAlignment="1">
      <alignment/>
    </xf>
    <xf numFmtId="3" fontId="6" fillId="0" borderId="56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9" fillId="3" borderId="132" xfId="0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left"/>
    </xf>
    <xf numFmtId="3" fontId="6" fillId="0" borderId="56" xfId="0" applyNumberFormat="1" applyFont="1" applyBorder="1" applyAlignment="1">
      <alignment horizontal="left"/>
    </xf>
    <xf numFmtId="3" fontId="6" fillId="0" borderId="22" xfId="0" applyNumberFormat="1" applyFont="1" applyBorder="1" applyAlignment="1">
      <alignment horizontal="left"/>
    </xf>
    <xf numFmtId="3" fontId="6" fillId="0" borderId="17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149" xfId="0" applyNumberFormat="1" applyFont="1" applyBorder="1" applyAlignment="1">
      <alignment/>
    </xf>
    <xf numFmtId="3" fontId="6" fillId="0" borderId="150" xfId="0" applyNumberFormat="1" applyFont="1" applyBorder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normální_RK Odpisový plán na rok 200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ina\Local%20Settings\Temporary%20Internet%20Files\OLK2\po&#269;et%20l&#367;&#382;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koubkova\dokumenty\Documents%20and%20Settings\bina\Local%20Settings\Temporary%20Internet%20Files\OLK2\RK-36-2007-66pr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ina\Local%20Settings\Temporary%20Internet%20Files\OLK2\zam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ina\Local%20Settings\Temporary%20Internet%20Files\OLK2\Nov&#225;%20slo&#382;ka\fin.%20pl&#225;n%20-%20ZK-02-2008-FPpr2%20(2)-%2026.03.2008-1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9">
          <cell r="J9">
            <v>160.5</v>
          </cell>
        </row>
        <row r="10">
          <cell r="J10">
            <v>203</v>
          </cell>
        </row>
        <row r="11">
          <cell r="J11">
            <v>41</v>
          </cell>
        </row>
        <row r="12">
          <cell r="J12">
            <v>69</v>
          </cell>
        </row>
        <row r="13">
          <cell r="J13">
            <v>69.5</v>
          </cell>
        </row>
        <row r="16">
          <cell r="J16">
            <v>135</v>
          </cell>
        </row>
        <row r="17">
          <cell r="J17">
            <v>119</v>
          </cell>
        </row>
        <row r="18">
          <cell r="J18">
            <v>68</v>
          </cell>
        </row>
        <row r="19">
          <cell r="J19">
            <v>130</v>
          </cell>
        </row>
        <row r="20">
          <cell r="J20">
            <v>92</v>
          </cell>
        </row>
        <row r="21">
          <cell r="J21">
            <v>195</v>
          </cell>
        </row>
        <row r="22">
          <cell r="J22">
            <v>163</v>
          </cell>
        </row>
        <row r="23">
          <cell r="J23">
            <v>74</v>
          </cell>
        </row>
        <row r="24">
          <cell r="J24">
            <v>152</v>
          </cell>
        </row>
        <row r="25">
          <cell r="J25">
            <v>80</v>
          </cell>
        </row>
        <row r="26">
          <cell r="J26">
            <v>100</v>
          </cell>
        </row>
        <row r="27">
          <cell r="J27">
            <v>101</v>
          </cell>
        </row>
        <row r="28">
          <cell r="J28">
            <v>80</v>
          </cell>
        </row>
        <row r="29">
          <cell r="J29">
            <v>68.5</v>
          </cell>
        </row>
        <row r="30">
          <cell r="J30">
            <v>60</v>
          </cell>
        </row>
        <row r="31">
          <cell r="J31">
            <v>182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K-36-2007-66, př. 1"/>
    </sheetNames>
    <sheetDataSet>
      <sheetData sheetId="0">
        <row r="8">
          <cell r="G8">
            <v>0</v>
          </cell>
          <cell r="H8">
            <v>0</v>
          </cell>
        </row>
        <row r="9">
          <cell r="G9">
            <v>359</v>
          </cell>
          <cell r="H9">
            <v>0</v>
          </cell>
        </row>
        <row r="10">
          <cell r="G10">
            <v>4869</v>
          </cell>
          <cell r="H10">
            <v>21</v>
          </cell>
        </row>
        <row r="11">
          <cell r="G11">
            <v>1718</v>
          </cell>
          <cell r="H11">
            <v>0</v>
          </cell>
        </row>
        <row r="12">
          <cell r="G12">
            <v>0</v>
          </cell>
          <cell r="H12">
            <v>96</v>
          </cell>
        </row>
        <row r="13">
          <cell r="G13">
            <v>1928</v>
          </cell>
          <cell r="H13">
            <v>66</v>
          </cell>
        </row>
        <row r="14">
          <cell r="G14">
            <v>1049</v>
          </cell>
          <cell r="H14">
            <v>0</v>
          </cell>
        </row>
        <row r="15">
          <cell r="G15">
            <v>594</v>
          </cell>
          <cell r="H15">
            <v>48</v>
          </cell>
        </row>
        <row r="16">
          <cell r="G16">
            <v>2190</v>
          </cell>
          <cell r="H16">
            <v>334</v>
          </cell>
        </row>
        <row r="17">
          <cell r="G17">
            <v>559</v>
          </cell>
          <cell r="H17">
            <v>163</v>
          </cell>
        </row>
        <row r="18">
          <cell r="G18">
            <v>607</v>
          </cell>
          <cell r="H18">
            <v>305</v>
          </cell>
        </row>
        <row r="19">
          <cell r="G19">
            <v>0</v>
          </cell>
          <cell r="H19">
            <v>859</v>
          </cell>
        </row>
        <row r="20">
          <cell r="G20">
            <v>0</v>
          </cell>
          <cell r="H20">
            <v>322</v>
          </cell>
        </row>
        <row r="21">
          <cell r="G21">
            <v>339</v>
          </cell>
          <cell r="H21">
            <v>35</v>
          </cell>
        </row>
        <row r="22">
          <cell r="G22">
            <v>1485</v>
          </cell>
          <cell r="H22">
            <v>94</v>
          </cell>
        </row>
        <row r="23">
          <cell r="G23">
            <v>0</v>
          </cell>
          <cell r="H23">
            <v>63</v>
          </cell>
        </row>
        <row r="24">
          <cell r="G24">
            <v>0</v>
          </cell>
          <cell r="H24">
            <v>0</v>
          </cell>
        </row>
        <row r="25">
          <cell r="G25">
            <v>0</v>
          </cell>
          <cell r="H25">
            <v>414</v>
          </cell>
        </row>
        <row r="26">
          <cell r="G26">
            <v>0</v>
          </cell>
          <cell r="H26">
            <v>376</v>
          </cell>
        </row>
        <row r="27">
          <cell r="G27">
            <v>4726</v>
          </cell>
          <cell r="H27">
            <v>430</v>
          </cell>
        </row>
        <row r="28">
          <cell r="G28">
            <v>0</v>
          </cell>
          <cell r="H28">
            <v>551</v>
          </cell>
        </row>
        <row r="29">
          <cell r="G29">
            <v>472</v>
          </cell>
          <cell r="H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zbor_mzdy_dle_skupiny_zamestn"/>
    </sheetNames>
    <sheetDataSet>
      <sheetData sheetId="0">
        <row r="23">
          <cell r="K23">
            <v>11.5</v>
          </cell>
          <cell r="N23">
            <v>25285.056640625</v>
          </cell>
          <cell r="P23">
            <v>16861.73828125</v>
          </cell>
          <cell r="R23">
            <v>11.067065238952637</v>
          </cell>
          <cell r="T23">
            <v>8.828304290771484</v>
          </cell>
          <cell r="V23">
            <v>0.6668657508229022</v>
          </cell>
          <cell r="X23">
            <v>2494.0419921875</v>
          </cell>
          <cell r="AA23">
            <v>0.09863699447603262</v>
          </cell>
          <cell r="AC23">
            <v>1934.868408203125</v>
          </cell>
          <cell r="AE23">
            <v>0.07652220976615928</v>
          </cell>
          <cell r="AG23">
            <v>3994.4053835868835</v>
          </cell>
          <cell r="AI23">
            <v>0.1579749430803786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fin. plán 2008"/>
      <sheetName val="mzda, počet zaměstnanců"/>
      <sheetName val="mzda"/>
      <sheetName val="DÚSP Černovice"/>
      <sheetName val="ÚSP Zboží"/>
      <sheetName val="USP Ledeč nad Sázavou"/>
      <sheetName val="ÚSP Lidmaň"/>
      <sheetName val="ÚSP Věž"/>
      <sheetName val="ÚSP Těchobuz"/>
      <sheetName val="ÚSP Jinošov"/>
      <sheetName val="ÚSP Nové Syrovice"/>
      <sheetName val="DD M.Curierových"/>
      <sheetName val="DD Třebíč Koutkova"/>
      <sheetName val="DD Náměšť nad Os"/>
      <sheetName val="DD Velký Újezd"/>
      <sheetName val="Psych.Jihl."/>
      <sheetName val="ÚSP Křižanov"/>
      <sheetName val="DD Mitrov"/>
      <sheetName val="DD Velké Meziříčí"/>
      <sheetName val="DD Havlíčkův Brod"/>
      <sheetName val="DD Humpolec"/>
      <sheetName val="DD Proseč u Pošné"/>
      <sheetName val="DD Onšov"/>
      <sheetName val="DD Proseč Obořiště"/>
      <sheetName val="DD Ždírec"/>
    </sheetNames>
    <sheetDataSet>
      <sheetData sheetId="2">
        <row r="13">
          <cell r="B13">
            <v>312</v>
          </cell>
          <cell r="C13">
            <v>552</v>
          </cell>
          <cell r="D13">
            <v>190</v>
          </cell>
          <cell r="E13">
            <v>325</v>
          </cell>
          <cell r="F13">
            <v>320</v>
          </cell>
          <cell r="G13">
            <v>942</v>
          </cell>
          <cell r="H13">
            <v>793</v>
          </cell>
          <cell r="I13">
            <v>905</v>
          </cell>
          <cell r="J13">
            <v>626</v>
          </cell>
          <cell r="K13">
            <v>427</v>
          </cell>
          <cell r="L13">
            <v>603</v>
          </cell>
          <cell r="M13">
            <v>765</v>
          </cell>
          <cell r="O13">
            <v>562</v>
          </cell>
          <cell r="P13">
            <v>324</v>
          </cell>
          <cell r="Q13">
            <v>379</v>
          </cell>
          <cell r="R13">
            <v>433</v>
          </cell>
          <cell r="S13">
            <v>874</v>
          </cell>
          <cell r="T13">
            <v>368</v>
          </cell>
          <cell r="U13">
            <v>541</v>
          </cell>
          <cell r="V13">
            <v>916</v>
          </cell>
          <cell r="W13">
            <v>433</v>
          </cell>
          <cell r="X13">
            <v>635</v>
          </cell>
        </row>
        <row r="32">
          <cell r="B32">
            <v>550</v>
          </cell>
          <cell r="C32">
            <v>615</v>
          </cell>
          <cell r="D32">
            <v>200</v>
          </cell>
          <cell r="E32">
            <v>568</v>
          </cell>
          <cell r="F32">
            <v>586</v>
          </cell>
          <cell r="G32">
            <v>788</v>
          </cell>
          <cell r="H32">
            <v>2404</v>
          </cell>
          <cell r="I32">
            <v>1145</v>
          </cell>
          <cell r="J32">
            <v>218</v>
          </cell>
          <cell r="K32">
            <v>1973</v>
          </cell>
          <cell r="L32">
            <v>930</v>
          </cell>
          <cell r="M32">
            <v>569</v>
          </cell>
          <cell r="O32">
            <v>625</v>
          </cell>
          <cell r="P32">
            <v>460</v>
          </cell>
          <cell r="Q32">
            <v>520</v>
          </cell>
          <cell r="R32">
            <v>437</v>
          </cell>
          <cell r="S32">
            <v>1489</v>
          </cell>
          <cell r="T32">
            <v>220</v>
          </cell>
          <cell r="U32">
            <v>494</v>
          </cell>
          <cell r="V32">
            <v>2521</v>
          </cell>
          <cell r="W32">
            <v>793</v>
          </cell>
          <cell r="X32">
            <v>86</v>
          </cell>
        </row>
        <row r="36">
          <cell r="B36">
            <v>-266</v>
          </cell>
          <cell r="C36">
            <v>-952</v>
          </cell>
          <cell r="D36">
            <v>-480</v>
          </cell>
          <cell r="E36">
            <v>-261</v>
          </cell>
          <cell r="F36">
            <v>-2059</v>
          </cell>
          <cell r="G36">
            <v>-2583</v>
          </cell>
          <cell r="H36">
            <v>0</v>
          </cell>
          <cell r="I36">
            <v>-240</v>
          </cell>
          <cell r="J36">
            <v>-374</v>
          </cell>
          <cell r="K36">
            <v>-1486</v>
          </cell>
          <cell r="L36">
            <v>-1228</v>
          </cell>
          <cell r="M36">
            <v>-422</v>
          </cell>
          <cell r="O36">
            <v>-1906</v>
          </cell>
          <cell r="P36">
            <v>-4185</v>
          </cell>
          <cell r="Q36">
            <v>-1204</v>
          </cell>
          <cell r="R36">
            <v>-3650</v>
          </cell>
          <cell r="S36">
            <v>-3248</v>
          </cell>
          <cell r="T36">
            <v>-2597</v>
          </cell>
          <cell r="U36">
            <v>-4284</v>
          </cell>
          <cell r="V36">
            <v>-6104</v>
          </cell>
          <cell r="W36">
            <v>-1917</v>
          </cell>
          <cell r="X36">
            <v>-785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39"/>
  <sheetViews>
    <sheetView tabSelected="1" zoomScale="70" zoomScaleNormal="70" workbookViewId="0" topLeftCell="E1">
      <selection activeCell="F114" sqref="F114"/>
    </sheetView>
  </sheetViews>
  <sheetFormatPr defaultColWidth="9.00390625" defaultRowHeight="12.75"/>
  <cols>
    <col min="1" max="1" width="48.25390625" style="280" customWidth="1"/>
    <col min="2" max="2" width="13.75390625" style="0" customWidth="1"/>
    <col min="3" max="3" width="11.25390625" style="0" customWidth="1"/>
    <col min="4" max="4" width="9.375" style="0" bestFit="1" customWidth="1"/>
    <col min="5" max="5" width="10.125" style="0" customWidth="1"/>
    <col min="6" max="6" width="10.875" style="0" bestFit="1" customWidth="1"/>
    <col min="7" max="7" width="9.75390625" style="0" bestFit="1" customWidth="1"/>
    <col min="8" max="9" width="10.125" style="0" bestFit="1" customWidth="1"/>
    <col min="10" max="10" width="9.75390625" style="0" bestFit="1" customWidth="1"/>
    <col min="11" max="11" width="11.25390625" style="0" customWidth="1"/>
    <col min="12" max="12" width="10.00390625" style="0" bestFit="1" customWidth="1"/>
    <col min="13" max="13" width="12.375" style="0" customWidth="1"/>
    <col min="14" max="14" width="11.125" style="0" customWidth="1"/>
    <col min="15" max="22" width="9.625" style="0" bestFit="1" customWidth="1"/>
    <col min="23" max="23" width="10.375" style="0" customWidth="1"/>
    <col min="24" max="24" width="11.75390625" style="0" customWidth="1"/>
    <col min="25" max="25" width="11.875" style="0" customWidth="1"/>
    <col min="26" max="26" width="13.125" style="0" customWidth="1"/>
    <col min="27" max="27" width="9.25390625" style="0" bestFit="1" customWidth="1"/>
  </cols>
  <sheetData>
    <row r="2" spans="1:26" ht="15" thickBot="1">
      <c r="A2" s="280" t="s">
        <v>162</v>
      </c>
      <c r="M2" s="452"/>
      <c r="Z2" s="452" t="s">
        <v>119</v>
      </c>
    </row>
    <row r="3" spans="1:26" ht="101.25" customHeight="1" thickBot="1">
      <c r="A3" s="571" t="s">
        <v>655</v>
      </c>
      <c r="B3" s="281" t="s">
        <v>57</v>
      </c>
      <c r="C3" s="281" t="s">
        <v>399</v>
      </c>
      <c r="D3" s="394" t="s">
        <v>400</v>
      </c>
      <c r="E3" s="281" t="s">
        <v>401</v>
      </c>
      <c r="F3" s="281" t="s">
        <v>402</v>
      </c>
      <c r="G3" s="281" t="s">
        <v>403</v>
      </c>
      <c r="H3" s="281" t="s">
        <v>124</v>
      </c>
      <c r="I3" s="281" t="s">
        <v>157</v>
      </c>
      <c r="J3" s="281" t="s">
        <v>404</v>
      </c>
      <c r="K3" s="281" t="s">
        <v>147</v>
      </c>
      <c r="L3" s="281" t="s">
        <v>453</v>
      </c>
      <c r="M3" s="501" t="s">
        <v>61</v>
      </c>
      <c r="N3" s="502" t="s">
        <v>141</v>
      </c>
      <c r="O3" s="295" t="s">
        <v>406</v>
      </c>
      <c r="P3" s="281" t="s">
        <v>407</v>
      </c>
      <c r="Q3" s="281" t="s">
        <v>408</v>
      </c>
      <c r="R3" s="281" t="s">
        <v>409</v>
      </c>
      <c r="S3" s="281" t="s">
        <v>410</v>
      </c>
      <c r="T3" s="281" t="s">
        <v>411</v>
      </c>
      <c r="U3" s="281" t="s">
        <v>412</v>
      </c>
      <c r="V3" s="281" t="s">
        <v>413</v>
      </c>
      <c r="W3" s="296" t="s">
        <v>414</v>
      </c>
      <c r="X3" s="296" t="s">
        <v>415</v>
      </c>
      <c r="Y3" s="517" t="s">
        <v>142</v>
      </c>
      <c r="Z3" s="517" t="s">
        <v>143</v>
      </c>
    </row>
    <row r="4" spans="1:26" ht="19.5" customHeight="1">
      <c r="A4" s="367" t="s">
        <v>173</v>
      </c>
      <c r="B4" s="283">
        <f>'DD Havlíčkův Brod'!L7</f>
        <v>200</v>
      </c>
      <c r="C4" s="284">
        <f>'DD Ždírec'!L7</f>
        <v>0</v>
      </c>
      <c r="D4" s="381">
        <f>'DD Onšov'!L7</f>
        <v>0</v>
      </c>
      <c r="E4" s="299">
        <f>'DD Proseč Obořiště'!L7</f>
        <v>0</v>
      </c>
      <c r="F4" s="299">
        <f>'DD Proseč u Pošné'!L7</f>
        <v>0</v>
      </c>
      <c r="G4" s="299">
        <f>'DD Humpolec'!L7</f>
        <v>0</v>
      </c>
      <c r="H4" s="299">
        <f>'DD Třebíč Koutkova'!L7</f>
        <v>0</v>
      </c>
      <c r="I4" s="299">
        <f>'DD M.Curierových'!L7</f>
        <v>0</v>
      </c>
      <c r="J4" s="299">
        <f>'DD Velký Újezd'!L7</f>
        <v>0</v>
      </c>
      <c r="K4" s="299">
        <f>'DD Náměšť nad Os'!L7</f>
        <v>0</v>
      </c>
      <c r="L4" s="299">
        <f>'DD Mitrov'!L7</f>
        <v>0</v>
      </c>
      <c r="M4" s="495">
        <f>'DD Velké Meziříčí'!L7</f>
        <v>0</v>
      </c>
      <c r="N4" s="503">
        <f>SUM(B4:M4)</f>
        <v>200</v>
      </c>
      <c r="O4" s="283">
        <f>'ÚSP Lidmaň'!L7</f>
        <v>0</v>
      </c>
      <c r="P4" s="284">
        <f>'ÚSP Zboží'!L7</f>
        <v>210</v>
      </c>
      <c r="Q4" s="299">
        <f>'ÚSP Jinošov'!L7</f>
        <v>0</v>
      </c>
      <c r="R4" s="299">
        <f>'ÚSP Věž'!L7</f>
        <v>0</v>
      </c>
      <c r="S4" s="386">
        <f>'ÚSP Křižanov'!L7</f>
        <v>0</v>
      </c>
      <c r="T4" s="299">
        <f>'ÚSP Těchobuz'!L7</f>
        <v>0</v>
      </c>
      <c r="U4" s="299">
        <f>'ÚSP Nové Syrovice'!L7</f>
        <v>0</v>
      </c>
      <c r="V4" s="299">
        <f>'DÚSP Černovice'!L7</f>
        <v>0</v>
      </c>
      <c r="W4" s="299">
        <f>'USP Ledeč nad Sázavou'!L7</f>
        <v>0</v>
      </c>
      <c r="X4" s="495">
        <f>'Psych.Jihl.'!L7</f>
        <v>0</v>
      </c>
      <c r="Y4" s="532">
        <f>SUM(O4:W4)</f>
        <v>210</v>
      </c>
      <c r="Z4" s="509">
        <f>N4+X4+Y4</f>
        <v>410</v>
      </c>
    </row>
    <row r="5" spans="1:26" ht="19.5" customHeight="1">
      <c r="A5" s="368" t="s">
        <v>174</v>
      </c>
      <c r="B5" s="287">
        <f>'DD Havlíčkův Brod'!L8</f>
        <v>10200</v>
      </c>
      <c r="C5" s="288">
        <f>'DD Ždírec'!L8</f>
        <v>16414</v>
      </c>
      <c r="D5" s="300">
        <f>'DD Onšov'!L8</f>
        <v>5900</v>
      </c>
      <c r="E5" s="300">
        <f>'DD Proseč Obořiště'!L8</f>
        <v>9176</v>
      </c>
      <c r="F5" s="300">
        <f>'DD Proseč u Pošné'!L8</f>
        <v>9796</v>
      </c>
      <c r="G5" s="300">
        <f>'DD Humpolec'!L8</f>
        <v>27198</v>
      </c>
      <c r="H5" s="300">
        <f>'DD Třebíč Koutkova'!L8</f>
        <v>25712</v>
      </c>
      <c r="I5" s="300">
        <f>'DD M.Curierových'!L8</f>
        <v>25270</v>
      </c>
      <c r="J5" s="300">
        <f>'DD Velký Újezd'!L8</f>
        <v>17500</v>
      </c>
      <c r="K5" s="300">
        <f>'DD Náměšť nad Os'!L8</f>
        <v>14100</v>
      </c>
      <c r="L5" s="300">
        <f>'DD Mitrov'!L8</f>
        <v>22854</v>
      </c>
      <c r="M5" s="496">
        <f>'DD Velké Meziříčí'!L8</f>
        <v>24700</v>
      </c>
      <c r="N5" s="504">
        <f aca="true" t="shared" si="0" ref="N5:N36">SUM(B5:M5)</f>
        <v>208820</v>
      </c>
      <c r="O5" s="287">
        <f>'ÚSP Lidmaň'!L8</f>
        <v>14061</v>
      </c>
      <c r="P5" s="288">
        <f>'ÚSP Zboží'!L8</f>
        <v>8510</v>
      </c>
      <c r="Q5" s="300">
        <f>'ÚSP Jinošov'!L8</f>
        <v>10405</v>
      </c>
      <c r="R5" s="300">
        <f>'ÚSP Věž'!L8</f>
        <v>8900</v>
      </c>
      <c r="S5" s="387">
        <f>'ÚSP Křižanov'!L8</f>
        <v>24671</v>
      </c>
      <c r="T5" s="300">
        <f>'ÚSP Těchobuz'!L8</f>
        <v>9825</v>
      </c>
      <c r="U5" s="300">
        <f>'ÚSP Nové Syrovice'!L8</f>
        <v>11500</v>
      </c>
      <c r="V5" s="300">
        <f>'DÚSP Černovice'!L8</f>
        <v>28705</v>
      </c>
      <c r="W5" s="300">
        <f>'USP Ledeč nad Sázavou'!L8</f>
        <v>10976</v>
      </c>
      <c r="X5" s="496">
        <f>'Psych.Jihl.'!L8</f>
        <v>0</v>
      </c>
      <c r="Y5" s="533">
        <f aca="true" t="shared" si="1" ref="Y5:Y15">SUM(O5:W5)</f>
        <v>127553</v>
      </c>
      <c r="Z5" s="510">
        <f aca="true" t="shared" si="2" ref="Z5:Z15">N5+X5+Y5</f>
        <v>336373</v>
      </c>
    </row>
    <row r="6" spans="1:26" ht="19.5" customHeight="1">
      <c r="A6" s="368" t="s">
        <v>175</v>
      </c>
      <c r="B6" s="287">
        <f>'DD Havlíčkův Brod'!L9</f>
        <v>0</v>
      </c>
      <c r="C6" s="288">
        <f>'DD Ždírec'!L9</f>
        <v>0</v>
      </c>
      <c r="D6" s="300">
        <f>'DD Onšov'!L9</f>
        <v>0</v>
      </c>
      <c r="E6" s="300">
        <f>'DD Proseč Obořiště'!L9</f>
        <v>0</v>
      </c>
      <c r="F6" s="300">
        <f>'DD Proseč u Pošné'!L9</f>
        <v>0</v>
      </c>
      <c r="G6" s="300">
        <f>'DD Humpolec'!L9</f>
        <v>0</v>
      </c>
      <c r="H6" s="300">
        <f>'DD Třebíč Koutkova'!L9</f>
        <v>0</v>
      </c>
      <c r="I6" s="300">
        <f>'DD M.Curierových'!L9</f>
        <v>0</v>
      </c>
      <c r="J6" s="300">
        <f>'DD Velký Újezd'!L9</f>
        <v>0</v>
      </c>
      <c r="K6" s="300">
        <f>'DD Náměšť nad Os'!L9</f>
        <v>0</v>
      </c>
      <c r="L6" s="300">
        <f>'DD Mitrov'!L9</f>
        <v>0</v>
      </c>
      <c r="M6" s="496">
        <f>'DD Velké Meziříčí'!L9</f>
        <v>0</v>
      </c>
      <c r="N6" s="504">
        <f t="shared" si="0"/>
        <v>0</v>
      </c>
      <c r="O6" s="287">
        <f>'ÚSP Lidmaň'!L9</f>
        <v>0</v>
      </c>
      <c r="P6" s="288">
        <f>'ÚSP Zboží'!L9</f>
        <v>0</v>
      </c>
      <c r="Q6" s="300">
        <f>'ÚSP Jinošov'!L9</f>
        <v>0</v>
      </c>
      <c r="R6" s="300">
        <f>'ÚSP Věž'!L9</f>
        <v>0</v>
      </c>
      <c r="S6" s="387">
        <f>'ÚSP Křižanov'!L9</f>
        <v>0</v>
      </c>
      <c r="T6" s="300">
        <f>'ÚSP Těchobuz'!L9</f>
        <v>0</v>
      </c>
      <c r="U6" s="300">
        <f>'ÚSP Nové Syrovice'!L9</f>
        <v>0</v>
      </c>
      <c r="V6" s="300">
        <f>'DÚSP Černovice'!L9</f>
        <v>0</v>
      </c>
      <c r="W6" s="300">
        <f>'USP Ledeč nad Sázavou'!L9</f>
        <v>0</v>
      </c>
      <c r="X6" s="496">
        <f>'Psych.Jihl.'!L9</f>
        <v>0</v>
      </c>
      <c r="Y6" s="533">
        <f t="shared" si="1"/>
        <v>0</v>
      </c>
      <c r="Z6" s="510">
        <f t="shared" si="2"/>
        <v>0</v>
      </c>
    </row>
    <row r="7" spans="1:26" ht="19.5" customHeight="1">
      <c r="A7" s="368" t="s">
        <v>176</v>
      </c>
      <c r="B7" s="287">
        <f>'DD Havlíčkův Brod'!L10</f>
        <v>0</v>
      </c>
      <c r="C7" s="288">
        <f>'DD Ždírec'!L10</f>
        <v>0</v>
      </c>
      <c r="D7" s="300">
        <f>'DD Onšov'!L10</f>
        <v>0</v>
      </c>
      <c r="E7" s="300">
        <f>'DD Proseč Obořiště'!L10</f>
        <v>0</v>
      </c>
      <c r="F7" s="300">
        <f>'DD Proseč u Pošné'!L10</f>
        <v>0</v>
      </c>
      <c r="G7" s="300">
        <f>'DD Humpolec'!L10</f>
        <v>0</v>
      </c>
      <c r="H7" s="300">
        <f>'DD Třebíč Koutkova'!L10</f>
        <v>0</v>
      </c>
      <c r="I7" s="300">
        <f>'DD M.Curierových'!L10</f>
        <v>0</v>
      </c>
      <c r="J7" s="300">
        <f>'DD Velký Újezd'!L10</f>
        <v>0</v>
      </c>
      <c r="K7" s="300">
        <f>'DD Náměšť nad Os'!L10</f>
        <v>0</v>
      </c>
      <c r="L7" s="300">
        <f>'DD Mitrov'!L10</f>
        <v>2</v>
      </c>
      <c r="M7" s="496">
        <f>'DD Velké Meziříčí'!L10</f>
        <v>0</v>
      </c>
      <c r="N7" s="504">
        <f t="shared" si="0"/>
        <v>2</v>
      </c>
      <c r="O7" s="287">
        <f>'ÚSP Lidmaň'!L10</f>
        <v>0</v>
      </c>
      <c r="P7" s="288">
        <f>'ÚSP Zboží'!L10</f>
        <v>0</v>
      </c>
      <c r="Q7" s="300">
        <f>'ÚSP Jinošov'!L10</f>
        <v>0</v>
      </c>
      <c r="R7" s="300">
        <f>'ÚSP Věž'!L10</f>
        <v>0</v>
      </c>
      <c r="S7" s="387">
        <f>'ÚSP Křižanov'!L10</f>
        <v>0</v>
      </c>
      <c r="T7" s="300">
        <f>'ÚSP Těchobuz'!L10</f>
        <v>0</v>
      </c>
      <c r="U7" s="300">
        <f>'ÚSP Nové Syrovice'!L10</f>
        <v>0</v>
      </c>
      <c r="V7" s="300">
        <f>'DÚSP Černovice'!L10</f>
        <v>0</v>
      </c>
      <c r="W7" s="300">
        <f>'USP Ledeč nad Sázavou'!L10</f>
        <v>0</v>
      </c>
      <c r="X7" s="496">
        <f>'Psych.Jihl.'!L10</f>
        <v>0</v>
      </c>
      <c r="Y7" s="533">
        <f t="shared" si="1"/>
        <v>0</v>
      </c>
      <c r="Z7" s="510">
        <f t="shared" si="2"/>
        <v>2</v>
      </c>
    </row>
    <row r="8" spans="1:26" ht="19.5" customHeight="1">
      <c r="A8" s="368" t="s">
        <v>177</v>
      </c>
      <c r="B8" s="287">
        <f>'DD Havlíčkův Brod'!L11</f>
        <v>1</v>
      </c>
      <c r="C8" s="288">
        <f>'DD Ždírec'!L11</f>
        <v>26</v>
      </c>
      <c r="D8" s="300">
        <f>'DD Onšov'!L11</f>
        <v>0</v>
      </c>
      <c r="E8" s="300">
        <f>'DD Proseč Obořiště'!L11</f>
        <v>30</v>
      </c>
      <c r="F8" s="300">
        <f>'DD Proseč u Pošné'!L11</f>
        <v>55</v>
      </c>
      <c r="G8" s="300">
        <f>'DD Humpolec'!L11</f>
        <v>40</v>
      </c>
      <c r="H8" s="300">
        <f>'DD Třebíč Koutkova'!L11</f>
        <v>50</v>
      </c>
      <c r="I8" s="300">
        <f>'DD M.Curierových'!L11</f>
        <v>60</v>
      </c>
      <c r="J8" s="300">
        <f>'DD Velký Újezd'!L11</f>
        <v>0</v>
      </c>
      <c r="K8" s="300">
        <f>'DD Náměšť nad Os'!L11</f>
        <v>230</v>
      </c>
      <c r="L8" s="300">
        <f>'DD Mitrov'!L11</f>
        <v>800</v>
      </c>
      <c r="M8" s="496">
        <f>'DD Velké Meziříčí'!L11</f>
        <v>630</v>
      </c>
      <c r="N8" s="504">
        <f t="shared" si="0"/>
        <v>1922</v>
      </c>
      <c r="O8" s="287">
        <f>'ÚSP Lidmaň'!L11</f>
        <v>8</v>
      </c>
      <c r="P8" s="288">
        <f>'ÚSP Zboží'!L11</f>
        <v>1</v>
      </c>
      <c r="Q8" s="300">
        <f>'ÚSP Jinošov'!L11</f>
        <v>15</v>
      </c>
      <c r="R8" s="300">
        <f>'ÚSP Věž'!L11</f>
        <v>205</v>
      </c>
      <c r="S8" s="387">
        <f>'ÚSP Křižanov'!L11</f>
        <v>1010</v>
      </c>
      <c r="T8" s="300">
        <f>'ÚSP Těchobuz'!L11</f>
        <v>0</v>
      </c>
      <c r="U8" s="300">
        <f>'ÚSP Nové Syrovice'!L11</f>
        <v>80</v>
      </c>
      <c r="V8" s="300">
        <f>'DÚSP Černovice'!L11</f>
        <v>1929</v>
      </c>
      <c r="W8" s="300">
        <f>'USP Ledeč nad Sázavou'!L11</f>
        <v>257</v>
      </c>
      <c r="X8" s="496">
        <f>'Psych.Jihl.'!L11</f>
        <v>12</v>
      </c>
      <c r="Y8" s="533">
        <f t="shared" si="1"/>
        <v>3505</v>
      </c>
      <c r="Z8" s="510">
        <f t="shared" si="2"/>
        <v>5439</v>
      </c>
    </row>
    <row r="9" spans="1:26" ht="19.5" customHeight="1">
      <c r="A9" s="368" t="s">
        <v>178</v>
      </c>
      <c r="B9" s="287">
        <f>'DD Havlíčkův Brod'!L12</f>
        <v>0</v>
      </c>
      <c r="C9" s="288">
        <f>'DD Ždírec'!L12</f>
        <v>0</v>
      </c>
      <c r="D9" s="300">
        <f>'DD Onšov'!L12</f>
        <v>0</v>
      </c>
      <c r="E9" s="300">
        <f>'DD Proseč Obořiště'!L12</f>
        <v>0</v>
      </c>
      <c r="F9" s="300">
        <f>'DD Proseč u Pošné'!L12</f>
        <v>50</v>
      </c>
      <c r="G9" s="300">
        <f>'DD Humpolec'!L12</f>
        <v>0</v>
      </c>
      <c r="H9" s="300">
        <f>'DD Třebíč Koutkova'!L12</f>
        <v>50</v>
      </c>
      <c r="I9" s="300">
        <f>'DD M.Curierových'!L12</f>
        <v>50</v>
      </c>
      <c r="J9" s="300">
        <f>'DD Velký Újezd'!L12</f>
        <v>0</v>
      </c>
      <c r="K9" s="300">
        <f>'DD Náměšť nad Os'!L12</f>
        <v>80</v>
      </c>
      <c r="L9" s="300">
        <f>'DD Mitrov'!L12</f>
        <v>600</v>
      </c>
      <c r="M9" s="496">
        <f>'DD Velké Meziříčí'!L12</f>
        <v>500</v>
      </c>
      <c r="N9" s="504">
        <f t="shared" si="0"/>
        <v>1330</v>
      </c>
      <c r="O9" s="287">
        <f>'ÚSP Lidmaň'!L12</f>
        <v>7</v>
      </c>
      <c r="P9" s="288">
        <f>'ÚSP Zboží'!L12</f>
        <v>0</v>
      </c>
      <c r="Q9" s="300">
        <f>'ÚSP Jinošov'!L12</f>
        <v>0</v>
      </c>
      <c r="R9" s="300">
        <f>'ÚSP Věž'!L12</f>
        <v>200</v>
      </c>
      <c r="S9" s="387">
        <f>'ÚSP Křižanov'!L12</f>
        <v>750</v>
      </c>
      <c r="T9" s="300">
        <f>'ÚSP Těchobuz'!L12</f>
        <v>0</v>
      </c>
      <c r="U9" s="300">
        <f>'ÚSP Nové Syrovice'!L12</f>
        <v>20</v>
      </c>
      <c r="V9" s="300">
        <f>'DÚSP Černovice'!L12</f>
        <v>1115</v>
      </c>
      <c r="W9" s="300">
        <f>'USP Ledeč nad Sázavou'!L12</f>
        <v>0</v>
      </c>
      <c r="X9" s="496">
        <f>'Psych.Jihl.'!L12</f>
        <v>0</v>
      </c>
      <c r="Y9" s="533">
        <f t="shared" si="1"/>
        <v>2092</v>
      </c>
      <c r="Z9" s="510">
        <f t="shared" si="2"/>
        <v>3422</v>
      </c>
    </row>
    <row r="10" spans="1:26" ht="19.5" customHeight="1">
      <c r="A10" s="368" t="s">
        <v>179</v>
      </c>
      <c r="B10" s="287">
        <f>'DD Havlíčkův Brod'!L13</f>
        <v>0</v>
      </c>
      <c r="C10" s="288">
        <f>'DD Ždírec'!L13</f>
        <v>0</v>
      </c>
      <c r="D10" s="300">
        <f>'DD Onšov'!L13</f>
        <v>0</v>
      </c>
      <c r="E10" s="300">
        <f>'DD Proseč Obořiště'!L13</f>
        <v>0</v>
      </c>
      <c r="F10" s="300">
        <f>'DD Proseč u Pošné'!L13</f>
        <v>0</v>
      </c>
      <c r="G10" s="300">
        <f>'DD Humpolec'!L13</f>
        <v>0</v>
      </c>
      <c r="H10" s="300">
        <f>'DD Třebíč Koutkova'!L13</f>
        <v>0</v>
      </c>
      <c r="I10" s="300">
        <f>'DD M.Curierových'!L13</f>
        <v>0</v>
      </c>
      <c r="J10" s="300">
        <f>'DD Velký Újezd'!L13</f>
        <v>0</v>
      </c>
      <c r="K10" s="300">
        <f>'DD Náměšť nad Os'!L13</f>
        <v>0</v>
      </c>
      <c r="L10" s="300">
        <f>'DD Mitrov'!L13</f>
        <v>0</v>
      </c>
      <c r="M10" s="496">
        <f>'DD Velké Meziříčí'!L13</f>
        <v>0</v>
      </c>
      <c r="N10" s="504">
        <f t="shared" si="0"/>
        <v>0</v>
      </c>
      <c r="O10" s="287">
        <f>'ÚSP Lidmaň'!L13</f>
        <v>0</v>
      </c>
      <c r="P10" s="288">
        <f>'ÚSP Zboží'!L13</f>
        <v>0</v>
      </c>
      <c r="Q10" s="300">
        <f>'ÚSP Jinošov'!L13</f>
        <v>0</v>
      </c>
      <c r="R10" s="300">
        <f>'ÚSP Věž'!L13</f>
        <v>0</v>
      </c>
      <c r="S10" s="387">
        <f>'ÚSP Křižanov'!L13</f>
        <v>0</v>
      </c>
      <c r="T10" s="300">
        <f>'ÚSP Těchobuz'!L13</f>
        <v>0</v>
      </c>
      <c r="U10" s="300">
        <f>'ÚSP Nové Syrovice'!L13</f>
        <v>0</v>
      </c>
      <c r="V10" s="300">
        <f>'DÚSP Černovice'!L13</f>
        <v>0</v>
      </c>
      <c r="W10" s="300">
        <f>'USP Ledeč nad Sázavou'!L13</f>
        <v>0</v>
      </c>
      <c r="X10" s="496">
        <f>'Psych.Jihl.'!L13</f>
        <v>0</v>
      </c>
      <c r="Y10" s="533">
        <f t="shared" si="1"/>
        <v>0</v>
      </c>
      <c r="Z10" s="510">
        <f t="shared" si="2"/>
        <v>0</v>
      </c>
    </row>
    <row r="11" spans="1:26" ht="28.5" customHeight="1">
      <c r="A11" s="368" t="s">
        <v>180</v>
      </c>
      <c r="B11" s="287">
        <f>'DD Havlíčkův Brod'!L14</f>
        <v>0</v>
      </c>
      <c r="C11" s="288">
        <f>'DD Ždírec'!L14</f>
        <v>0</v>
      </c>
      <c r="D11" s="300">
        <f>'DD Onšov'!L14</f>
        <v>0</v>
      </c>
      <c r="E11" s="300">
        <f>'DD Proseč Obořiště'!L14</f>
        <v>0</v>
      </c>
      <c r="F11" s="300">
        <f>'DD Proseč u Pošné'!L14</f>
        <v>0</v>
      </c>
      <c r="G11" s="300">
        <f>'DD Humpolec'!L14</f>
        <v>0</v>
      </c>
      <c r="H11" s="300">
        <f>'DD Třebíč Koutkova'!L14</f>
        <v>0</v>
      </c>
      <c r="I11" s="300">
        <f>'DD M.Curierových'!L14</f>
        <v>0</v>
      </c>
      <c r="J11" s="300">
        <f>'DD Velký Újezd'!L14</f>
        <v>0</v>
      </c>
      <c r="K11" s="300">
        <f>'DD Náměšť nad Os'!L14</f>
        <v>0</v>
      </c>
      <c r="L11" s="300">
        <f>'DD Mitrov'!L14</f>
        <v>0</v>
      </c>
      <c r="M11" s="496">
        <f>'DD Velké Meziříčí'!L14</f>
        <v>0</v>
      </c>
      <c r="N11" s="504">
        <f t="shared" si="0"/>
        <v>0</v>
      </c>
      <c r="O11" s="287">
        <f>'ÚSP Lidmaň'!L14</f>
        <v>0</v>
      </c>
      <c r="P11" s="288">
        <f>'ÚSP Zboží'!L14</f>
        <v>0</v>
      </c>
      <c r="Q11" s="300">
        <f>'ÚSP Jinošov'!L14</f>
        <v>0</v>
      </c>
      <c r="R11" s="300">
        <f>'ÚSP Věž'!L14</f>
        <v>0</v>
      </c>
      <c r="S11" s="387">
        <f>'ÚSP Křižanov'!L14</f>
        <v>0</v>
      </c>
      <c r="T11" s="300">
        <f>'ÚSP Těchobuz'!L14</f>
        <v>0</v>
      </c>
      <c r="U11" s="300">
        <f>'ÚSP Nové Syrovice'!L14</f>
        <v>0</v>
      </c>
      <c r="V11" s="300">
        <f>'DÚSP Černovice'!L14</f>
        <v>0</v>
      </c>
      <c r="W11" s="300">
        <f>'USP Ledeč nad Sázavou'!L14</f>
        <v>0</v>
      </c>
      <c r="X11" s="496">
        <f>'Psych.Jihl.'!L14</f>
        <v>0</v>
      </c>
      <c r="Y11" s="533">
        <f t="shared" si="1"/>
        <v>0</v>
      </c>
      <c r="Z11" s="510">
        <f t="shared" si="2"/>
        <v>0</v>
      </c>
    </row>
    <row r="12" spans="1:26" ht="19.5" customHeight="1">
      <c r="A12" s="368" t="s">
        <v>181</v>
      </c>
      <c r="B12" s="287">
        <f>'DD Havlíčkův Brod'!L15</f>
        <v>6486</v>
      </c>
      <c r="C12" s="288">
        <f>'DD Ždírec'!L15</f>
        <v>8745</v>
      </c>
      <c r="D12" s="300">
        <f>'DD Onšov'!L15</f>
        <v>2441</v>
      </c>
      <c r="E12" s="300">
        <f>'DD Proseč Obořiště'!L15</f>
        <v>5116</v>
      </c>
      <c r="F12" s="300">
        <f>'DD Proseč u Pošné'!L15</f>
        <v>5599</v>
      </c>
      <c r="G12" s="300">
        <f>'DD Humpolec'!L15</f>
        <v>11532</v>
      </c>
      <c r="H12" s="300">
        <f>'DD Třebíč Koutkova'!L15</f>
        <v>15963</v>
      </c>
      <c r="I12" s="300">
        <f>'DD M.Curierových'!L15</f>
        <v>17358</v>
      </c>
      <c r="J12" s="300">
        <f>'DD Velký Újezd'!L15</f>
        <v>7566</v>
      </c>
      <c r="K12" s="300">
        <f>'DD Náměšť nad Os'!L15</f>
        <v>7247</v>
      </c>
      <c r="L12" s="300">
        <f>'DD Mitrov'!L15</f>
        <v>10706</v>
      </c>
      <c r="M12" s="496">
        <f>'DD Velké Meziříčí'!L15</f>
        <v>11937</v>
      </c>
      <c r="N12" s="504">
        <f t="shared" si="0"/>
        <v>110696</v>
      </c>
      <c r="O12" s="287">
        <f>'ÚSP Lidmaň'!L15</f>
        <v>8800</v>
      </c>
      <c r="P12" s="288">
        <f>'ÚSP Zboží'!L15</f>
        <v>6039</v>
      </c>
      <c r="Q12" s="300">
        <f>'ÚSP Jinošov'!L15</f>
        <v>6922</v>
      </c>
      <c r="R12" s="300">
        <f>'ÚSP Věž'!L15</f>
        <v>7489</v>
      </c>
      <c r="S12" s="387">
        <f>'ÚSP Křižanov'!L15</f>
        <v>9018</v>
      </c>
      <c r="T12" s="300">
        <f>'ÚSP Těchobuz'!L15</f>
        <v>7174</v>
      </c>
      <c r="U12" s="300">
        <f>'ÚSP Nové Syrovice'!L15</f>
        <v>9361</v>
      </c>
      <c r="V12" s="300">
        <f>'DÚSP Černovice'!L15</f>
        <v>27671</v>
      </c>
      <c r="W12" s="300">
        <f>'USP Ledeč nad Sázavou'!L15</f>
        <v>7771</v>
      </c>
      <c r="X12" s="496">
        <f>'Psych.Jihl.'!L15</f>
        <v>7155</v>
      </c>
      <c r="Y12" s="533">
        <f t="shared" si="1"/>
        <v>90245</v>
      </c>
      <c r="Z12" s="510">
        <f t="shared" si="2"/>
        <v>208096</v>
      </c>
    </row>
    <row r="13" spans="1:26" ht="19.5" customHeight="1">
      <c r="A13" s="369" t="s">
        <v>310</v>
      </c>
      <c r="B13" s="287">
        <f>'DD Havlíčkův Brod'!L16</f>
        <v>312</v>
      </c>
      <c r="C13" s="288">
        <f>'DD Ždírec'!L16</f>
        <v>552</v>
      </c>
      <c r="D13" s="300">
        <f>'DD Onšov'!L16</f>
        <v>190</v>
      </c>
      <c r="E13" s="300">
        <f>'DD Proseč Obořiště'!L16</f>
        <v>325</v>
      </c>
      <c r="F13" s="300">
        <f>'DD Proseč u Pošné'!L16</f>
        <v>320</v>
      </c>
      <c r="G13" s="300">
        <f>'DD Humpolec'!L16</f>
        <v>942</v>
      </c>
      <c r="H13" s="300">
        <f>'DD Třebíč Koutkova'!L16</f>
        <v>793</v>
      </c>
      <c r="I13" s="300">
        <f>'DD M.Curierových'!L16</f>
        <v>905</v>
      </c>
      <c r="J13" s="300">
        <f>'DD Velký Újezd'!L16</f>
        <v>626</v>
      </c>
      <c r="K13" s="300">
        <f>'DD Náměšť nad Os'!L16</f>
        <v>427</v>
      </c>
      <c r="L13" s="300">
        <f>'DD Mitrov'!L16</f>
        <v>603</v>
      </c>
      <c r="M13" s="496">
        <f>'DD Velké Meziříčí'!L16</f>
        <v>765</v>
      </c>
      <c r="N13" s="504">
        <f t="shared" si="0"/>
        <v>6760</v>
      </c>
      <c r="O13" s="287">
        <f>'ÚSP Lidmaň'!L16</f>
        <v>562</v>
      </c>
      <c r="P13" s="288">
        <f>'ÚSP Zboží'!L16</f>
        <v>324</v>
      </c>
      <c r="Q13" s="300">
        <f>'ÚSP Jinošov'!L16</f>
        <v>379</v>
      </c>
      <c r="R13" s="300">
        <f>'ÚSP Věž'!L16</f>
        <v>433</v>
      </c>
      <c r="S13" s="387">
        <f>'ÚSP Křižanov'!L16</f>
        <v>874</v>
      </c>
      <c r="T13" s="300">
        <f>'ÚSP Těchobuz'!L16</f>
        <v>368</v>
      </c>
      <c r="U13" s="300">
        <f>'ÚSP Nové Syrovice'!L16</f>
        <v>541</v>
      </c>
      <c r="V13" s="300">
        <f>'DÚSP Černovice'!L16</f>
        <v>916</v>
      </c>
      <c r="W13" s="300">
        <f>'USP Ledeč nad Sázavou'!L16</f>
        <v>433</v>
      </c>
      <c r="X13" s="496">
        <f>'Psych.Jihl.'!L16</f>
        <v>635</v>
      </c>
      <c r="Y13" s="533">
        <f t="shared" si="1"/>
        <v>4830</v>
      </c>
      <c r="Z13" s="510">
        <f t="shared" si="2"/>
        <v>12225</v>
      </c>
    </row>
    <row r="14" spans="1:26" ht="19.5" customHeight="1">
      <c r="A14" s="369" t="s">
        <v>311</v>
      </c>
      <c r="B14" s="287">
        <f>'DD Havlíčkův Brod'!L17</f>
        <v>6174</v>
      </c>
      <c r="C14" s="288">
        <f>'DD Ždírec'!L17</f>
        <v>8193</v>
      </c>
      <c r="D14" s="300">
        <f>'DD Onšov'!L17</f>
        <v>2251</v>
      </c>
      <c r="E14" s="300">
        <f>'DD Proseč Obořiště'!L17</f>
        <v>4631</v>
      </c>
      <c r="F14" s="300">
        <f>'DD Proseč u Pošné'!L17</f>
        <v>5279</v>
      </c>
      <c r="G14" s="300">
        <f>'DD Humpolec'!L17</f>
        <v>10590</v>
      </c>
      <c r="H14" s="300">
        <f>'DD Třebíč Koutkova'!L17</f>
        <v>15170</v>
      </c>
      <c r="I14" s="300">
        <f>'DD M.Curierových'!L17</f>
        <v>16453</v>
      </c>
      <c r="J14" s="300">
        <f>'DD Velký Újezd'!L17</f>
        <v>6940</v>
      </c>
      <c r="K14" s="300">
        <f>'DD Náměšť nad Os'!L17</f>
        <v>6820</v>
      </c>
      <c r="L14" s="300">
        <f>'DD Mitrov'!L17</f>
        <v>9903</v>
      </c>
      <c r="M14" s="496">
        <f>'DD Velké Meziříčí'!L17</f>
        <v>11037</v>
      </c>
      <c r="N14" s="504">
        <f t="shared" si="0"/>
        <v>103441</v>
      </c>
      <c r="O14" s="287">
        <f>'ÚSP Lidmaň'!L17</f>
        <v>8238</v>
      </c>
      <c r="P14" s="288">
        <f>'ÚSP Zboží'!L17</f>
        <v>5715</v>
      </c>
      <c r="Q14" s="300">
        <f>'ÚSP Jinošov'!L17</f>
        <v>6543</v>
      </c>
      <c r="R14" s="300">
        <f>'ÚSP Věž'!L17</f>
        <v>7056</v>
      </c>
      <c r="S14" s="387">
        <f>'ÚSP Křižanov'!L17</f>
        <v>7919</v>
      </c>
      <c r="T14" s="300">
        <f>'ÚSP Těchobuz'!L17</f>
        <v>6806</v>
      </c>
      <c r="U14" s="300">
        <f>'ÚSP Nové Syrovice'!L17</f>
        <v>8820</v>
      </c>
      <c r="V14" s="300">
        <f>'DÚSP Černovice'!L17</f>
        <v>26755</v>
      </c>
      <c r="W14" s="300">
        <f>'USP Ledeč nad Sázavou'!L17</f>
        <v>7338.2</v>
      </c>
      <c r="X14" s="496">
        <f>'Psych.Jihl.'!L17</f>
        <v>6520</v>
      </c>
      <c r="Y14" s="533">
        <f t="shared" si="1"/>
        <v>85190.2</v>
      </c>
      <c r="Z14" s="510">
        <f t="shared" si="2"/>
        <v>195151.2</v>
      </c>
    </row>
    <row r="15" spans="1:26" ht="19.5" customHeight="1" thickBot="1">
      <c r="A15" s="370" t="s">
        <v>416</v>
      </c>
      <c r="B15" s="291">
        <f>'DD Havlíčkův Brod'!L18</f>
        <v>0</v>
      </c>
      <c r="C15" s="292">
        <f>'DD Ždírec'!L18</f>
        <v>0</v>
      </c>
      <c r="D15" s="396">
        <f>'DD Onšov'!L18</f>
        <v>0</v>
      </c>
      <c r="E15" s="375">
        <f>'DD Proseč Obořiště'!L18</f>
        <v>160</v>
      </c>
      <c r="F15" s="375">
        <f>'DD Proseč u Pošné'!L18</f>
        <v>0</v>
      </c>
      <c r="G15" s="375">
        <f>'DD Humpolec'!L18</f>
        <v>0</v>
      </c>
      <c r="H15" s="375">
        <f>'DD Třebíč Koutkova'!L18</f>
        <v>0</v>
      </c>
      <c r="I15" s="375">
        <f>'DD M.Curierových'!L18</f>
        <v>0</v>
      </c>
      <c r="J15" s="375">
        <f>'DD Velký Újezd'!L18</f>
        <v>0</v>
      </c>
      <c r="K15" s="375">
        <f>'DD Náměšť nad Os'!L18</f>
        <v>0</v>
      </c>
      <c r="L15" s="375">
        <f>'DD Mitrov'!L18</f>
        <v>200</v>
      </c>
      <c r="M15" s="497">
        <f>'DD Velké Meziříčí'!L18</f>
        <v>135</v>
      </c>
      <c r="N15" s="505">
        <f t="shared" si="0"/>
        <v>495</v>
      </c>
      <c r="O15" s="291">
        <f>'ÚSP Lidmaň'!L18</f>
        <v>0</v>
      </c>
      <c r="P15" s="292">
        <f>'ÚSP Zboží'!L18</f>
        <v>0</v>
      </c>
      <c r="Q15" s="375">
        <f>'ÚSP Jinošov'!L18</f>
        <v>0</v>
      </c>
      <c r="R15" s="375">
        <f>'ÚSP Věž'!L18</f>
        <v>0</v>
      </c>
      <c r="S15" s="388">
        <f>'ÚSP Křižanov'!L18</f>
        <v>225</v>
      </c>
      <c r="T15" s="375">
        <f>'ÚSP Těchobuz'!L18</f>
        <v>0</v>
      </c>
      <c r="U15" s="375">
        <f>'ÚSP Nové Syrovice'!L18</f>
        <v>0</v>
      </c>
      <c r="V15" s="375">
        <f>'DÚSP Černovice'!L18</f>
        <v>0</v>
      </c>
      <c r="W15" s="375">
        <f>'USP Ledeč nad Sázavou'!L18</f>
        <v>0</v>
      </c>
      <c r="X15" s="497">
        <f>'Psych.Jihl.'!L18</f>
        <v>0</v>
      </c>
      <c r="Y15" s="534">
        <f t="shared" si="1"/>
        <v>225</v>
      </c>
      <c r="Z15" s="535">
        <f t="shared" si="2"/>
        <v>720</v>
      </c>
    </row>
    <row r="16" spans="1:26" ht="19.5" customHeight="1" thickBot="1">
      <c r="A16" s="371" t="s">
        <v>182</v>
      </c>
      <c r="B16" s="382">
        <f>'DD Havlíčkův Brod'!L19</f>
        <v>16887</v>
      </c>
      <c r="C16" s="383">
        <f>'DD Ždírec'!L19</f>
        <v>25185</v>
      </c>
      <c r="D16" s="384">
        <f>'DD Onšov'!L19</f>
        <v>8341</v>
      </c>
      <c r="E16" s="384">
        <f>'DD Proseč Obořiště'!L19</f>
        <v>14322</v>
      </c>
      <c r="F16" s="384">
        <f>'DD Proseč u Pošné'!L19</f>
        <v>15450</v>
      </c>
      <c r="G16" s="384">
        <f>'DD Humpolec'!L19</f>
        <v>38770</v>
      </c>
      <c r="H16" s="384">
        <f>'DD Třebíč Koutkova'!L19</f>
        <v>41725</v>
      </c>
      <c r="I16" s="384">
        <f>'DD M.Curierových'!L19</f>
        <v>42688</v>
      </c>
      <c r="J16" s="384">
        <f>'DD Velký Újezd'!L19</f>
        <v>25066</v>
      </c>
      <c r="K16" s="384">
        <f>'DD Náměšť nad Os'!L19</f>
        <v>21577</v>
      </c>
      <c r="L16" s="384">
        <f>'DD Mitrov'!L19</f>
        <v>34362</v>
      </c>
      <c r="M16" s="498">
        <f>'DD Velké Meziříčí'!L19</f>
        <v>37267</v>
      </c>
      <c r="N16" s="507">
        <f t="shared" si="0"/>
        <v>321640</v>
      </c>
      <c r="O16" s="382">
        <f>'ÚSP Lidmaň'!L19</f>
        <v>22869</v>
      </c>
      <c r="P16" s="383">
        <f>'ÚSP Zboží'!L19</f>
        <v>14760</v>
      </c>
      <c r="Q16" s="384">
        <f>'ÚSP Jinošov'!L19</f>
        <v>17342</v>
      </c>
      <c r="R16" s="384">
        <f>'ÚSP Věž'!L19</f>
        <v>16594</v>
      </c>
      <c r="S16" s="390">
        <f>'ÚSP Křižanov'!L19</f>
        <v>34699</v>
      </c>
      <c r="T16" s="384">
        <f>'ÚSP Těchobuz'!L19</f>
        <v>16999</v>
      </c>
      <c r="U16" s="384">
        <f>'ÚSP Nové Syrovice'!L19</f>
        <v>20941</v>
      </c>
      <c r="V16" s="384">
        <f>'DÚSP Černovice'!L19</f>
        <v>58305</v>
      </c>
      <c r="W16" s="384">
        <f>'USP Ledeč nad Sázavou'!L19</f>
        <v>19004</v>
      </c>
      <c r="X16" s="385">
        <f>'Psych.Jihl.'!L19</f>
        <v>7167</v>
      </c>
      <c r="Y16" s="518">
        <f>SUM(O16:W16)</f>
        <v>221513</v>
      </c>
      <c r="Z16" s="518">
        <f>N16+X16+Y16</f>
        <v>550320</v>
      </c>
    </row>
    <row r="17" spans="1:26" ht="19.5" customHeight="1">
      <c r="A17" s="367" t="s">
        <v>183</v>
      </c>
      <c r="B17" s="379">
        <f>'DD Havlíčkův Brod'!L20</f>
        <v>3360</v>
      </c>
      <c r="C17" s="380">
        <f>'DD Ždírec'!L20</f>
        <v>4465</v>
      </c>
      <c r="D17" s="381">
        <f>'DD Onšov'!L20</f>
        <v>1420</v>
      </c>
      <c r="E17" s="381">
        <f>'DD Proseč Obořiště'!L20</f>
        <v>2605</v>
      </c>
      <c r="F17" s="381">
        <f>'DD Proseč u Pošné'!L20</f>
        <v>3641</v>
      </c>
      <c r="G17" s="381">
        <f>'DD Humpolec'!L20</f>
        <v>7921</v>
      </c>
      <c r="H17" s="381">
        <f>'DD Třebíč Koutkova'!L20</f>
        <v>7990</v>
      </c>
      <c r="I17" s="381">
        <f>'DD M.Curierových'!L20</f>
        <v>6725</v>
      </c>
      <c r="J17" s="381">
        <f>'DD Velký Újezd'!L20</f>
        <v>5199</v>
      </c>
      <c r="K17" s="381">
        <f>'DD Náměšť nad Os'!L20</f>
        <v>4100</v>
      </c>
      <c r="L17" s="381">
        <f>'DD Mitrov'!L20</f>
        <v>5240</v>
      </c>
      <c r="M17" s="499">
        <f>'DD Velké Meziříčí'!L20</f>
        <v>6203</v>
      </c>
      <c r="N17" s="506">
        <f t="shared" si="0"/>
        <v>58869</v>
      </c>
      <c r="O17" s="379">
        <f>'ÚSP Lidmaň'!L20</f>
        <v>3565</v>
      </c>
      <c r="P17" s="380">
        <f>'ÚSP Zboží'!L20</f>
        <v>2800</v>
      </c>
      <c r="Q17" s="381">
        <f>'ÚSP Jinošov'!L20</f>
        <v>3140</v>
      </c>
      <c r="R17" s="381">
        <f>'ÚSP Věž'!L20</f>
        <v>3540</v>
      </c>
      <c r="S17" s="389">
        <f>'ÚSP Křižanov'!L20</f>
        <v>5500</v>
      </c>
      <c r="T17" s="381">
        <f>'ÚSP Těchobuz'!L20</f>
        <v>3258</v>
      </c>
      <c r="U17" s="381">
        <f>'ÚSP Nové Syrovice'!L20</f>
        <v>5100</v>
      </c>
      <c r="V17" s="381">
        <f>'DÚSP Černovice'!L20</f>
        <v>7715</v>
      </c>
      <c r="W17" s="381">
        <f>'USP Ledeč nad Sázavou'!L20</f>
        <v>1350</v>
      </c>
      <c r="X17" s="499">
        <f>'Psych.Jihl.'!L20</f>
        <v>345</v>
      </c>
      <c r="Y17" s="532">
        <f>SUM(O17:W17)</f>
        <v>35968</v>
      </c>
      <c r="Z17" s="509">
        <f>N17+X17+Y17</f>
        <v>95182</v>
      </c>
    </row>
    <row r="18" spans="1:26" ht="29.25" customHeight="1">
      <c r="A18" s="368" t="s">
        <v>184</v>
      </c>
      <c r="B18" s="287">
        <f>'DD Havlíčkův Brod'!L21</f>
        <v>300</v>
      </c>
      <c r="C18" s="288">
        <f>'DD Ždírec'!L21</f>
        <v>300</v>
      </c>
      <c r="D18" s="300">
        <f>'DD Onšov'!L21</f>
        <v>300</v>
      </c>
      <c r="E18" s="300">
        <f>'DD Proseč Obořiště'!L21</f>
        <v>300</v>
      </c>
      <c r="F18" s="300">
        <f>'DD Proseč u Pošné'!L21</f>
        <v>440</v>
      </c>
      <c r="G18" s="300">
        <f>'DD Humpolec'!L21</f>
        <v>970</v>
      </c>
      <c r="H18" s="300">
        <f>'DD Třebíč Koutkova'!L21</f>
        <v>400</v>
      </c>
      <c r="I18" s="300">
        <f>'DD M.Curierových'!L21</f>
        <v>705</v>
      </c>
      <c r="J18" s="300">
        <f>'DD Velký Újezd'!L21</f>
        <v>300</v>
      </c>
      <c r="K18" s="300">
        <f>'DD Náměšť nad Os'!L21</f>
        <v>500</v>
      </c>
      <c r="L18" s="300">
        <f>'DD Mitrov'!L21</f>
        <v>500</v>
      </c>
      <c r="M18" s="496">
        <f>'DD Velké Meziříčí'!L21</f>
        <v>452</v>
      </c>
      <c r="N18" s="504">
        <f t="shared" si="0"/>
        <v>5467</v>
      </c>
      <c r="O18" s="287">
        <f>'ÚSP Lidmaň'!L21</f>
        <v>250</v>
      </c>
      <c r="P18" s="288">
        <f>'ÚSP Zboží'!L21</f>
        <v>250</v>
      </c>
      <c r="Q18" s="300">
        <f>'ÚSP Jinošov'!L21</f>
        <v>300</v>
      </c>
      <c r="R18" s="300">
        <f>'ÚSP Věž'!L21</f>
        <v>300</v>
      </c>
      <c r="S18" s="387">
        <f>'ÚSP Křižanov'!L21</f>
        <v>400</v>
      </c>
      <c r="T18" s="300">
        <f>'ÚSP Těchobuz'!L21</f>
        <v>200</v>
      </c>
      <c r="U18" s="300">
        <f>'ÚSP Nové Syrovice'!L21</f>
        <v>1100</v>
      </c>
      <c r="V18" s="300">
        <f>'DÚSP Černovice'!L21</f>
        <v>1100</v>
      </c>
      <c r="W18" s="300">
        <f>'USP Ledeč nad Sázavou'!L21</f>
        <v>600</v>
      </c>
      <c r="X18" s="496">
        <f>'Psych.Jihl.'!L21</f>
        <v>210</v>
      </c>
      <c r="Y18" s="533">
        <f aca="true" t="shared" si="3" ref="Y18:Y34">SUM(O18:W18)</f>
        <v>4500</v>
      </c>
      <c r="Z18" s="510">
        <f aca="true" t="shared" si="4" ref="Z18:Z34">N18+X18+Y18</f>
        <v>10177</v>
      </c>
    </row>
    <row r="19" spans="1:26" ht="19.5" customHeight="1">
      <c r="A19" s="368" t="s">
        <v>185</v>
      </c>
      <c r="B19" s="287">
        <f>'DD Havlíčkův Brod'!L22</f>
        <v>980</v>
      </c>
      <c r="C19" s="288">
        <f>'DD Ždírec'!L22</f>
        <v>1940</v>
      </c>
      <c r="D19" s="300">
        <f>'DD Onšov'!L22</f>
        <v>719</v>
      </c>
      <c r="E19" s="300">
        <f>'DD Proseč Obořiště'!L22</f>
        <v>1300</v>
      </c>
      <c r="F19" s="300">
        <f>'DD Proseč u Pošné'!L22</f>
        <v>602</v>
      </c>
      <c r="G19" s="300">
        <f>'DD Humpolec'!L22</f>
        <v>3190</v>
      </c>
      <c r="H19" s="300">
        <f>'DD Třebíč Koutkova'!L22</f>
        <v>3800</v>
      </c>
      <c r="I19" s="300">
        <f>'DD M.Curierových'!L22</f>
        <v>3500</v>
      </c>
      <c r="J19" s="300">
        <f>'DD Velký Újezd'!L22</f>
        <v>1560</v>
      </c>
      <c r="K19" s="300">
        <f>'DD Náměšť nad Os'!L22</f>
        <v>2700</v>
      </c>
      <c r="L19" s="300">
        <f>'DD Mitrov'!L22</f>
        <v>2655</v>
      </c>
      <c r="M19" s="496">
        <f>'DD Velké Meziříčí'!L22</f>
        <v>2864</v>
      </c>
      <c r="N19" s="504">
        <f t="shared" si="0"/>
        <v>25810</v>
      </c>
      <c r="O19" s="287">
        <f>'ÚSP Lidmaň'!L22</f>
        <v>1970</v>
      </c>
      <c r="P19" s="288">
        <f>'ÚSP Zboží'!L22</f>
        <v>2100</v>
      </c>
      <c r="Q19" s="300">
        <f>'ÚSP Jinošov'!L22</f>
        <v>1370</v>
      </c>
      <c r="R19" s="300">
        <f>'ÚSP Věž'!L22</f>
        <v>1140</v>
      </c>
      <c r="S19" s="387">
        <f>'ÚSP Křižanov'!L22</f>
        <v>2507</v>
      </c>
      <c r="T19" s="300">
        <f>'ÚSP Těchobuz'!L22</f>
        <v>663</v>
      </c>
      <c r="U19" s="300">
        <f>'ÚSP Nové Syrovice'!L22</f>
        <v>2100</v>
      </c>
      <c r="V19" s="300">
        <f>'DÚSP Černovice'!L22</f>
        <v>3550</v>
      </c>
      <c r="W19" s="300">
        <f>'USP Ledeč nad Sázavou'!L22</f>
        <v>1500</v>
      </c>
      <c r="X19" s="496">
        <f>'Psych.Jihl.'!L22</f>
        <v>253</v>
      </c>
      <c r="Y19" s="533">
        <f t="shared" si="3"/>
        <v>16900</v>
      </c>
      <c r="Z19" s="510">
        <f t="shared" si="4"/>
        <v>42963</v>
      </c>
    </row>
    <row r="20" spans="1:26" ht="19.5" customHeight="1">
      <c r="A20" s="368" t="s">
        <v>186</v>
      </c>
      <c r="B20" s="287">
        <f>'DD Havlíčkův Brod'!L23</f>
        <v>0</v>
      </c>
      <c r="C20" s="288">
        <f>'DD Ždírec'!L23</f>
        <v>0</v>
      </c>
      <c r="D20" s="300">
        <f>'DD Onšov'!L23</f>
        <v>0</v>
      </c>
      <c r="E20" s="300">
        <f>'DD Proseč Obořiště'!L23</f>
        <v>65</v>
      </c>
      <c r="F20" s="300">
        <f>'DD Proseč u Pošné'!L23</f>
        <v>83</v>
      </c>
      <c r="G20" s="300">
        <f>'DD Humpolec'!L23</f>
        <v>0</v>
      </c>
      <c r="H20" s="300">
        <f>'DD Třebíč Koutkova'!L23</f>
        <v>0</v>
      </c>
      <c r="I20" s="300">
        <f>'DD M.Curierových'!L23</f>
        <v>0</v>
      </c>
      <c r="J20" s="300">
        <f>'DD Velký Újezd'!L23</f>
        <v>0</v>
      </c>
      <c r="K20" s="300">
        <f>'DD Náměšť nad Os'!L23</f>
        <v>0</v>
      </c>
      <c r="L20" s="300">
        <f>'DD Mitrov'!L23</f>
        <v>0</v>
      </c>
      <c r="M20" s="496">
        <f>'DD Velké Meziříčí'!L23</f>
        <v>0</v>
      </c>
      <c r="N20" s="504">
        <f t="shared" si="0"/>
        <v>148</v>
      </c>
      <c r="O20" s="287">
        <f>'ÚSP Lidmaň'!L23</f>
        <v>0</v>
      </c>
      <c r="P20" s="288">
        <f>'ÚSP Zboží'!L23</f>
        <v>0</v>
      </c>
      <c r="Q20" s="300">
        <f>'ÚSP Jinošov'!L23</f>
        <v>0</v>
      </c>
      <c r="R20" s="300">
        <f>'ÚSP Věž'!L23</f>
        <v>0</v>
      </c>
      <c r="S20" s="387">
        <f>'ÚSP Křižanov'!L23</f>
        <v>0</v>
      </c>
      <c r="T20" s="300">
        <f>'ÚSP Těchobuz'!L23</f>
        <v>0</v>
      </c>
      <c r="U20" s="300">
        <f>'ÚSP Nové Syrovice'!L23</f>
        <v>0</v>
      </c>
      <c r="V20" s="300">
        <f>'DÚSP Černovice'!L23</f>
        <v>0</v>
      </c>
      <c r="W20" s="300">
        <f>'USP Ledeč nad Sázavou'!L23</f>
        <v>0</v>
      </c>
      <c r="X20" s="496">
        <f>'Psych.Jihl.'!L23</f>
        <v>0</v>
      </c>
      <c r="Y20" s="533">
        <f t="shared" si="3"/>
        <v>0</v>
      </c>
      <c r="Z20" s="510">
        <f t="shared" si="4"/>
        <v>148</v>
      </c>
    </row>
    <row r="21" spans="1:26" ht="19.5" customHeight="1">
      <c r="A21" s="368" t="s">
        <v>298</v>
      </c>
      <c r="B21" s="287">
        <f>'DD Havlíčkův Brod'!L24</f>
        <v>20</v>
      </c>
      <c r="C21" s="288">
        <f>'DD Ždírec'!L24</f>
        <v>15</v>
      </c>
      <c r="D21" s="300">
        <f>'DD Onšov'!L24</f>
        <v>10</v>
      </c>
      <c r="E21" s="300">
        <f>'DD Proseč Obořiště'!L24</f>
        <v>20</v>
      </c>
      <c r="F21" s="300">
        <f>'DD Proseč u Pošné'!L24</f>
        <v>40</v>
      </c>
      <c r="G21" s="300">
        <f>'DD Humpolec'!L24</f>
        <v>40</v>
      </c>
      <c r="H21" s="300">
        <f>'DD Třebíč Koutkova'!L24</f>
        <v>40</v>
      </c>
      <c r="I21" s="300">
        <f>'DD M.Curierových'!L24</f>
        <v>35</v>
      </c>
      <c r="J21" s="300">
        <f>'DD Velký Újezd'!L24</f>
        <v>30</v>
      </c>
      <c r="K21" s="300">
        <f>'DD Náměšť nad Os'!L24</f>
        <v>40</v>
      </c>
      <c r="L21" s="300">
        <f>'DD Mitrov'!L24</f>
        <v>22</v>
      </c>
      <c r="M21" s="496">
        <f>'DD Velké Meziříčí'!L24</f>
        <v>26</v>
      </c>
      <c r="N21" s="504">
        <f t="shared" si="0"/>
        <v>338</v>
      </c>
      <c r="O21" s="287">
        <f>'ÚSP Lidmaň'!L24</f>
        <v>65</v>
      </c>
      <c r="P21" s="288">
        <f>'ÚSP Zboží'!L24</f>
        <v>12</v>
      </c>
      <c r="Q21" s="300">
        <f>'ÚSP Jinošov'!L24</f>
        <v>25</v>
      </c>
      <c r="R21" s="300">
        <f>'ÚSP Věž'!L24</f>
        <v>20</v>
      </c>
      <c r="S21" s="387">
        <f>'ÚSP Křižanov'!L24</f>
        <v>30</v>
      </c>
      <c r="T21" s="300">
        <f>'ÚSP Těchobuz'!L24</f>
        <v>93</v>
      </c>
      <c r="U21" s="300">
        <f>'ÚSP Nové Syrovice'!L24</f>
        <v>40</v>
      </c>
      <c r="V21" s="300">
        <f>'DÚSP Černovice'!L24</f>
        <v>70</v>
      </c>
      <c r="W21" s="300">
        <f>'USP Ledeč nad Sázavou'!L24</f>
        <v>50</v>
      </c>
      <c r="X21" s="496">
        <f>'Psych.Jihl.'!L24</f>
        <v>119</v>
      </c>
      <c r="Y21" s="533">
        <f t="shared" si="3"/>
        <v>405</v>
      </c>
      <c r="Z21" s="510">
        <f t="shared" si="4"/>
        <v>862</v>
      </c>
    </row>
    <row r="22" spans="1:26" ht="19.5" customHeight="1">
      <c r="A22" s="368" t="s">
        <v>187</v>
      </c>
      <c r="B22" s="287">
        <f>'DD Havlíčkův Brod'!L25</f>
        <v>1081</v>
      </c>
      <c r="C22" s="288">
        <f>'DD Ždírec'!L25</f>
        <v>783</v>
      </c>
      <c r="D22" s="300">
        <f>'DD Onšov'!L25</f>
        <v>944</v>
      </c>
      <c r="E22" s="300">
        <f>'DD Proseč Obořiště'!L25</f>
        <v>900</v>
      </c>
      <c r="F22" s="300">
        <f>'DD Proseč u Pošné'!L25</f>
        <v>638</v>
      </c>
      <c r="G22" s="300">
        <f>'DD Humpolec'!L25</f>
        <v>2688</v>
      </c>
      <c r="H22" s="300">
        <f>'DD Třebíč Koutkova'!L25</f>
        <v>1982</v>
      </c>
      <c r="I22" s="300">
        <f>'DD M.Curierových'!L25</f>
        <v>4300</v>
      </c>
      <c r="J22" s="300">
        <f>'DD Velký Újezd'!L25</f>
        <v>1400</v>
      </c>
      <c r="K22" s="300">
        <f>'DD Náměšť nad Os'!L25</f>
        <v>1160</v>
      </c>
      <c r="L22" s="300">
        <f>'DD Mitrov'!L25</f>
        <v>1650</v>
      </c>
      <c r="M22" s="496">
        <f>'DD Velké Meziříčí'!L25</f>
        <v>1758</v>
      </c>
      <c r="N22" s="504">
        <f t="shared" si="0"/>
        <v>19284</v>
      </c>
      <c r="O22" s="287">
        <f>'ÚSP Lidmaň'!L25</f>
        <v>920</v>
      </c>
      <c r="P22" s="288">
        <f>'ÚSP Zboží'!L25</f>
        <v>984</v>
      </c>
      <c r="Q22" s="300">
        <f>'ÚSP Jinošov'!L25</f>
        <v>849</v>
      </c>
      <c r="R22" s="300">
        <f>'ÚSP Věž'!L25</f>
        <v>2104</v>
      </c>
      <c r="S22" s="387">
        <f>'ÚSP Křižanov'!L25</f>
        <v>2106</v>
      </c>
      <c r="T22" s="300">
        <f>'ÚSP Těchobuz'!L25</f>
        <v>1549</v>
      </c>
      <c r="U22" s="300">
        <f>'ÚSP Nové Syrovice'!L25</f>
        <v>940</v>
      </c>
      <c r="V22" s="300">
        <f>'DÚSP Černovice'!L25</f>
        <v>2403</v>
      </c>
      <c r="W22" s="300">
        <f>'USP Ledeč nad Sázavou'!L25</f>
        <v>5780</v>
      </c>
      <c r="X22" s="496">
        <f>'Psych.Jihl.'!L25</f>
        <v>854</v>
      </c>
      <c r="Y22" s="533">
        <f t="shared" si="3"/>
        <v>17635</v>
      </c>
      <c r="Z22" s="510">
        <f t="shared" si="4"/>
        <v>37773</v>
      </c>
    </row>
    <row r="23" spans="1:26" ht="19.5" customHeight="1">
      <c r="A23" s="368" t="s">
        <v>188</v>
      </c>
      <c r="B23" s="287">
        <f>'DD Havlíčkův Brod'!L26</f>
        <v>500</v>
      </c>
      <c r="C23" s="288">
        <f>'DD Ždírec'!L26</f>
        <v>310</v>
      </c>
      <c r="D23" s="300">
        <f>'DD Onšov'!L26</f>
        <v>500</v>
      </c>
      <c r="E23" s="300">
        <f>'DD Proseč Obořiště'!L26</f>
        <v>400</v>
      </c>
      <c r="F23" s="300">
        <f>'DD Proseč u Pošné'!L26</f>
        <v>638</v>
      </c>
      <c r="G23" s="300">
        <f>'DD Humpolec'!L26</f>
        <v>610</v>
      </c>
      <c r="H23" s="300">
        <f>'DD Třebíč Koutkova'!L26</f>
        <v>880</v>
      </c>
      <c r="I23" s="300">
        <f>'DD M.Curierových'!L26</f>
        <v>2500</v>
      </c>
      <c r="J23" s="300">
        <f>'DD Velký Újezd'!L26</f>
        <v>200</v>
      </c>
      <c r="K23" s="300">
        <f>'DD Náměšť nad Os'!L26</f>
        <v>450</v>
      </c>
      <c r="L23" s="300">
        <f>'DD Mitrov'!L26</f>
        <v>800</v>
      </c>
      <c r="M23" s="496">
        <f>'DD Velké Meziříčí'!L26</f>
        <v>754</v>
      </c>
      <c r="N23" s="504">
        <f t="shared" si="0"/>
        <v>8542</v>
      </c>
      <c r="O23" s="287">
        <f>'ÚSP Lidmaň'!L26</f>
        <v>300</v>
      </c>
      <c r="P23" s="288">
        <f>'ÚSP Zboží'!L26</f>
        <v>200</v>
      </c>
      <c r="Q23" s="300">
        <f>'ÚSP Jinošov'!L26</f>
        <v>220</v>
      </c>
      <c r="R23" s="300">
        <f>'ÚSP Věž'!L26</f>
        <v>1000</v>
      </c>
      <c r="S23" s="387">
        <f>'ÚSP Křižanov'!L26</f>
        <v>800</v>
      </c>
      <c r="T23" s="300">
        <f>'ÚSP Těchobuz'!L26</f>
        <v>249</v>
      </c>
      <c r="U23" s="300">
        <f>'ÚSP Nové Syrovice'!L26</f>
        <v>140</v>
      </c>
      <c r="V23" s="300">
        <f>'DÚSP Černovice'!L26</f>
        <v>1400</v>
      </c>
      <c r="W23" s="300">
        <f>'USP Ledeč nad Sázavou'!L26</f>
        <v>700</v>
      </c>
      <c r="X23" s="496">
        <f>'Psych.Jihl.'!L26</f>
        <v>88</v>
      </c>
      <c r="Y23" s="533">
        <f t="shared" si="3"/>
        <v>5009</v>
      </c>
      <c r="Z23" s="510">
        <f t="shared" si="4"/>
        <v>13639</v>
      </c>
    </row>
    <row r="24" spans="1:26" ht="19.5" customHeight="1">
      <c r="A24" s="368" t="s">
        <v>189</v>
      </c>
      <c r="B24" s="287">
        <f>'DD Havlíčkův Brod'!L27</f>
        <v>575</v>
      </c>
      <c r="C24" s="288">
        <f>'DD Ždírec'!L27</f>
        <v>473</v>
      </c>
      <c r="D24" s="300">
        <f>'DD Onšov'!L27</f>
        <v>394</v>
      </c>
      <c r="E24" s="300">
        <f>'DD Proseč Obořiště'!L27</f>
        <v>500</v>
      </c>
      <c r="F24" s="300">
        <f>'DD Proseč u Pošné'!L27</f>
        <v>826</v>
      </c>
      <c r="G24" s="300">
        <f>'DD Humpolec'!L27</f>
        <v>2075</v>
      </c>
      <c r="H24" s="300">
        <f>'DD Třebíč Koutkova'!L27</f>
        <v>1142</v>
      </c>
      <c r="I24" s="300">
        <f>'DD M.Curierových'!L27</f>
        <v>800</v>
      </c>
      <c r="J24" s="300">
        <f>'DD Velký Újezd'!L27</f>
        <v>1200</v>
      </c>
      <c r="K24" s="300">
        <f>'DD Náměšť nad Os'!L27</f>
        <v>710</v>
      </c>
      <c r="L24" s="300">
        <f>'DD Mitrov'!L27</f>
        <v>850</v>
      </c>
      <c r="M24" s="496">
        <f>'DD Velké Meziříčí'!L27</f>
        <v>1004</v>
      </c>
      <c r="N24" s="504">
        <f t="shared" si="0"/>
        <v>10549</v>
      </c>
      <c r="O24" s="287">
        <f>'ÚSP Lidmaň'!L27</f>
        <v>620</v>
      </c>
      <c r="P24" s="288">
        <f>'ÚSP Zboží'!L27</f>
        <v>784</v>
      </c>
      <c r="Q24" s="300">
        <f>'ÚSP Jinošov'!L27</f>
        <v>629</v>
      </c>
      <c r="R24" s="300">
        <f>'ÚSP Věž'!L27</f>
        <v>1104</v>
      </c>
      <c r="S24" s="387">
        <f>'ÚSP Křižanov'!L27</f>
        <v>1300</v>
      </c>
      <c r="T24" s="300">
        <f>'ÚSP Těchobuz'!L27</f>
        <v>1295</v>
      </c>
      <c r="U24" s="300">
        <f>'ÚSP Nové Syrovice'!L27</f>
        <v>800</v>
      </c>
      <c r="V24" s="300">
        <f>'DÚSP Černovice'!L27</f>
        <v>1001</v>
      </c>
      <c r="W24" s="300">
        <f>'USP Ledeč nad Sázavou'!L27</f>
        <v>5080</v>
      </c>
      <c r="X24" s="496">
        <f>'Psych.Jihl.'!L27</f>
        <v>766</v>
      </c>
      <c r="Y24" s="533">
        <f t="shared" si="3"/>
        <v>12613</v>
      </c>
      <c r="Z24" s="510">
        <f t="shared" si="4"/>
        <v>23928</v>
      </c>
    </row>
    <row r="25" spans="1:26" ht="19.5" customHeight="1">
      <c r="A25" s="372" t="s">
        <v>190</v>
      </c>
      <c r="B25" s="287">
        <f>'DD Havlíčkův Brod'!L28</f>
        <v>11036</v>
      </c>
      <c r="C25" s="288">
        <f>'DD Ždírec'!L28</f>
        <v>18162</v>
      </c>
      <c r="D25" s="300">
        <f>'DD Onšov'!L28</f>
        <v>5378</v>
      </c>
      <c r="E25" s="300">
        <f>'DD Proseč Obořiště'!L28</f>
        <v>8945</v>
      </c>
      <c r="F25" s="300">
        <f>'DD Proseč u Pošné'!L28</f>
        <v>10866</v>
      </c>
      <c r="G25" s="300">
        <f>'DD Humpolec'!L28</f>
        <v>25986</v>
      </c>
      <c r="H25" s="300">
        <f>'DD Třebíč Koutkova'!L28</f>
        <v>25339</v>
      </c>
      <c r="I25" s="300">
        <f>'DD M.Curierových'!L28</f>
        <v>27023</v>
      </c>
      <c r="J25" s="300">
        <f>'DD Velký Újezd'!L28</f>
        <v>16933</v>
      </c>
      <c r="K25" s="300">
        <f>'DD Náměšť nad Os'!L28</f>
        <v>12990</v>
      </c>
      <c r="L25" s="300">
        <f>'DD Mitrov'!L28</f>
        <v>24893</v>
      </c>
      <c r="M25" s="496">
        <f>'DD Velké Meziříčí'!L28</f>
        <v>25819</v>
      </c>
      <c r="N25" s="504">
        <f t="shared" si="0"/>
        <v>213370</v>
      </c>
      <c r="O25" s="287">
        <f>'ÚSP Lidmaň'!L28</f>
        <v>17425</v>
      </c>
      <c r="P25" s="288">
        <f>'ÚSP Zboží'!L28</f>
        <v>12404</v>
      </c>
      <c r="Q25" s="300">
        <f>'ÚSP Jinošov'!L28</f>
        <v>12522</v>
      </c>
      <c r="R25" s="300">
        <f>'ÚSP Věž'!L28</f>
        <v>12976</v>
      </c>
      <c r="S25" s="387">
        <f>'ÚSP Křižanov'!L28</f>
        <v>25965</v>
      </c>
      <c r="T25" s="300">
        <f>'ÚSP Těchobuz'!L28</f>
        <v>13686</v>
      </c>
      <c r="U25" s="300">
        <f>'ÚSP Nové Syrovice'!L28</f>
        <v>16400</v>
      </c>
      <c r="V25" s="300">
        <f>'DÚSP Černovice'!L28</f>
        <v>47147</v>
      </c>
      <c r="W25" s="300">
        <f>'USP Ledeč nad Sázavou'!L28</f>
        <v>11296</v>
      </c>
      <c r="X25" s="496">
        <f>'Psych.Jihl.'!L28</f>
        <v>6238</v>
      </c>
      <c r="Y25" s="533">
        <f t="shared" si="3"/>
        <v>169821</v>
      </c>
      <c r="Z25" s="510">
        <f t="shared" si="4"/>
        <v>389429</v>
      </c>
    </row>
    <row r="26" spans="1:26" ht="19.5" customHeight="1">
      <c r="A26" s="368" t="s">
        <v>191</v>
      </c>
      <c r="B26" s="287">
        <f>'DD Havlíčkův Brod'!L29</f>
        <v>8052</v>
      </c>
      <c r="C26" s="288">
        <f>'DD Ždírec'!L29</f>
        <v>13465</v>
      </c>
      <c r="D26" s="300">
        <f>'DD Onšov'!L29</f>
        <v>3969</v>
      </c>
      <c r="E26" s="300">
        <f>'DD Proseč Obořiště'!L29</f>
        <v>6545</v>
      </c>
      <c r="F26" s="300">
        <f>'DD Proseč u Pošné'!L29</f>
        <v>7935</v>
      </c>
      <c r="G26" s="300">
        <f>'DD Humpolec'!L29</f>
        <v>18988</v>
      </c>
      <c r="H26" s="300">
        <f>'DD Třebíč Koutkova'!L29</f>
        <v>18501</v>
      </c>
      <c r="I26" s="300">
        <f>'DD M.Curierových'!L29</f>
        <v>19725</v>
      </c>
      <c r="J26" s="300">
        <f>'DD Velký Újezd'!L29</f>
        <v>12360</v>
      </c>
      <c r="K26" s="300">
        <f>'DD Náměšť nad Os'!L29</f>
        <v>9480</v>
      </c>
      <c r="L26" s="300">
        <f>'DD Mitrov'!L29</f>
        <v>18170</v>
      </c>
      <c r="M26" s="496">
        <f>'DD Velké Meziříčí'!L29</f>
        <v>18712</v>
      </c>
      <c r="N26" s="504">
        <f t="shared" si="0"/>
        <v>155902</v>
      </c>
      <c r="O26" s="287">
        <f>'ÚSP Lidmaň'!L29</f>
        <v>12739</v>
      </c>
      <c r="P26" s="288">
        <f>'ÚSP Zboží'!L29</f>
        <v>9054</v>
      </c>
      <c r="Q26" s="300">
        <f>'ÚSP Jinošov'!L29</f>
        <v>9268</v>
      </c>
      <c r="R26" s="300">
        <f>'ÚSP Věž'!L29</f>
        <v>9476</v>
      </c>
      <c r="S26" s="387">
        <f>'ÚSP Křižanov'!L29</f>
        <v>18851</v>
      </c>
      <c r="T26" s="300">
        <f>'ÚSP Těchobuz'!L29</f>
        <v>10018</v>
      </c>
      <c r="U26" s="300">
        <f>'ÚSP Nové Syrovice'!L29</f>
        <v>11681</v>
      </c>
      <c r="V26" s="300">
        <f>'DÚSP Černovice'!L29</f>
        <v>34467</v>
      </c>
      <c r="W26" s="300">
        <f>'USP Ledeč nad Sázavou'!L29</f>
        <v>8263</v>
      </c>
      <c r="X26" s="496">
        <f>'Psych.Jihl.'!L29</f>
        <v>4569</v>
      </c>
      <c r="Y26" s="533">
        <f t="shared" si="3"/>
        <v>123817</v>
      </c>
      <c r="Z26" s="510">
        <f t="shared" si="4"/>
        <v>284288</v>
      </c>
    </row>
    <row r="27" spans="1:26" ht="19.5" customHeight="1">
      <c r="A27" s="372" t="s">
        <v>192</v>
      </c>
      <c r="B27" s="287">
        <f>'DD Havlíčkův Brod'!L30</f>
        <v>7780</v>
      </c>
      <c r="C27" s="288">
        <f>'DD Ždírec'!L30</f>
        <v>13419</v>
      </c>
      <c r="D27" s="300">
        <f>'DD Onšov'!L30</f>
        <v>3929</v>
      </c>
      <c r="E27" s="300">
        <f>'DD Proseč Obořiště'!L30</f>
        <v>6500</v>
      </c>
      <c r="F27" s="300">
        <f>'DD Proseč u Pošné'!L30</f>
        <v>7923</v>
      </c>
      <c r="G27" s="300">
        <f>'DD Humpolec'!L30</f>
        <v>18923</v>
      </c>
      <c r="H27" s="300">
        <f>'DD Třebíč Koutkova'!L30</f>
        <v>18481</v>
      </c>
      <c r="I27" s="300">
        <f>'DD M.Curierových'!L30</f>
        <v>19725</v>
      </c>
      <c r="J27" s="300">
        <f>'DD Velký Újezd'!L30</f>
        <v>12350</v>
      </c>
      <c r="K27" s="300">
        <f>'DD Náměšť nad Os'!L30</f>
        <v>9480</v>
      </c>
      <c r="L27" s="300">
        <f>'DD Mitrov'!L30</f>
        <v>18000</v>
      </c>
      <c r="M27" s="496">
        <f>'DD Velké Meziříčí'!L30</f>
        <v>18637</v>
      </c>
      <c r="N27" s="504">
        <f t="shared" si="0"/>
        <v>155147</v>
      </c>
      <c r="O27" s="287">
        <f>'ÚSP Lidmaň'!L30</f>
        <v>12518</v>
      </c>
      <c r="P27" s="288">
        <f>'ÚSP Zboží'!L30</f>
        <v>8904</v>
      </c>
      <c r="Q27" s="300">
        <f>'ÚSP Jinošov'!L30</f>
        <v>9258</v>
      </c>
      <c r="R27" s="300">
        <f>'ÚSP Věž'!L30</f>
        <v>9196</v>
      </c>
      <c r="S27" s="387">
        <f>'ÚSP Křižanov'!L30</f>
        <v>18808</v>
      </c>
      <c r="T27" s="300">
        <f>'ÚSP Těchobuz'!L30</f>
        <v>9761</v>
      </c>
      <c r="U27" s="300">
        <f>'ÚSP Nové Syrovice'!L30</f>
        <v>11581</v>
      </c>
      <c r="V27" s="300">
        <f>'DÚSP Černovice'!L30</f>
        <v>34217</v>
      </c>
      <c r="W27" s="300">
        <f>'USP Ledeč nad Sázavou'!L30</f>
        <v>8163</v>
      </c>
      <c r="X27" s="496">
        <f>'Psych.Jihl.'!L30</f>
        <v>4373</v>
      </c>
      <c r="Y27" s="533">
        <f t="shared" si="3"/>
        <v>122406</v>
      </c>
      <c r="Z27" s="510">
        <f t="shared" si="4"/>
        <v>281926</v>
      </c>
    </row>
    <row r="28" spans="1:26" ht="19.5" customHeight="1">
      <c r="A28" s="368" t="s">
        <v>193</v>
      </c>
      <c r="B28" s="287">
        <f>'DD Havlíčkův Brod'!L31</f>
        <v>272</v>
      </c>
      <c r="C28" s="288">
        <f>'DD Ždírec'!L31</f>
        <v>46</v>
      </c>
      <c r="D28" s="300">
        <f>'DD Onšov'!L31</f>
        <v>40</v>
      </c>
      <c r="E28" s="300">
        <f>'DD Proseč Obořiště'!L31</f>
        <v>45</v>
      </c>
      <c r="F28" s="300">
        <f>'DD Proseč u Pošné'!L31</f>
        <v>12</v>
      </c>
      <c r="G28" s="300">
        <f>'DD Humpolec'!L31</f>
        <v>65</v>
      </c>
      <c r="H28" s="300">
        <f>'DD Třebíč Koutkova'!L31</f>
        <v>20</v>
      </c>
      <c r="I28" s="300">
        <f>'DD M.Curierových'!L31</f>
        <v>0</v>
      </c>
      <c r="J28" s="300">
        <f>'DD Velký Újezd'!L31</f>
        <v>10</v>
      </c>
      <c r="K28" s="300">
        <f>'DD Náměšť nad Os'!L31</f>
        <v>0</v>
      </c>
      <c r="L28" s="300">
        <f>'DD Mitrov'!L31</f>
        <v>170</v>
      </c>
      <c r="M28" s="496">
        <f>'DD Velké Meziříčí'!L31</f>
        <v>75</v>
      </c>
      <c r="N28" s="504">
        <f t="shared" si="0"/>
        <v>755</v>
      </c>
      <c r="O28" s="287">
        <f>'ÚSP Lidmaň'!L31</f>
        <v>221</v>
      </c>
      <c r="P28" s="288">
        <f>'ÚSP Zboží'!L31</f>
        <v>150</v>
      </c>
      <c r="Q28" s="300">
        <f>'ÚSP Jinošov'!L31</f>
        <v>10</v>
      </c>
      <c r="R28" s="300">
        <f>'ÚSP Věž'!L31</f>
        <v>280</v>
      </c>
      <c r="S28" s="387">
        <f>'ÚSP Křižanov'!L31</f>
        <v>43</v>
      </c>
      <c r="T28" s="300">
        <f>'ÚSP Těchobuz'!L31</f>
        <v>257</v>
      </c>
      <c r="U28" s="300">
        <f>'ÚSP Nové Syrovice'!L31</f>
        <v>100</v>
      </c>
      <c r="V28" s="300">
        <f>'DÚSP Černovice'!L31</f>
        <v>250</v>
      </c>
      <c r="W28" s="300">
        <f>'USP Ledeč nad Sázavou'!L31</f>
        <v>100</v>
      </c>
      <c r="X28" s="496">
        <f>'Psych.Jihl.'!L31</f>
        <v>196</v>
      </c>
      <c r="Y28" s="533">
        <f t="shared" si="3"/>
        <v>1411</v>
      </c>
      <c r="Z28" s="510">
        <f t="shared" si="4"/>
        <v>2362</v>
      </c>
    </row>
    <row r="29" spans="1:26" ht="19.5" customHeight="1">
      <c r="A29" s="368" t="s">
        <v>194</v>
      </c>
      <c r="B29" s="287">
        <f>'DD Havlíčkův Brod'!L32</f>
        <v>2985</v>
      </c>
      <c r="C29" s="288">
        <f>'DD Ždírec'!L32</f>
        <v>4697</v>
      </c>
      <c r="D29" s="300">
        <f>'DD Onšov'!L32</f>
        <v>1409</v>
      </c>
      <c r="E29" s="300">
        <f>'DD Proseč Obořiště'!L32</f>
        <v>2400</v>
      </c>
      <c r="F29" s="300">
        <f>'DD Proseč u Pošné'!L32</f>
        <v>2931</v>
      </c>
      <c r="G29" s="300">
        <f>'DD Humpolec'!L32</f>
        <v>6998</v>
      </c>
      <c r="H29" s="300">
        <f>'DD Třebíč Koutkova'!L32</f>
        <v>6838</v>
      </c>
      <c r="I29" s="300">
        <f>'DD M.Curierových'!L32</f>
        <v>7298</v>
      </c>
      <c r="J29" s="300">
        <f>'DD Velký Újezd'!L32</f>
        <v>4573</v>
      </c>
      <c r="K29" s="300">
        <f>'DD Náměšť nad Os'!L32</f>
        <v>3510</v>
      </c>
      <c r="L29" s="300">
        <f>'DD Mitrov'!L32</f>
        <v>6723</v>
      </c>
      <c r="M29" s="496">
        <f>'DD Velké Meziříčí'!L32</f>
        <v>7107</v>
      </c>
      <c r="N29" s="504">
        <f t="shared" si="0"/>
        <v>57469</v>
      </c>
      <c r="O29" s="287">
        <f>'ÚSP Lidmaň'!L32</f>
        <v>4686</v>
      </c>
      <c r="P29" s="288">
        <f>'ÚSP Zboží'!L32</f>
        <v>3350</v>
      </c>
      <c r="Q29" s="300">
        <f>'ÚSP Jinošov'!L32</f>
        <v>3284</v>
      </c>
      <c r="R29" s="300">
        <f>'ÚSP Věž'!L32</f>
        <v>3500</v>
      </c>
      <c r="S29" s="387">
        <f>'ÚSP Křižanov'!L32</f>
        <v>7039</v>
      </c>
      <c r="T29" s="300">
        <f>'ÚSP Těchobuz'!L32</f>
        <v>3668</v>
      </c>
      <c r="U29" s="300">
        <f>'ÚSP Nové Syrovice'!L32</f>
        <v>4719</v>
      </c>
      <c r="V29" s="300">
        <f>'DÚSP Černovice'!L32</f>
        <v>12680</v>
      </c>
      <c r="W29" s="300">
        <f>'USP Ledeč nad Sázavou'!L32</f>
        <v>3033</v>
      </c>
      <c r="X29" s="496">
        <f>'Psych.Jihl.'!L32</f>
        <v>1669</v>
      </c>
      <c r="Y29" s="533">
        <f t="shared" si="3"/>
        <v>45959</v>
      </c>
      <c r="Z29" s="510">
        <f t="shared" si="4"/>
        <v>105097</v>
      </c>
    </row>
    <row r="30" spans="1:26" ht="19.5" customHeight="1">
      <c r="A30" s="372" t="s">
        <v>195</v>
      </c>
      <c r="B30" s="287">
        <f>'DD Havlíčkův Brod'!L33</f>
        <v>1</v>
      </c>
      <c r="C30" s="288">
        <f>'DD Ždírec'!L33</f>
        <v>0</v>
      </c>
      <c r="D30" s="300">
        <f>'DD Onšov'!L33</f>
        <v>0</v>
      </c>
      <c r="E30" s="300">
        <f>'DD Proseč Obořiště'!L33</f>
        <v>0</v>
      </c>
      <c r="F30" s="300">
        <f>'DD Proseč u Pošné'!L33</f>
        <v>0</v>
      </c>
      <c r="G30" s="300">
        <f>'DD Humpolec'!L33</f>
        <v>10</v>
      </c>
      <c r="H30" s="300">
        <f>'DD Třebíč Koutkova'!L33</f>
        <v>0</v>
      </c>
      <c r="I30" s="300">
        <f>'DD M.Curierových'!L33</f>
        <v>0</v>
      </c>
      <c r="J30" s="300">
        <f>'DD Velký Újezd'!L33</f>
        <v>0</v>
      </c>
      <c r="K30" s="300">
        <f>'DD Náměšť nad Os'!L33</f>
        <v>0</v>
      </c>
      <c r="L30" s="300">
        <f>'DD Mitrov'!L33</f>
        <v>0</v>
      </c>
      <c r="M30" s="496">
        <f>'DD Velké Meziříčí'!L33</f>
        <v>0</v>
      </c>
      <c r="N30" s="504">
        <f t="shared" si="0"/>
        <v>11</v>
      </c>
      <c r="O30" s="287">
        <f>'ÚSP Lidmaň'!L33</f>
        <v>0</v>
      </c>
      <c r="P30" s="288">
        <f>'ÚSP Zboží'!L33</f>
        <v>15</v>
      </c>
      <c r="Q30" s="300">
        <f>'ÚSP Jinošov'!L33</f>
        <v>0</v>
      </c>
      <c r="R30" s="300">
        <f>'ÚSP Věž'!L33</f>
        <v>0</v>
      </c>
      <c r="S30" s="387">
        <f>'ÚSP Křižanov'!L33</f>
        <v>0</v>
      </c>
      <c r="T30" s="300">
        <f>'ÚSP Těchobuz'!L33</f>
        <v>5</v>
      </c>
      <c r="U30" s="300">
        <f>'ÚSP Nové Syrovice'!L33</f>
        <v>1</v>
      </c>
      <c r="V30" s="300">
        <f>'DÚSP Černovice'!L33</f>
        <v>16</v>
      </c>
      <c r="W30" s="300">
        <f>'USP Ledeč nad Sázavou'!L33</f>
        <v>2</v>
      </c>
      <c r="X30" s="496">
        <f>'Psych.Jihl.'!L33</f>
        <v>0</v>
      </c>
      <c r="Y30" s="533">
        <f t="shared" si="3"/>
        <v>39</v>
      </c>
      <c r="Z30" s="510">
        <f t="shared" si="4"/>
        <v>50</v>
      </c>
    </row>
    <row r="31" spans="1:26" ht="19.5" customHeight="1">
      <c r="A31" s="372" t="s">
        <v>196</v>
      </c>
      <c r="B31" s="287">
        <f>'DD Havlíčkův Brod'!L34</f>
        <v>125</v>
      </c>
      <c r="C31" s="288">
        <f>'DD Ždírec'!L34</f>
        <v>157</v>
      </c>
      <c r="D31" s="300">
        <f>'DD Onšov'!L34</f>
        <v>150</v>
      </c>
      <c r="E31" s="300">
        <f>'DD Proseč Obořiště'!L34</f>
        <v>200</v>
      </c>
      <c r="F31" s="300">
        <f>'DD Proseč u Pošné'!L34</f>
        <v>227</v>
      </c>
      <c r="G31" s="300">
        <f>'DD Humpolec'!L34</f>
        <v>730</v>
      </c>
      <c r="H31" s="300">
        <f>'DD Třebíč Koutkova'!L34</f>
        <v>170</v>
      </c>
      <c r="I31" s="300">
        <f>'DD M.Curierových'!L34</f>
        <v>200</v>
      </c>
      <c r="J31" s="300">
        <f>'DD Velký Újezd'!L34</f>
        <v>100</v>
      </c>
      <c r="K31" s="300">
        <f>'DD Náměšť nad Os'!L34</f>
        <v>100</v>
      </c>
      <c r="L31" s="300">
        <f>'DD Mitrov'!L34</f>
        <v>200</v>
      </c>
      <c r="M31" s="496">
        <f>'DD Velké Meziříčí'!L34</f>
        <v>450</v>
      </c>
      <c r="N31" s="504">
        <f t="shared" si="0"/>
        <v>2809</v>
      </c>
      <c r="O31" s="287">
        <f>'ÚSP Lidmaň'!L34</f>
        <v>205</v>
      </c>
      <c r="P31" s="288">
        <f>'ÚSP Zboží'!L34</f>
        <v>170</v>
      </c>
      <c r="Q31" s="300">
        <f>'ÚSP Jinošov'!L34</f>
        <v>120</v>
      </c>
      <c r="R31" s="300">
        <f>'ÚSP Věž'!L34</f>
        <v>27</v>
      </c>
      <c r="S31" s="387">
        <f>'ÚSP Křižanov'!L34</f>
        <v>350</v>
      </c>
      <c r="T31" s="300">
        <f>'ÚSP Těchobuz'!L34</f>
        <v>122</v>
      </c>
      <c r="U31" s="300">
        <f>'ÚSP Nové Syrovice'!L34</f>
        <v>150</v>
      </c>
      <c r="V31" s="300">
        <f>'DÚSP Černovice'!L34</f>
        <v>987</v>
      </c>
      <c r="W31" s="300">
        <f>'USP Ledeč nad Sázavou'!L34</f>
        <v>150</v>
      </c>
      <c r="X31" s="496">
        <f>'Psych.Jihl.'!L34</f>
        <v>57</v>
      </c>
      <c r="Y31" s="533">
        <f t="shared" si="3"/>
        <v>2281</v>
      </c>
      <c r="Z31" s="510">
        <f t="shared" si="4"/>
        <v>5147</v>
      </c>
    </row>
    <row r="32" spans="1:26" ht="19.5" customHeight="1">
      <c r="A32" s="368" t="s">
        <v>197</v>
      </c>
      <c r="B32" s="287">
        <f>'DD Havlíčkův Brod'!L35</f>
        <v>550</v>
      </c>
      <c r="C32" s="288">
        <f>'DD Ždírec'!L35</f>
        <v>615</v>
      </c>
      <c r="D32" s="300">
        <f>'DD Onšov'!L35</f>
        <v>200</v>
      </c>
      <c r="E32" s="300">
        <f>'DD Proseč Obořiště'!L35</f>
        <v>568</v>
      </c>
      <c r="F32" s="300">
        <f>'DD Proseč u Pošné'!L35</f>
        <v>586</v>
      </c>
      <c r="G32" s="300">
        <f>'DD Humpolec'!L35</f>
        <v>788</v>
      </c>
      <c r="H32" s="300">
        <f>'DD Třebíč Koutkova'!L35</f>
        <v>2404</v>
      </c>
      <c r="I32" s="300">
        <f>'DD M.Curierových'!L35</f>
        <v>1145</v>
      </c>
      <c r="J32" s="300">
        <f>'DD Velký Újezd'!L35</f>
        <v>218</v>
      </c>
      <c r="K32" s="300">
        <f>'DD Náměšť nad Os'!L35</f>
        <v>1973</v>
      </c>
      <c r="L32" s="300">
        <f>'DD Mitrov'!L35</f>
        <v>930</v>
      </c>
      <c r="M32" s="496">
        <f>'DD Velké Meziříčí'!L35</f>
        <v>569</v>
      </c>
      <c r="N32" s="504">
        <f t="shared" si="0"/>
        <v>10546</v>
      </c>
      <c r="O32" s="287">
        <f>'ÚSP Lidmaň'!L35</f>
        <v>625</v>
      </c>
      <c r="P32" s="288">
        <f>'ÚSP Zboží'!L35</f>
        <v>460</v>
      </c>
      <c r="Q32" s="300">
        <f>'ÚSP Jinošov'!L35</f>
        <v>520</v>
      </c>
      <c r="R32" s="300">
        <f>'ÚSP Věž'!L35</f>
        <v>437</v>
      </c>
      <c r="S32" s="387">
        <f>'ÚSP Křižanov'!L35</f>
        <v>1489</v>
      </c>
      <c r="T32" s="300">
        <f>'ÚSP Těchobuz'!L35</f>
        <v>220</v>
      </c>
      <c r="U32" s="300">
        <f>'ÚSP Nové Syrovice'!L35</f>
        <v>494</v>
      </c>
      <c r="V32" s="300">
        <f>'DÚSP Černovice'!L35</f>
        <v>2521</v>
      </c>
      <c r="W32" s="300">
        <f>'USP Ledeč nad Sázavou'!L35</f>
        <v>793</v>
      </c>
      <c r="X32" s="496">
        <f>'Psych.Jihl.'!L35</f>
        <v>86</v>
      </c>
      <c r="Y32" s="533">
        <f t="shared" si="3"/>
        <v>7559</v>
      </c>
      <c r="Z32" s="510">
        <f t="shared" si="4"/>
        <v>18191</v>
      </c>
    </row>
    <row r="33" spans="1:26" ht="28.5" customHeight="1">
      <c r="A33" s="368" t="s">
        <v>198</v>
      </c>
      <c r="B33" s="674">
        <f>'DD Havlíčkův Brod'!L36</f>
        <v>550</v>
      </c>
      <c r="C33" s="675">
        <f>'DD Ždírec'!L36</f>
        <v>615</v>
      </c>
      <c r="D33" s="675">
        <f>'DD Onšov'!L36</f>
        <v>200</v>
      </c>
      <c r="E33" s="675">
        <f>'DD Proseč Obořiště'!L36</f>
        <v>568</v>
      </c>
      <c r="F33" s="675">
        <f>'DD Proseč u Pošné'!L36</f>
        <v>586</v>
      </c>
      <c r="G33" s="675">
        <f>'DD Humpolec'!L36</f>
        <v>788</v>
      </c>
      <c r="H33" s="675">
        <f>'DD Třebíč Koutkova'!L36</f>
        <v>2404</v>
      </c>
      <c r="I33" s="675">
        <f>'DD M.Curierových'!L36</f>
        <v>1145</v>
      </c>
      <c r="J33" s="675">
        <f>'DD Velký Újezd'!L36</f>
        <v>0</v>
      </c>
      <c r="K33" s="675">
        <f>'DD Náměšť nad Os'!L36</f>
        <v>0</v>
      </c>
      <c r="L33" s="675">
        <f>'DD Mitrov'!L36</f>
        <v>930</v>
      </c>
      <c r="M33" s="676">
        <f>'DD Velké Meziříčí'!L36</f>
        <v>569</v>
      </c>
      <c r="N33" s="531">
        <f t="shared" si="0"/>
        <v>8355</v>
      </c>
      <c r="O33" s="674">
        <f>'ÚSP Lidmaň'!L36</f>
        <v>625</v>
      </c>
      <c r="P33" s="675">
        <f>'ÚSP Zboží'!L36</f>
        <v>460</v>
      </c>
      <c r="Q33" s="675">
        <f>'ÚSP Jinošov'!L36</f>
        <v>520</v>
      </c>
      <c r="R33" s="675">
        <f>'ÚSP Věž'!L36</f>
        <v>437</v>
      </c>
      <c r="S33" s="677">
        <f>'ÚSP Křižanov'!L36</f>
        <v>1489</v>
      </c>
      <c r="T33" s="675">
        <f>'ÚSP Těchobuz'!L36</f>
        <v>0</v>
      </c>
      <c r="U33" s="675">
        <f>'ÚSP Nové Syrovice'!L36</f>
        <v>494</v>
      </c>
      <c r="V33" s="675">
        <f>'DÚSP Černovice'!L36</f>
        <v>2521</v>
      </c>
      <c r="W33" s="675">
        <f>'USP Ledeč nad Sázavou'!L36</f>
        <v>793</v>
      </c>
      <c r="X33" s="676">
        <f>'Psych.Jihl.'!L36</f>
        <v>0</v>
      </c>
      <c r="Y33" s="678">
        <f t="shared" si="3"/>
        <v>7339</v>
      </c>
      <c r="Z33" s="679">
        <f t="shared" si="4"/>
        <v>15694</v>
      </c>
    </row>
    <row r="34" spans="1:26" ht="19.5" customHeight="1" thickBot="1">
      <c r="A34" s="373" t="s">
        <v>199</v>
      </c>
      <c r="B34" s="291">
        <f>'DD Havlíčkův Brod'!L37</f>
        <v>0</v>
      </c>
      <c r="C34" s="292">
        <f>'DD Ždírec'!L37</f>
        <v>0</v>
      </c>
      <c r="D34" s="396">
        <f>'DD Onšov'!L37</f>
        <v>0</v>
      </c>
      <c r="E34" s="375">
        <f>'DD Proseč Obořiště'!L37</f>
        <v>0</v>
      </c>
      <c r="F34" s="375">
        <f>'DD Proseč u Pošné'!L37</f>
        <v>0</v>
      </c>
      <c r="G34" s="375">
        <f>'DD Humpolec'!L37</f>
        <v>0</v>
      </c>
      <c r="H34" s="375">
        <f>'DD Třebíč Koutkova'!L37</f>
        <v>0</v>
      </c>
      <c r="I34" s="375">
        <f>'DD M.Curierových'!L37</f>
        <v>0</v>
      </c>
      <c r="J34" s="375">
        <f>'DD Velký Újezd'!L37</f>
        <v>0</v>
      </c>
      <c r="K34" s="375">
        <f>'DD Náměšť nad Os'!L37</f>
        <v>0</v>
      </c>
      <c r="L34" s="375">
        <f>'DD Mitrov'!L37</f>
        <v>0</v>
      </c>
      <c r="M34" s="497">
        <f>'DD Velké Meziříčí'!L37</f>
        <v>0</v>
      </c>
      <c r="N34" s="505">
        <f t="shared" si="0"/>
        <v>0</v>
      </c>
      <c r="O34" s="291">
        <f>'ÚSP Lidmaň'!L37</f>
        <v>0</v>
      </c>
      <c r="P34" s="292">
        <f>'ÚSP Zboží'!L37</f>
        <v>0</v>
      </c>
      <c r="Q34" s="375">
        <f>'ÚSP Jinošov'!L37</f>
        <v>0</v>
      </c>
      <c r="R34" s="375">
        <f>'ÚSP Věž'!L37</f>
        <v>0</v>
      </c>
      <c r="S34" s="388">
        <f>'ÚSP Křižanov'!L37</f>
        <v>0</v>
      </c>
      <c r="T34" s="375">
        <f>'ÚSP Těchobuz'!L37</f>
        <v>0</v>
      </c>
      <c r="U34" s="375">
        <f>'ÚSP Nové Syrovice'!L37</f>
        <v>0</v>
      </c>
      <c r="V34" s="375">
        <f>'DÚSP Černovice'!L37</f>
        <v>0</v>
      </c>
      <c r="W34" s="375">
        <f>'USP Ledeč nad Sázavou'!L37</f>
        <v>0</v>
      </c>
      <c r="X34" s="497">
        <f>'Psych.Jihl.'!L37</f>
        <v>0</v>
      </c>
      <c r="Y34" s="534">
        <f t="shared" si="3"/>
        <v>0</v>
      </c>
      <c r="Z34" s="535">
        <f t="shared" si="4"/>
        <v>0</v>
      </c>
    </row>
    <row r="35" spans="1:26" ht="19.5" customHeight="1" thickBot="1">
      <c r="A35" s="374" t="s">
        <v>200</v>
      </c>
      <c r="B35" s="382">
        <f>'DD Havlíčkův Brod'!L38</f>
        <v>17153</v>
      </c>
      <c r="C35" s="383">
        <f>'DD Ždírec'!L38</f>
        <v>26137</v>
      </c>
      <c r="D35" s="384">
        <f>'DD Onšov'!L38</f>
        <v>8821</v>
      </c>
      <c r="E35" s="384">
        <f>'DD Proseč Obořiště'!L38</f>
        <v>14583</v>
      </c>
      <c r="F35" s="384">
        <f>'DD Proseč u Pošné'!L38</f>
        <v>17509</v>
      </c>
      <c r="G35" s="384">
        <f>'DD Humpolec'!L38</f>
        <v>41353</v>
      </c>
      <c r="H35" s="384">
        <f>'DD Třebíč Koutkova'!L38</f>
        <v>41725</v>
      </c>
      <c r="I35" s="384">
        <f>'DD M.Curierových'!L38</f>
        <v>42928</v>
      </c>
      <c r="J35" s="384">
        <f>'DD Velký Újezd'!L38</f>
        <v>25440</v>
      </c>
      <c r="K35" s="384">
        <f>'DD Náměšť nad Os'!L38</f>
        <v>23063</v>
      </c>
      <c r="L35" s="384">
        <f>'DD Mitrov'!L38</f>
        <v>35590</v>
      </c>
      <c r="M35" s="498">
        <f>'DD Velké Meziříčí'!L38</f>
        <v>37689</v>
      </c>
      <c r="N35" s="507">
        <f t="shared" si="0"/>
        <v>331991</v>
      </c>
      <c r="O35" s="382">
        <f>'ÚSP Lidmaň'!L38</f>
        <v>24775</v>
      </c>
      <c r="P35" s="383">
        <f>'ÚSP Zboží'!L38</f>
        <v>18945</v>
      </c>
      <c r="Q35" s="384">
        <f>'ÚSP Jinošov'!L38</f>
        <v>18546</v>
      </c>
      <c r="R35" s="384">
        <f>'ÚSP Věž'!L38</f>
        <v>20244</v>
      </c>
      <c r="S35" s="390">
        <f>'ÚSP Křižanov'!L38</f>
        <v>37947</v>
      </c>
      <c r="T35" s="384">
        <f>'ÚSP Těchobuz'!L38</f>
        <v>19596</v>
      </c>
      <c r="U35" s="384">
        <f>'ÚSP Nové Syrovice'!L38</f>
        <v>25225</v>
      </c>
      <c r="V35" s="384">
        <f>'DÚSP Černovice'!L38</f>
        <v>64409</v>
      </c>
      <c r="W35" s="384">
        <f>'USP Ledeč nad Sázavou'!L38</f>
        <v>20921</v>
      </c>
      <c r="X35" s="385">
        <f>'Psych.Jihl.'!L38</f>
        <v>7952</v>
      </c>
      <c r="Y35" s="519">
        <f>SUM(O35:W35)</f>
        <v>250608</v>
      </c>
      <c r="Z35" s="519">
        <f>N35+X35+Y35</f>
        <v>590551</v>
      </c>
    </row>
    <row r="36" spans="1:26" ht="19.5" customHeight="1" thickBot="1">
      <c r="A36" s="374" t="s">
        <v>201</v>
      </c>
      <c r="B36" s="376">
        <f>B16-B35</f>
        <v>-266</v>
      </c>
      <c r="C36" s="377">
        <f aca="true" t="shared" si="5" ref="C36:M36">C16-C35</f>
        <v>-952</v>
      </c>
      <c r="D36" s="377">
        <f t="shared" si="5"/>
        <v>-480</v>
      </c>
      <c r="E36" s="377">
        <f t="shared" si="5"/>
        <v>-261</v>
      </c>
      <c r="F36" s="377">
        <f t="shared" si="5"/>
        <v>-2059</v>
      </c>
      <c r="G36" s="377">
        <f t="shared" si="5"/>
        <v>-2583</v>
      </c>
      <c r="H36" s="377">
        <f t="shared" si="5"/>
        <v>0</v>
      </c>
      <c r="I36" s="377">
        <f t="shared" si="5"/>
        <v>-240</v>
      </c>
      <c r="J36" s="377">
        <f>J16-J35</f>
        <v>-374</v>
      </c>
      <c r="K36" s="377">
        <f t="shared" si="5"/>
        <v>-1486</v>
      </c>
      <c r="L36" s="377">
        <f t="shared" si="5"/>
        <v>-1228</v>
      </c>
      <c r="M36" s="500">
        <f t="shared" si="5"/>
        <v>-422</v>
      </c>
      <c r="N36" s="508">
        <f t="shared" si="0"/>
        <v>-10351</v>
      </c>
      <c r="O36" s="376">
        <f>O16-O35</f>
        <v>-1906</v>
      </c>
      <c r="P36" s="377">
        <f aca="true" t="shared" si="6" ref="P36:X36">P16-P35</f>
        <v>-4185</v>
      </c>
      <c r="Q36" s="377">
        <f t="shared" si="6"/>
        <v>-1204</v>
      </c>
      <c r="R36" s="377">
        <f t="shared" si="6"/>
        <v>-3650</v>
      </c>
      <c r="S36" s="377">
        <f t="shared" si="6"/>
        <v>-3248</v>
      </c>
      <c r="T36" s="377">
        <f t="shared" si="6"/>
        <v>-2597</v>
      </c>
      <c r="U36" s="377">
        <f t="shared" si="6"/>
        <v>-4284</v>
      </c>
      <c r="V36" s="377">
        <f t="shared" si="6"/>
        <v>-6104</v>
      </c>
      <c r="W36" s="377">
        <f t="shared" si="6"/>
        <v>-1917</v>
      </c>
      <c r="X36" s="378">
        <f t="shared" si="6"/>
        <v>-785</v>
      </c>
      <c r="Y36" s="521">
        <f>SUM(O36:W36)</f>
        <v>-29095</v>
      </c>
      <c r="Z36" s="521">
        <f>N36+X36+Y36</f>
        <v>-40231</v>
      </c>
    </row>
    <row r="37" spans="2:26" ht="16.5" thickBot="1"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X37" s="280" t="s">
        <v>228</v>
      </c>
      <c r="Y37" s="520"/>
      <c r="Z37" s="520"/>
    </row>
    <row r="38" spans="1:26" ht="29.25" customHeight="1" thickBot="1">
      <c r="A38" s="566" t="s">
        <v>612</v>
      </c>
      <c r="B38" s="564">
        <f>'[1]Sheet1'!$J$18</f>
        <v>68</v>
      </c>
      <c r="C38" s="478">
        <f>'[1]Sheet1'!$J$17</f>
        <v>119</v>
      </c>
      <c r="D38" s="478">
        <f>'[1]Sheet1'!$J$11</f>
        <v>41</v>
      </c>
      <c r="E38" s="478">
        <f>'[1]Sheet1'!$J$13</f>
        <v>69.5</v>
      </c>
      <c r="F38" s="478">
        <f>'[1]Sheet1'!$J$12</f>
        <v>69</v>
      </c>
      <c r="G38" s="478">
        <f>'[1]Sheet1'!$J$10</f>
        <v>203</v>
      </c>
      <c r="H38" s="478">
        <f>'[1]Sheet1'!$J$31</f>
        <v>182</v>
      </c>
      <c r="I38" s="478">
        <f>'[1]Sheet1'!$J$21</f>
        <v>195</v>
      </c>
      <c r="J38" s="478">
        <f>'[1]Sheet1'!$J$16</f>
        <v>135</v>
      </c>
      <c r="K38" s="478">
        <f>'[1]Sheet1'!$J$20</f>
        <v>92</v>
      </c>
      <c r="L38" s="478">
        <f>'[1]Sheet1'!$J$19</f>
        <v>130</v>
      </c>
      <c r="M38" s="522">
        <f>'[1]Sheet1'!$J$22</f>
        <v>163</v>
      </c>
      <c r="N38" s="530">
        <f>SUM(B38:M38)</f>
        <v>1466.5</v>
      </c>
      <c r="O38" s="526">
        <f>'[1]Sheet1'!$J$26</f>
        <v>100</v>
      </c>
      <c r="P38" s="481">
        <f>'[1]Sheet1'!$J$30</f>
        <v>60</v>
      </c>
      <c r="Q38" s="481">
        <f>'[1]Sheet1'!$J$23</f>
        <v>74</v>
      </c>
      <c r="R38" s="481">
        <f>'[1]Sheet1'!$J$28</f>
        <v>80</v>
      </c>
      <c r="S38" s="481">
        <f>'[1]Sheet1'!$J$24</f>
        <v>152</v>
      </c>
      <c r="T38" s="481">
        <f>'[1]Sheet1'!$J$29</f>
        <v>68.5</v>
      </c>
      <c r="U38" s="481">
        <f>'[1]Sheet1'!$J$27</f>
        <v>101</v>
      </c>
      <c r="V38" s="481">
        <f>'[1]Sheet1'!$J$9</f>
        <v>160.5</v>
      </c>
      <c r="W38" s="481">
        <f>'[1]Sheet1'!$J$25</f>
        <v>80</v>
      </c>
      <c r="X38" s="511" t="s">
        <v>613</v>
      </c>
      <c r="Y38" s="503">
        <f>SUM(O38:W38)</f>
        <v>876</v>
      </c>
      <c r="Z38" s="536">
        <f>N38+Y38</f>
        <v>2342.5</v>
      </c>
    </row>
    <row r="39" spans="1:26" ht="27" customHeight="1">
      <c r="A39" s="479" t="s">
        <v>134</v>
      </c>
      <c r="B39" s="482">
        <v>19308</v>
      </c>
      <c r="C39" s="483">
        <v>27550</v>
      </c>
      <c r="D39" s="483">
        <v>9301</v>
      </c>
      <c r="E39" s="483">
        <v>15610</v>
      </c>
      <c r="F39" s="483">
        <v>17057</v>
      </c>
      <c r="G39" s="483">
        <v>44033</v>
      </c>
      <c r="H39" s="483">
        <v>41529</v>
      </c>
      <c r="I39" s="483">
        <v>45647</v>
      </c>
      <c r="J39" s="483">
        <v>28543</v>
      </c>
      <c r="K39" s="483">
        <v>22738</v>
      </c>
      <c r="L39" s="483">
        <v>38181</v>
      </c>
      <c r="M39" s="523">
        <v>38955</v>
      </c>
      <c r="N39" s="515">
        <f>SUM(B39:M39)</f>
        <v>348452</v>
      </c>
      <c r="O39" s="527">
        <v>25600</v>
      </c>
      <c r="P39" s="486">
        <v>16058</v>
      </c>
      <c r="Q39" s="486">
        <v>20070</v>
      </c>
      <c r="R39" s="486">
        <v>24906</v>
      </c>
      <c r="S39" s="486">
        <v>41588</v>
      </c>
      <c r="T39" s="486">
        <v>18294</v>
      </c>
      <c r="U39" s="486">
        <v>23698</v>
      </c>
      <c r="V39" s="486">
        <v>64234</v>
      </c>
      <c r="W39" s="486">
        <v>19520</v>
      </c>
      <c r="X39" s="512">
        <v>6839</v>
      </c>
      <c r="Y39" s="533">
        <f>SUM(O39:W39)</f>
        <v>253968</v>
      </c>
      <c r="Z39" s="509">
        <f>N39+X39+Y39</f>
        <v>609259</v>
      </c>
    </row>
    <row r="40" spans="1:26" ht="23.25" customHeight="1">
      <c r="A40" s="567" t="s">
        <v>665</v>
      </c>
      <c r="B40" s="565">
        <f>'[2]RK-36-2007-66, př. 1'!$G$17+'[2]RK-36-2007-66, př. 1'!$H$17</f>
        <v>722</v>
      </c>
      <c r="C40" s="490">
        <f>'[2]RK-36-2007-66, př. 1'!$G$18+'[2]RK-36-2007-66, př. 1'!$H$18</f>
        <v>912</v>
      </c>
      <c r="D40" s="490">
        <f>'[2]RK-36-2007-66, př. 1'!$G$20+'[2]RK-36-2007-66, př. 1'!$H$20</f>
        <v>322</v>
      </c>
      <c r="E40" s="490">
        <f>'[2]RK-36-2007-66, př. 1'!$G$21+'[2]RK-36-2007-66, př. 1'!$H$21</f>
        <v>374</v>
      </c>
      <c r="F40" s="490">
        <f>'[2]RK-36-2007-66, př. 1'!$G$22+'[2]RK-36-2007-66, př. 1'!$H$22</f>
        <v>1579</v>
      </c>
      <c r="G40" s="490">
        <f>'[2]RK-36-2007-66, př. 1'!$G$19+'[2]RK-36-2007-66, př. 1'!$H$19</f>
        <v>859</v>
      </c>
      <c r="H40" s="490">
        <f>'[2]RK-36-2007-66, př. 1'!$G$25+'[2]RK-36-2007-66, př. 1'!$H$25</f>
        <v>414</v>
      </c>
      <c r="I40" s="490">
        <f>'[2]RK-36-2007-66, př. 1'!$G$24+'[2]RK-36-2007-66, př. 1'!$H$24</f>
        <v>0</v>
      </c>
      <c r="J40" s="490">
        <f>'[2]RK-36-2007-66, př. 1'!$G$26+'[2]RK-36-2007-66, př. 1'!$H$26</f>
        <v>376</v>
      </c>
      <c r="K40" s="490">
        <f>'[2]RK-36-2007-66, př. 1'!$G$23+'[2]RK-36-2007-66, př. 1'!$H$23</f>
        <v>63</v>
      </c>
      <c r="L40" s="490">
        <f>'[2]RK-36-2007-66, př. 1'!$G$27+'[2]RK-36-2007-66, př. 1'!$H$27</f>
        <v>5156</v>
      </c>
      <c r="M40" s="524">
        <f>'[2]RK-36-2007-66, př. 1'!$G$28+'[2]RK-36-2007-66, př. 1'!$H$28</f>
        <v>551</v>
      </c>
      <c r="N40" s="531">
        <f>SUM(B40:M40)</f>
        <v>11328</v>
      </c>
      <c r="O40" s="528">
        <f>'[2]RK-36-2007-66, př. 1'!$G$14+'[2]RK-36-2007-66, př. 1'!$H$14</f>
        <v>1049</v>
      </c>
      <c r="P40" s="489">
        <f>'[2]RK-36-2007-66, př. 1'!$G$9+'[2]RK-36-2007-66, př. 1'!$H$9</f>
        <v>359</v>
      </c>
      <c r="Q40" s="489">
        <f>'[2]RK-36-2007-66, př. 1'!$G$11+'[2]RK-36-2007-66, př. 1'!$H$11</f>
        <v>1718</v>
      </c>
      <c r="R40" s="489">
        <f>'[2]RK-36-2007-66, př. 1'!$G$10+'[2]RK-36-2007-66, př. 1'!$H$10</f>
        <v>4890</v>
      </c>
      <c r="S40" s="489">
        <f>'[2]RK-36-2007-66, př. 1'!$G$16+'[2]RK-36-2007-66, př. 1'!$H$16</f>
        <v>2524</v>
      </c>
      <c r="T40" s="489">
        <f>'[2]RK-36-2007-66, př. 1'!$G$15+'[2]RK-36-2007-66, př. 1'!$H$15</f>
        <v>642</v>
      </c>
      <c r="U40" s="489">
        <f>'[2]RK-36-2007-66, př. 1'!$G$12+'[2]RK-36-2007-66, př. 1'!$H$12</f>
        <v>96</v>
      </c>
      <c r="V40" s="489">
        <f>'[2]RK-36-2007-66, př. 1'!$G$13+'[2]RK-36-2007-66, př. 1'!$H$13</f>
        <v>1994</v>
      </c>
      <c r="W40" s="489">
        <f>'[2]RK-36-2007-66, př. 1'!$G$8+'[2]RK-36-2007-66, př. 1'!$H$8</f>
        <v>0</v>
      </c>
      <c r="X40" s="513">
        <f>'[2]RK-36-2007-66, př. 1'!$G$29+'[2]RK-36-2007-66, př. 1'!$H$29</f>
        <v>472</v>
      </c>
      <c r="Y40" s="533">
        <f>SUM(O40:W40)</f>
        <v>13272</v>
      </c>
      <c r="Z40" s="510">
        <f>N40+X40+Y40</f>
        <v>25072</v>
      </c>
    </row>
    <row r="41" spans="1:26" ht="35.25" customHeight="1">
      <c r="A41" s="568" t="s">
        <v>666</v>
      </c>
      <c r="B41" s="565">
        <f>B39-B40</f>
        <v>18586</v>
      </c>
      <c r="C41" s="490">
        <f aca="true" t="shared" si="7" ref="C41:M41">C39-C40</f>
        <v>26638</v>
      </c>
      <c r="D41" s="490">
        <f t="shared" si="7"/>
        <v>8979</v>
      </c>
      <c r="E41" s="490">
        <f t="shared" si="7"/>
        <v>15236</v>
      </c>
      <c r="F41" s="490">
        <f t="shared" si="7"/>
        <v>15478</v>
      </c>
      <c r="G41" s="490">
        <f t="shared" si="7"/>
        <v>43174</v>
      </c>
      <c r="H41" s="490">
        <f t="shared" si="7"/>
        <v>41115</v>
      </c>
      <c r="I41" s="490">
        <f t="shared" si="7"/>
        <v>45647</v>
      </c>
      <c r="J41" s="490">
        <f t="shared" si="7"/>
        <v>28167</v>
      </c>
      <c r="K41" s="490">
        <f t="shared" si="7"/>
        <v>22675</v>
      </c>
      <c r="L41" s="490">
        <f t="shared" si="7"/>
        <v>33025</v>
      </c>
      <c r="M41" s="524">
        <f t="shared" si="7"/>
        <v>38404</v>
      </c>
      <c r="N41" s="531">
        <f>SUM(B41:M41)</f>
        <v>337124</v>
      </c>
      <c r="O41" s="528">
        <f>O39-O40</f>
        <v>24551</v>
      </c>
      <c r="P41" s="489">
        <f aca="true" t="shared" si="8" ref="P41:X41">P39-P40</f>
        <v>15699</v>
      </c>
      <c r="Q41" s="489">
        <f t="shared" si="8"/>
        <v>18352</v>
      </c>
      <c r="R41" s="489">
        <f t="shared" si="8"/>
        <v>20016</v>
      </c>
      <c r="S41" s="489">
        <f t="shared" si="8"/>
        <v>39064</v>
      </c>
      <c r="T41" s="489">
        <f t="shared" si="8"/>
        <v>17652</v>
      </c>
      <c r="U41" s="489">
        <f t="shared" si="8"/>
        <v>23602</v>
      </c>
      <c r="V41" s="489">
        <f t="shared" si="8"/>
        <v>62240</v>
      </c>
      <c r="W41" s="489">
        <f t="shared" si="8"/>
        <v>19520</v>
      </c>
      <c r="X41" s="513">
        <f t="shared" si="8"/>
        <v>6367</v>
      </c>
      <c r="Y41" s="533">
        <f>SUM(O41:W41)</f>
        <v>240696</v>
      </c>
      <c r="Z41" s="510">
        <f>N41+X41+Y41</f>
        <v>584187</v>
      </c>
    </row>
    <row r="42" spans="1:26" ht="27" customHeight="1" thickBot="1">
      <c r="A42" s="480" t="s">
        <v>135</v>
      </c>
      <c r="B42" s="484">
        <v>15288</v>
      </c>
      <c r="C42" s="485">
        <v>23148</v>
      </c>
      <c r="D42" s="485">
        <v>7753</v>
      </c>
      <c r="E42" s="485">
        <v>13477</v>
      </c>
      <c r="F42" s="485">
        <v>12605</v>
      </c>
      <c r="G42" s="485">
        <v>37272</v>
      </c>
      <c r="H42" s="485">
        <v>29512</v>
      </c>
      <c r="I42" s="485">
        <v>37457</v>
      </c>
      <c r="J42" s="485">
        <v>21930</v>
      </c>
      <c r="K42" s="485">
        <v>20793</v>
      </c>
      <c r="L42" s="485">
        <v>26666</v>
      </c>
      <c r="M42" s="525">
        <v>32091</v>
      </c>
      <c r="N42" s="516">
        <f>SUM(B42:M42)</f>
        <v>277992</v>
      </c>
      <c r="O42" s="529">
        <v>22037</v>
      </c>
      <c r="P42" s="487">
        <v>13716</v>
      </c>
      <c r="Q42" s="487">
        <v>16508</v>
      </c>
      <c r="R42" s="487">
        <v>18778</v>
      </c>
      <c r="S42" s="487">
        <v>31736</v>
      </c>
      <c r="T42" s="487">
        <v>15692</v>
      </c>
      <c r="U42" s="487">
        <v>20830</v>
      </c>
      <c r="V42" s="487">
        <v>59474</v>
      </c>
      <c r="W42" s="487">
        <v>18893</v>
      </c>
      <c r="X42" s="514">
        <v>5466</v>
      </c>
      <c r="Y42" s="534">
        <f>SUM(O42:W42)</f>
        <v>217664</v>
      </c>
      <c r="Z42" s="535">
        <f>N42+X42+Y42</f>
        <v>501122</v>
      </c>
    </row>
    <row r="44" spans="1:26" ht="15" thickBot="1">
      <c r="A44" s="280" t="s">
        <v>163</v>
      </c>
      <c r="M44" s="452"/>
      <c r="O44" s="548"/>
      <c r="P44" s="548"/>
      <c r="Q44" s="548"/>
      <c r="R44" s="548"/>
      <c r="S44" s="548"/>
      <c r="T44" s="548"/>
      <c r="U44" s="548"/>
      <c r="V44" s="548"/>
      <c r="W44" s="548"/>
      <c r="X44" s="548"/>
      <c r="Y44" s="548"/>
      <c r="Z44" s="548"/>
    </row>
    <row r="45" spans="2:26" ht="15" thickBot="1">
      <c r="B45" s="698" t="s">
        <v>398</v>
      </c>
      <c r="C45" s="699"/>
      <c r="D45" s="699"/>
      <c r="E45" s="699"/>
      <c r="F45" s="699"/>
      <c r="G45" s="699"/>
      <c r="H45" s="699"/>
      <c r="I45" s="699"/>
      <c r="J45" s="699"/>
      <c r="K45" s="699"/>
      <c r="L45" s="699"/>
      <c r="M45" s="699"/>
      <c r="N45" s="700"/>
      <c r="O45" s="700"/>
      <c r="P45" s="700"/>
      <c r="Q45" s="700"/>
      <c r="R45" s="700"/>
      <c r="S45" s="700"/>
      <c r="T45" s="700"/>
      <c r="U45" s="700"/>
      <c r="V45" s="700"/>
      <c r="W45" s="700"/>
      <c r="X45" s="701"/>
      <c r="Y45" s="448"/>
      <c r="Z45" s="448"/>
    </row>
    <row r="46" spans="1:24" s="282" customFormat="1" ht="125.25" customHeight="1" thickBot="1">
      <c r="A46" s="431" t="s">
        <v>655</v>
      </c>
      <c r="B46" s="393" t="s">
        <v>57</v>
      </c>
      <c r="C46" s="394" t="s">
        <v>399</v>
      </c>
      <c r="D46" s="394" t="s">
        <v>400</v>
      </c>
      <c r="E46" s="394" t="s">
        <v>401</v>
      </c>
      <c r="F46" s="394" t="s">
        <v>402</v>
      </c>
      <c r="G46" s="394" t="s">
        <v>403</v>
      </c>
      <c r="H46" s="394" t="s">
        <v>124</v>
      </c>
      <c r="I46" s="394" t="s">
        <v>157</v>
      </c>
      <c r="J46" s="394" t="s">
        <v>404</v>
      </c>
      <c r="K46" s="394" t="s">
        <v>156</v>
      </c>
      <c r="L46" s="394" t="s">
        <v>453</v>
      </c>
      <c r="M46" s="394" t="s">
        <v>61</v>
      </c>
      <c r="N46" s="395" t="s">
        <v>405</v>
      </c>
      <c r="O46" s="295" t="s">
        <v>406</v>
      </c>
      <c r="P46" s="281" t="s">
        <v>407</v>
      </c>
      <c r="Q46" s="281" t="s">
        <v>408</v>
      </c>
      <c r="R46" s="281" t="s">
        <v>409</v>
      </c>
      <c r="S46" s="281" t="s">
        <v>410</v>
      </c>
      <c r="T46" s="281" t="s">
        <v>411</v>
      </c>
      <c r="U46" s="281" t="s">
        <v>412</v>
      </c>
      <c r="V46" s="281" t="s">
        <v>413</v>
      </c>
      <c r="W46" s="281" t="s">
        <v>414</v>
      </c>
      <c r="X46" s="296" t="s">
        <v>405</v>
      </c>
    </row>
    <row r="47" spans="1:24" ht="19.5" customHeight="1">
      <c r="A47" s="367" t="s">
        <v>173</v>
      </c>
      <c r="B47" s="285">
        <f aca="true" t="shared" si="9" ref="B47:B77">B4/$B$38</f>
        <v>2.9411764705882355</v>
      </c>
      <c r="C47" s="286">
        <f aca="true" t="shared" si="10" ref="C47:C77">C4/$C$38</f>
        <v>0</v>
      </c>
      <c r="D47" s="286">
        <f aca="true" t="shared" si="11" ref="D47:D77">D4/$D$38</f>
        <v>0</v>
      </c>
      <c r="E47" s="286">
        <f aca="true" t="shared" si="12" ref="E47:E77">E4/$E$38</f>
        <v>0</v>
      </c>
      <c r="F47" s="286">
        <f aca="true" t="shared" si="13" ref="F47:F77">F4/$F$38</f>
        <v>0</v>
      </c>
      <c r="G47" s="286">
        <f aca="true" t="shared" si="14" ref="G47:G77">G4/$G$38</f>
        <v>0</v>
      </c>
      <c r="H47" s="286">
        <f aca="true" t="shared" si="15" ref="H47:H77">H4/$H$38</f>
        <v>0</v>
      </c>
      <c r="I47" s="286">
        <f aca="true" t="shared" si="16" ref="I47:I77">I4/$I$38</f>
        <v>0</v>
      </c>
      <c r="J47" s="286">
        <f aca="true" t="shared" si="17" ref="J47:J77">J4/$J$38</f>
        <v>0</v>
      </c>
      <c r="K47" s="286">
        <f aca="true" t="shared" si="18" ref="K47:K77">K4/$K$38</f>
        <v>0</v>
      </c>
      <c r="L47" s="286">
        <f aca="true" t="shared" si="19" ref="L47:L77">L4/$L$38</f>
        <v>0</v>
      </c>
      <c r="M47" s="391">
        <f aca="true" t="shared" si="20" ref="M47:M77">M4/$M$38</f>
        <v>0</v>
      </c>
      <c r="N47" s="557">
        <f aca="true" t="shared" si="21" ref="N47:N77">(B4+C4+D4+E4+F4+G4+H4+I4+J4+K4+L4+M4)/$N$80</f>
        <v>0.13637913399249915</v>
      </c>
      <c r="O47" s="285">
        <f aca="true" t="shared" si="22" ref="O47:O77">O4/$O$38</f>
        <v>0</v>
      </c>
      <c r="P47" s="286">
        <f aca="true" t="shared" si="23" ref="P47:P77">P4/$P$38</f>
        <v>3.5</v>
      </c>
      <c r="Q47" s="286">
        <f aca="true" t="shared" si="24" ref="Q47:Q77">Q4/$Q$38</f>
        <v>0</v>
      </c>
      <c r="R47" s="286">
        <f aca="true" t="shared" si="25" ref="R47:R77">R4/$R$38</f>
        <v>0</v>
      </c>
      <c r="S47" s="286">
        <f aca="true" t="shared" si="26" ref="S47:S77">S4/$S$38</f>
        <v>0</v>
      </c>
      <c r="T47" s="286">
        <f aca="true" t="shared" si="27" ref="T47:T77">T4/$T$38</f>
        <v>0</v>
      </c>
      <c r="U47" s="286">
        <f aca="true" t="shared" si="28" ref="U47:U77">U4/$U$38</f>
        <v>0</v>
      </c>
      <c r="V47" s="286">
        <f aca="true" t="shared" si="29" ref="V47:V77">V4/$V$38</f>
        <v>0</v>
      </c>
      <c r="W47" s="391">
        <f aca="true" t="shared" si="30" ref="W47:W77">W4/$W$38</f>
        <v>0</v>
      </c>
      <c r="X47" s="557">
        <f>(O4+P4+Q4+R4+S4+T4+U4+V4+W4)/$Y$38</f>
        <v>0.23972602739726026</v>
      </c>
    </row>
    <row r="48" spans="1:24" ht="19.5" customHeight="1">
      <c r="A48" s="368" t="s">
        <v>174</v>
      </c>
      <c r="B48" s="289">
        <f t="shared" si="9"/>
        <v>150</v>
      </c>
      <c r="C48" s="290">
        <f t="shared" si="10"/>
        <v>137.9327731092437</v>
      </c>
      <c r="D48" s="290">
        <f t="shared" si="11"/>
        <v>143.90243902439025</v>
      </c>
      <c r="E48" s="290">
        <f t="shared" si="12"/>
        <v>132.02877697841726</v>
      </c>
      <c r="F48" s="290">
        <f t="shared" si="13"/>
        <v>141.97101449275362</v>
      </c>
      <c r="G48" s="290">
        <f t="shared" si="14"/>
        <v>133.98029556650246</v>
      </c>
      <c r="H48" s="290">
        <f t="shared" si="15"/>
        <v>141.27472527472528</v>
      </c>
      <c r="I48" s="290">
        <f t="shared" si="16"/>
        <v>129.5897435897436</v>
      </c>
      <c r="J48" s="290">
        <f t="shared" si="17"/>
        <v>129.62962962962962</v>
      </c>
      <c r="K48" s="290">
        <f t="shared" si="18"/>
        <v>153.2608695652174</v>
      </c>
      <c r="L48" s="290">
        <f t="shared" si="19"/>
        <v>175.8</v>
      </c>
      <c r="M48" s="392">
        <f t="shared" si="20"/>
        <v>151.53374233128835</v>
      </c>
      <c r="N48" s="558">
        <f t="shared" si="21"/>
        <v>142.39345380156837</v>
      </c>
      <c r="O48" s="289">
        <f t="shared" si="22"/>
        <v>140.61</v>
      </c>
      <c r="P48" s="290">
        <f t="shared" si="23"/>
        <v>141.83333333333334</v>
      </c>
      <c r="Q48" s="290">
        <f t="shared" si="24"/>
        <v>140.6081081081081</v>
      </c>
      <c r="R48" s="290">
        <f t="shared" si="25"/>
        <v>111.25</v>
      </c>
      <c r="S48" s="290">
        <f t="shared" si="26"/>
        <v>162.30921052631578</v>
      </c>
      <c r="T48" s="290">
        <f t="shared" si="27"/>
        <v>143.43065693430657</v>
      </c>
      <c r="U48" s="290">
        <f t="shared" si="28"/>
        <v>113.86138613861387</v>
      </c>
      <c r="V48" s="290">
        <f t="shared" si="29"/>
        <v>178.84735202492212</v>
      </c>
      <c r="W48" s="392">
        <f t="shared" si="30"/>
        <v>137.2</v>
      </c>
      <c r="X48" s="558">
        <f>(O5+P5+Q5+R5+S5+T5+U5+V5+W5)/$Y$38</f>
        <v>145.6084474885845</v>
      </c>
    </row>
    <row r="49" spans="1:24" ht="19.5" customHeight="1">
      <c r="A49" s="368" t="s">
        <v>175</v>
      </c>
      <c r="B49" s="289">
        <f t="shared" si="9"/>
        <v>0</v>
      </c>
      <c r="C49" s="290">
        <f t="shared" si="10"/>
        <v>0</v>
      </c>
      <c r="D49" s="290">
        <f t="shared" si="11"/>
        <v>0</v>
      </c>
      <c r="E49" s="290">
        <f t="shared" si="12"/>
        <v>0</v>
      </c>
      <c r="F49" s="290">
        <f t="shared" si="13"/>
        <v>0</v>
      </c>
      <c r="G49" s="290">
        <f t="shared" si="14"/>
        <v>0</v>
      </c>
      <c r="H49" s="290">
        <f t="shared" si="15"/>
        <v>0</v>
      </c>
      <c r="I49" s="290">
        <f t="shared" si="16"/>
        <v>0</v>
      </c>
      <c r="J49" s="290">
        <f t="shared" si="17"/>
        <v>0</v>
      </c>
      <c r="K49" s="290">
        <f t="shared" si="18"/>
        <v>0</v>
      </c>
      <c r="L49" s="290">
        <f t="shared" si="19"/>
        <v>0</v>
      </c>
      <c r="M49" s="392">
        <f t="shared" si="20"/>
        <v>0</v>
      </c>
      <c r="N49" s="558">
        <f t="shared" si="21"/>
        <v>0</v>
      </c>
      <c r="O49" s="289">
        <f t="shared" si="22"/>
        <v>0</v>
      </c>
      <c r="P49" s="290">
        <f t="shared" si="23"/>
        <v>0</v>
      </c>
      <c r="Q49" s="290">
        <f t="shared" si="24"/>
        <v>0</v>
      </c>
      <c r="R49" s="290">
        <f t="shared" si="25"/>
        <v>0</v>
      </c>
      <c r="S49" s="290">
        <f t="shared" si="26"/>
        <v>0</v>
      </c>
      <c r="T49" s="290">
        <f t="shared" si="27"/>
        <v>0</v>
      </c>
      <c r="U49" s="290">
        <f t="shared" si="28"/>
        <v>0</v>
      </c>
      <c r="V49" s="290">
        <f t="shared" si="29"/>
        <v>0</v>
      </c>
      <c r="W49" s="392">
        <f t="shared" si="30"/>
        <v>0</v>
      </c>
      <c r="X49" s="558">
        <f aca="true" t="shared" si="31" ref="X49:X77">(O6+P6+Q6+R6+S6+T6+U6+V6+W6)/$Y$38</f>
        <v>0</v>
      </c>
    </row>
    <row r="50" spans="1:24" ht="19.5" customHeight="1">
      <c r="A50" s="368" t="s">
        <v>176</v>
      </c>
      <c r="B50" s="289">
        <f t="shared" si="9"/>
        <v>0</v>
      </c>
      <c r="C50" s="290">
        <f t="shared" si="10"/>
        <v>0</v>
      </c>
      <c r="D50" s="290">
        <f t="shared" si="11"/>
        <v>0</v>
      </c>
      <c r="E50" s="290">
        <f t="shared" si="12"/>
        <v>0</v>
      </c>
      <c r="F50" s="290">
        <f t="shared" si="13"/>
        <v>0</v>
      </c>
      <c r="G50" s="290">
        <f t="shared" si="14"/>
        <v>0</v>
      </c>
      <c r="H50" s="290">
        <f t="shared" si="15"/>
        <v>0</v>
      </c>
      <c r="I50" s="290">
        <f t="shared" si="16"/>
        <v>0</v>
      </c>
      <c r="J50" s="290">
        <f t="shared" si="17"/>
        <v>0</v>
      </c>
      <c r="K50" s="290">
        <f t="shared" si="18"/>
        <v>0</v>
      </c>
      <c r="L50" s="290">
        <f t="shared" si="19"/>
        <v>0.015384615384615385</v>
      </c>
      <c r="M50" s="392">
        <f t="shared" si="20"/>
        <v>0</v>
      </c>
      <c r="N50" s="558">
        <f t="shared" si="21"/>
        <v>0.0013637913399249914</v>
      </c>
      <c r="O50" s="289">
        <f t="shared" si="22"/>
        <v>0</v>
      </c>
      <c r="P50" s="290">
        <f t="shared" si="23"/>
        <v>0</v>
      </c>
      <c r="Q50" s="290">
        <f t="shared" si="24"/>
        <v>0</v>
      </c>
      <c r="R50" s="290">
        <f t="shared" si="25"/>
        <v>0</v>
      </c>
      <c r="S50" s="290">
        <f t="shared" si="26"/>
        <v>0</v>
      </c>
      <c r="T50" s="290">
        <f t="shared" si="27"/>
        <v>0</v>
      </c>
      <c r="U50" s="290">
        <f t="shared" si="28"/>
        <v>0</v>
      </c>
      <c r="V50" s="290">
        <f t="shared" si="29"/>
        <v>0</v>
      </c>
      <c r="W50" s="392">
        <f t="shared" si="30"/>
        <v>0</v>
      </c>
      <c r="X50" s="558">
        <f t="shared" si="31"/>
        <v>0</v>
      </c>
    </row>
    <row r="51" spans="1:24" ht="19.5" customHeight="1">
      <c r="A51" s="368" t="s">
        <v>177</v>
      </c>
      <c r="B51" s="289">
        <f t="shared" si="9"/>
        <v>0.014705882352941176</v>
      </c>
      <c r="C51" s="290">
        <f t="shared" si="10"/>
        <v>0.2184873949579832</v>
      </c>
      <c r="D51" s="290">
        <f t="shared" si="11"/>
        <v>0</v>
      </c>
      <c r="E51" s="290">
        <f t="shared" si="12"/>
        <v>0.4316546762589928</v>
      </c>
      <c r="F51" s="290">
        <f t="shared" si="13"/>
        <v>0.7971014492753623</v>
      </c>
      <c r="G51" s="290">
        <f t="shared" si="14"/>
        <v>0.19704433497536947</v>
      </c>
      <c r="H51" s="290">
        <f t="shared" si="15"/>
        <v>0.27472527472527475</v>
      </c>
      <c r="I51" s="290">
        <f t="shared" si="16"/>
        <v>0.3076923076923077</v>
      </c>
      <c r="J51" s="290">
        <f t="shared" si="17"/>
        <v>0</v>
      </c>
      <c r="K51" s="290">
        <f t="shared" si="18"/>
        <v>2.5</v>
      </c>
      <c r="L51" s="290">
        <f t="shared" si="19"/>
        <v>6.153846153846154</v>
      </c>
      <c r="M51" s="392">
        <f t="shared" si="20"/>
        <v>3.8650306748466257</v>
      </c>
      <c r="N51" s="558">
        <f t="shared" si="21"/>
        <v>1.3106034776679167</v>
      </c>
      <c r="O51" s="289">
        <f t="shared" si="22"/>
        <v>0.08</v>
      </c>
      <c r="P51" s="290">
        <f t="shared" si="23"/>
        <v>0.016666666666666666</v>
      </c>
      <c r="Q51" s="290">
        <f t="shared" si="24"/>
        <v>0.20270270270270271</v>
      </c>
      <c r="R51" s="290">
        <f t="shared" si="25"/>
        <v>2.5625</v>
      </c>
      <c r="S51" s="290">
        <f t="shared" si="26"/>
        <v>6.644736842105263</v>
      </c>
      <c r="T51" s="290">
        <f t="shared" si="27"/>
        <v>0</v>
      </c>
      <c r="U51" s="290">
        <f t="shared" si="28"/>
        <v>0.7920792079207921</v>
      </c>
      <c r="V51" s="290">
        <f t="shared" si="29"/>
        <v>12.018691588785046</v>
      </c>
      <c r="W51" s="392">
        <f t="shared" si="30"/>
        <v>3.2125</v>
      </c>
      <c r="X51" s="558">
        <f t="shared" si="31"/>
        <v>4.001141552511416</v>
      </c>
    </row>
    <row r="52" spans="1:24" ht="19.5" customHeight="1">
      <c r="A52" s="368" t="s">
        <v>178</v>
      </c>
      <c r="B52" s="289">
        <f t="shared" si="9"/>
        <v>0</v>
      </c>
      <c r="C52" s="290">
        <f t="shared" si="10"/>
        <v>0</v>
      </c>
      <c r="D52" s="290">
        <f t="shared" si="11"/>
        <v>0</v>
      </c>
      <c r="E52" s="290">
        <f t="shared" si="12"/>
        <v>0</v>
      </c>
      <c r="F52" s="290">
        <f t="shared" si="13"/>
        <v>0.7246376811594203</v>
      </c>
      <c r="G52" s="290">
        <f t="shared" si="14"/>
        <v>0</v>
      </c>
      <c r="H52" s="290">
        <f t="shared" si="15"/>
        <v>0.27472527472527475</v>
      </c>
      <c r="I52" s="290">
        <f t="shared" si="16"/>
        <v>0.2564102564102564</v>
      </c>
      <c r="J52" s="290">
        <f t="shared" si="17"/>
        <v>0</v>
      </c>
      <c r="K52" s="290">
        <f t="shared" si="18"/>
        <v>0.8695652173913043</v>
      </c>
      <c r="L52" s="290">
        <f t="shared" si="19"/>
        <v>4.615384615384615</v>
      </c>
      <c r="M52" s="392">
        <f t="shared" si="20"/>
        <v>3.067484662576687</v>
      </c>
      <c r="N52" s="558">
        <f t="shared" si="21"/>
        <v>0.9069212410501193</v>
      </c>
      <c r="O52" s="289">
        <f t="shared" si="22"/>
        <v>0.07</v>
      </c>
      <c r="P52" s="290">
        <f t="shared" si="23"/>
        <v>0</v>
      </c>
      <c r="Q52" s="290">
        <f t="shared" si="24"/>
        <v>0</v>
      </c>
      <c r="R52" s="290">
        <f t="shared" si="25"/>
        <v>2.5</v>
      </c>
      <c r="S52" s="290">
        <f t="shared" si="26"/>
        <v>4.934210526315789</v>
      </c>
      <c r="T52" s="290">
        <f t="shared" si="27"/>
        <v>0</v>
      </c>
      <c r="U52" s="290">
        <f t="shared" si="28"/>
        <v>0.19801980198019803</v>
      </c>
      <c r="V52" s="290">
        <f t="shared" si="29"/>
        <v>6.947040498442368</v>
      </c>
      <c r="W52" s="392">
        <f t="shared" si="30"/>
        <v>0</v>
      </c>
      <c r="X52" s="558">
        <f t="shared" si="31"/>
        <v>2.3881278538812785</v>
      </c>
    </row>
    <row r="53" spans="1:24" ht="19.5" customHeight="1">
      <c r="A53" s="368" t="s">
        <v>179</v>
      </c>
      <c r="B53" s="289">
        <f t="shared" si="9"/>
        <v>0</v>
      </c>
      <c r="C53" s="290">
        <f t="shared" si="10"/>
        <v>0</v>
      </c>
      <c r="D53" s="290">
        <f t="shared" si="11"/>
        <v>0</v>
      </c>
      <c r="E53" s="290">
        <f t="shared" si="12"/>
        <v>0</v>
      </c>
      <c r="F53" s="290">
        <f t="shared" si="13"/>
        <v>0</v>
      </c>
      <c r="G53" s="290">
        <f t="shared" si="14"/>
        <v>0</v>
      </c>
      <c r="H53" s="290">
        <f t="shared" si="15"/>
        <v>0</v>
      </c>
      <c r="I53" s="290">
        <f t="shared" si="16"/>
        <v>0</v>
      </c>
      <c r="J53" s="290">
        <f t="shared" si="17"/>
        <v>0</v>
      </c>
      <c r="K53" s="290">
        <f t="shared" si="18"/>
        <v>0</v>
      </c>
      <c r="L53" s="290">
        <f t="shared" si="19"/>
        <v>0</v>
      </c>
      <c r="M53" s="392">
        <f t="shared" si="20"/>
        <v>0</v>
      </c>
      <c r="N53" s="558">
        <f t="shared" si="21"/>
        <v>0</v>
      </c>
      <c r="O53" s="289">
        <f t="shared" si="22"/>
        <v>0</v>
      </c>
      <c r="P53" s="290">
        <f t="shared" si="23"/>
        <v>0</v>
      </c>
      <c r="Q53" s="290">
        <f t="shared" si="24"/>
        <v>0</v>
      </c>
      <c r="R53" s="290">
        <f t="shared" si="25"/>
        <v>0</v>
      </c>
      <c r="S53" s="290">
        <f t="shared" si="26"/>
        <v>0</v>
      </c>
      <c r="T53" s="290">
        <f t="shared" si="27"/>
        <v>0</v>
      </c>
      <c r="U53" s="290">
        <f t="shared" si="28"/>
        <v>0</v>
      </c>
      <c r="V53" s="290">
        <f t="shared" si="29"/>
        <v>0</v>
      </c>
      <c r="W53" s="392">
        <f t="shared" si="30"/>
        <v>0</v>
      </c>
      <c r="X53" s="558">
        <f t="shared" si="31"/>
        <v>0</v>
      </c>
    </row>
    <row r="54" spans="1:24" ht="28.5" customHeight="1">
      <c r="A54" s="368" t="s">
        <v>180</v>
      </c>
      <c r="B54" s="289">
        <f t="shared" si="9"/>
        <v>0</v>
      </c>
      <c r="C54" s="290">
        <f t="shared" si="10"/>
        <v>0</v>
      </c>
      <c r="D54" s="290">
        <f t="shared" si="11"/>
        <v>0</v>
      </c>
      <c r="E54" s="290">
        <f t="shared" si="12"/>
        <v>0</v>
      </c>
      <c r="F54" s="290">
        <f t="shared" si="13"/>
        <v>0</v>
      </c>
      <c r="G54" s="290">
        <f t="shared" si="14"/>
        <v>0</v>
      </c>
      <c r="H54" s="290">
        <f t="shared" si="15"/>
        <v>0</v>
      </c>
      <c r="I54" s="290">
        <f t="shared" si="16"/>
        <v>0</v>
      </c>
      <c r="J54" s="290">
        <f t="shared" si="17"/>
        <v>0</v>
      </c>
      <c r="K54" s="290">
        <f t="shared" si="18"/>
        <v>0</v>
      </c>
      <c r="L54" s="290">
        <f t="shared" si="19"/>
        <v>0</v>
      </c>
      <c r="M54" s="392">
        <f t="shared" si="20"/>
        <v>0</v>
      </c>
      <c r="N54" s="558">
        <f t="shared" si="21"/>
        <v>0</v>
      </c>
      <c r="O54" s="289">
        <f t="shared" si="22"/>
        <v>0</v>
      </c>
      <c r="P54" s="290">
        <f t="shared" si="23"/>
        <v>0</v>
      </c>
      <c r="Q54" s="290">
        <f t="shared" si="24"/>
        <v>0</v>
      </c>
      <c r="R54" s="290">
        <f t="shared" si="25"/>
        <v>0</v>
      </c>
      <c r="S54" s="290">
        <f t="shared" si="26"/>
        <v>0</v>
      </c>
      <c r="T54" s="290">
        <f t="shared" si="27"/>
        <v>0</v>
      </c>
      <c r="U54" s="290">
        <f t="shared" si="28"/>
        <v>0</v>
      </c>
      <c r="V54" s="290">
        <f t="shared" si="29"/>
        <v>0</v>
      </c>
      <c r="W54" s="392">
        <f t="shared" si="30"/>
        <v>0</v>
      </c>
      <c r="X54" s="558">
        <f t="shared" si="31"/>
        <v>0</v>
      </c>
    </row>
    <row r="55" spans="1:24" ht="19.5" customHeight="1">
      <c r="A55" s="368" t="s">
        <v>181</v>
      </c>
      <c r="B55" s="289">
        <f t="shared" si="9"/>
        <v>95.38235294117646</v>
      </c>
      <c r="C55" s="290">
        <f t="shared" si="10"/>
        <v>73.4873949579832</v>
      </c>
      <c r="D55" s="290">
        <f t="shared" si="11"/>
        <v>59.53658536585366</v>
      </c>
      <c r="E55" s="290">
        <f t="shared" si="12"/>
        <v>73.61151079136691</v>
      </c>
      <c r="F55" s="290">
        <f t="shared" si="13"/>
        <v>81.14492753623189</v>
      </c>
      <c r="G55" s="290">
        <f t="shared" si="14"/>
        <v>56.80788177339902</v>
      </c>
      <c r="H55" s="290">
        <f t="shared" si="15"/>
        <v>87.70879120879121</v>
      </c>
      <c r="I55" s="290">
        <f t="shared" si="16"/>
        <v>89.01538461538462</v>
      </c>
      <c r="J55" s="290">
        <f t="shared" si="17"/>
        <v>56.044444444444444</v>
      </c>
      <c r="K55" s="290">
        <f t="shared" si="18"/>
        <v>78.77173913043478</v>
      </c>
      <c r="L55" s="290">
        <f t="shared" si="19"/>
        <v>82.35384615384615</v>
      </c>
      <c r="M55" s="392">
        <f t="shared" si="20"/>
        <v>73.23312883435582</v>
      </c>
      <c r="N55" s="558">
        <f t="shared" si="21"/>
        <v>75.48312308216843</v>
      </c>
      <c r="O55" s="289">
        <f t="shared" si="22"/>
        <v>88</v>
      </c>
      <c r="P55" s="290">
        <f t="shared" si="23"/>
        <v>100.65</v>
      </c>
      <c r="Q55" s="290">
        <f t="shared" si="24"/>
        <v>93.54054054054055</v>
      </c>
      <c r="R55" s="290">
        <f t="shared" si="25"/>
        <v>93.6125</v>
      </c>
      <c r="S55" s="290">
        <f t="shared" si="26"/>
        <v>59.328947368421055</v>
      </c>
      <c r="T55" s="290">
        <f t="shared" si="27"/>
        <v>104.72992700729927</v>
      </c>
      <c r="U55" s="290">
        <f t="shared" si="28"/>
        <v>92.68316831683168</v>
      </c>
      <c r="V55" s="290">
        <f t="shared" si="29"/>
        <v>172.404984423676</v>
      </c>
      <c r="W55" s="392">
        <f t="shared" si="30"/>
        <v>97.1375</v>
      </c>
      <c r="X55" s="558">
        <f t="shared" si="31"/>
        <v>103.01940639269407</v>
      </c>
    </row>
    <row r="56" spans="1:24" ht="19.5" customHeight="1">
      <c r="A56" s="369" t="s">
        <v>310</v>
      </c>
      <c r="B56" s="289">
        <f t="shared" si="9"/>
        <v>4.588235294117647</v>
      </c>
      <c r="C56" s="290">
        <f t="shared" si="10"/>
        <v>4.638655462184874</v>
      </c>
      <c r="D56" s="290">
        <f t="shared" si="11"/>
        <v>4.634146341463414</v>
      </c>
      <c r="E56" s="290">
        <f t="shared" si="12"/>
        <v>4.676258992805756</v>
      </c>
      <c r="F56" s="290">
        <f t="shared" si="13"/>
        <v>4.63768115942029</v>
      </c>
      <c r="G56" s="290">
        <f t="shared" si="14"/>
        <v>4.640394088669951</v>
      </c>
      <c r="H56" s="290">
        <f t="shared" si="15"/>
        <v>4.357142857142857</v>
      </c>
      <c r="I56" s="290">
        <f t="shared" si="16"/>
        <v>4.641025641025641</v>
      </c>
      <c r="J56" s="290">
        <f t="shared" si="17"/>
        <v>4.637037037037037</v>
      </c>
      <c r="K56" s="290">
        <f t="shared" si="18"/>
        <v>4.641304347826087</v>
      </c>
      <c r="L56" s="290">
        <f t="shared" si="19"/>
        <v>4.638461538461539</v>
      </c>
      <c r="M56" s="392">
        <f t="shared" si="20"/>
        <v>4.693251533742331</v>
      </c>
      <c r="N56" s="558">
        <f t="shared" si="21"/>
        <v>4.609614728946471</v>
      </c>
      <c r="O56" s="289">
        <f t="shared" si="22"/>
        <v>5.62</v>
      </c>
      <c r="P56" s="290">
        <f t="shared" si="23"/>
        <v>5.4</v>
      </c>
      <c r="Q56" s="290">
        <f t="shared" si="24"/>
        <v>5.121621621621622</v>
      </c>
      <c r="R56" s="290">
        <f t="shared" si="25"/>
        <v>5.4125</v>
      </c>
      <c r="S56" s="290">
        <f t="shared" si="26"/>
        <v>5.75</v>
      </c>
      <c r="T56" s="290">
        <f t="shared" si="27"/>
        <v>5.372262773722627</v>
      </c>
      <c r="U56" s="290">
        <f t="shared" si="28"/>
        <v>5.356435643564357</v>
      </c>
      <c r="V56" s="290">
        <f t="shared" si="29"/>
        <v>5.707165109034268</v>
      </c>
      <c r="W56" s="392">
        <f t="shared" si="30"/>
        <v>5.4125</v>
      </c>
      <c r="X56" s="558">
        <f t="shared" si="31"/>
        <v>5.513698630136986</v>
      </c>
    </row>
    <row r="57" spans="1:24" ht="19.5" customHeight="1">
      <c r="A57" s="369" t="s">
        <v>311</v>
      </c>
      <c r="B57" s="289">
        <f t="shared" si="9"/>
        <v>90.79411764705883</v>
      </c>
      <c r="C57" s="290">
        <f t="shared" si="10"/>
        <v>68.84873949579831</v>
      </c>
      <c r="D57" s="290">
        <f t="shared" si="11"/>
        <v>54.90243902439025</v>
      </c>
      <c r="E57" s="290">
        <f t="shared" si="12"/>
        <v>66.63309352517986</v>
      </c>
      <c r="F57" s="290">
        <f t="shared" si="13"/>
        <v>76.5072463768116</v>
      </c>
      <c r="G57" s="290">
        <f t="shared" si="14"/>
        <v>52.16748768472906</v>
      </c>
      <c r="H57" s="290">
        <f t="shared" si="15"/>
        <v>83.35164835164835</v>
      </c>
      <c r="I57" s="290">
        <f t="shared" si="16"/>
        <v>84.37435897435897</v>
      </c>
      <c r="J57" s="290">
        <f t="shared" si="17"/>
        <v>51.407407407407405</v>
      </c>
      <c r="K57" s="290">
        <f t="shared" si="18"/>
        <v>74.1304347826087</v>
      </c>
      <c r="L57" s="290">
        <f t="shared" si="19"/>
        <v>76.17692307692307</v>
      </c>
      <c r="M57" s="392">
        <f t="shared" si="20"/>
        <v>67.71165644171779</v>
      </c>
      <c r="N57" s="558">
        <f t="shared" si="21"/>
        <v>70.53596999659052</v>
      </c>
      <c r="O57" s="289">
        <f t="shared" si="22"/>
        <v>82.38</v>
      </c>
      <c r="P57" s="290">
        <f t="shared" si="23"/>
        <v>95.25</v>
      </c>
      <c r="Q57" s="290">
        <f t="shared" si="24"/>
        <v>88.41891891891892</v>
      </c>
      <c r="R57" s="290">
        <f t="shared" si="25"/>
        <v>88.2</v>
      </c>
      <c r="S57" s="290">
        <f t="shared" si="26"/>
        <v>52.098684210526315</v>
      </c>
      <c r="T57" s="290">
        <f t="shared" si="27"/>
        <v>99.35766423357664</v>
      </c>
      <c r="U57" s="290">
        <f t="shared" si="28"/>
        <v>87.32673267326733</v>
      </c>
      <c r="V57" s="290">
        <f t="shared" si="29"/>
        <v>166.69781931464175</v>
      </c>
      <c r="W57" s="392">
        <f t="shared" si="30"/>
        <v>91.72749999999999</v>
      </c>
      <c r="X57" s="558">
        <f t="shared" si="31"/>
        <v>97.24908675799087</v>
      </c>
    </row>
    <row r="58" spans="1:24" ht="19.5" customHeight="1" thickBot="1">
      <c r="A58" s="370" t="s">
        <v>416</v>
      </c>
      <c r="B58" s="538">
        <f t="shared" si="9"/>
        <v>0</v>
      </c>
      <c r="C58" s="539">
        <f t="shared" si="10"/>
        <v>0</v>
      </c>
      <c r="D58" s="539">
        <f t="shared" si="11"/>
        <v>0</v>
      </c>
      <c r="E58" s="539">
        <f t="shared" si="12"/>
        <v>2.302158273381295</v>
      </c>
      <c r="F58" s="539">
        <f t="shared" si="13"/>
        <v>0</v>
      </c>
      <c r="G58" s="539">
        <f t="shared" si="14"/>
        <v>0</v>
      </c>
      <c r="H58" s="539">
        <f t="shared" si="15"/>
        <v>0</v>
      </c>
      <c r="I58" s="539">
        <f t="shared" si="16"/>
        <v>0</v>
      </c>
      <c r="J58" s="539">
        <f t="shared" si="17"/>
        <v>0</v>
      </c>
      <c r="K58" s="539">
        <f t="shared" si="18"/>
        <v>0</v>
      </c>
      <c r="L58" s="539">
        <f t="shared" si="19"/>
        <v>1.5384615384615385</v>
      </c>
      <c r="M58" s="540">
        <f t="shared" si="20"/>
        <v>0.8282208588957055</v>
      </c>
      <c r="N58" s="559">
        <f t="shared" si="21"/>
        <v>0.3375383566314354</v>
      </c>
      <c r="O58" s="538">
        <f t="shared" si="22"/>
        <v>0</v>
      </c>
      <c r="P58" s="539">
        <f t="shared" si="23"/>
        <v>0</v>
      </c>
      <c r="Q58" s="539">
        <f t="shared" si="24"/>
        <v>0</v>
      </c>
      <c r="R58" s="539">
        <f t="shared" si="25"/>
        <v>0</v>
      </c>
      <c r="S58" s="539">
        <f t="shared" si="26"/>
        <v>1.480263157894737</v>
      </c>
      <c r="T58" s="539">
        <f t="shared" si="27"/>
        <v>0</v>
      </c>
      <c r="U58" s="539">
        <f t="shared" si="28"/>
        <v>0</v>
      </c>
      <c r="V58" s="539">
        <f t="shared" si="29"/>
        <v>0</v>
      </c>
      <c r="W58" s="540">
        <f t="shared" si="30"/>
        <v>0</v>
      </c>
      <c r="X58" s="559">
        <f t="shared" si="31"/>
        <v>0.2568493150684932</v>
      </c>
    </row>
    <row r="59" spans="1:24" ht="19.5" customHeight="1" thickBot="1">
      <c r="A59" s="371" t="s">
        <v>182</v>
      </c>
      <c r="B59" s="541">
        <f t="shared" si="9"/>
        <v>248.33823529411765</v>
      </c>
      <c r="C59" s="542">
        <f t="shared" si="10"/>
        <v>211.6386554621849</v>
      </c>
      <c r="D59" s="542">
        <f t="shared" si="11"/>
        <v>203.4390243902439</v>
      </c>
      <c r="E59" s="542">
        <f t="shared" si="12"/>
        <v>206.07194244604315</v>
      </c>
      <c r="F59" s="542">
        <f t="shared" si="13"/>
        <v>223.91304347826087</v>
      </c>
      <c r="G59" s="542">
        <f t="shared" si="14"/>
        <v>190.98522167487684</v>
      </c>
      <c r="H59" s="542">
        <f t="shared" si="15"/>
        <v>229.25824175824175</v>
      </c>
      <c r="I59" s="542">
        <f t="shared" si="16"/>
        <v>218.9128205128205</v>
      </c>
      <c r="J59" s="542">
        <f t="shared" si="17"/>
        <v>185.67407407407407</v>
      </c>
      <c r="K59" s="542">
        <f t="shared" si="18"/>
        <v>234.5326086956522</v>
      </c>
      <c r="L59" s="542">
        <f t="shared" si="19"/>
        <v>264.32307692307694</v>
      </c>
      <c r="M59" s="543">
        <f t="shared" si="20"/>
        <v>228.6319018404908</v>
      </c>
      <c r="N59" s="544">
        <f t="shared" si="21"/>
        <v>219.32492328673712</v>
      </c>
      <c r="O59" s="541">
        <f t="shared" si="22"/>
        <v>228.69</v>
      </c>
      <c r="P59" s="542">
        <f t="shared" si="23"/>
        <v>246</v>
      </c>
      <c r="Q59" s="542">
        <f t="shared" si="24"/>
        <v>234.35135135135135</v>
      </c>
      <c r="R59" s="542">
        <f t="shared" si="25"/>
        <v>207.425</v>
      </c>
      <c r="S59" s="542">
        <f t="shared" si="26"/>
        <v>228.2828947368421</v>
      </c>
      <c r="T59" s="542">
        <f t="shared" si="27"/>
        <v>248.16058394160584</v>
      </c>
      <c r="U59" s="542">
        <f t="shared" si="28"/>
        <v>207.33663366336634</v>
      </c>
      <c r="V59" s="542">
        <f t="shared" si="29"/>
        <v>363.2710280373832</v>
      </c>
      <c r="W59" s="543">
        <f t="shared" si="30"/>
        <v>237.55</v>
      </c>
      <c r="X59" s="544">
        <f t="shared" si="31"/>
        <v>252.86872146118722</v>
      </c>
    </row>
    <row r="60" spans="1:24" ht="19.5" customHeight="1">
      <c r="A60" s="367" t="s">
        <v>183</v>
      </c>
      <c r="B60" s="545">
        <f t="shared" si="9"/>
        <v>49.411764705882355</v>
      </c>
      <c r="C60" s="546">
        <f t="shared" si="10"/>
        <v>37.52100840336134</v>
      </c>
      <c r="D60" s="546">
        <f t="shared" si="11"/>
        <v>34.63414634146341</v>
      </c>
      <c r="E60" s="546">
        <f t="shared" si="12"/>
        <v>37.48201438848921</v>
      </c>
      <c r="F60" s="546">
        <f t="shared" si="13"/>
        <v>52.768115942028984</v>
      </c>
      <c r="G60" s="546">
        <f t="shared" si="14"/>
        <v>39.01970443349754</v>
      </c>
      <c r="H60" s="546">
        <f t="shared" si="15"/>
        <v>43.9010989010989</v>
      </c>
      <c r="I60" s="546">
        <f t="shared" si="16"/>
        <v>34.48717948717949</v>
      </c>
      <c r="J60" s="546">
        <f t="shared" si="17"/>
        <v>38.51111111111111</v>
      </c>
      <c r="K60" s="546">
        <f t="shared" si="18"/>
        <v>44.56521739130435</v>
      </c>
      <c r="L60" s="546">
        <f t="shared" si="19"/>
        <v>40.30769230769231</v>
      </c>
      <c r="M60" s="547">
        <f t="shared" si="20"/>
        <v>38.05521472392638</v>
      </c>
      <c r="N60" s="560">
        <f t="shared" si="21"/>
        <v>40.14251619502216</v>
      </c>
      <c r="O60" s="545">
        <f t="shared" si="22"/>
        <v>35.65</v>
      </c>
      <c r="P60" s="546">
        <f t="shared" si="23"/>
        <v>46.666666666666664</v>
      </c>
      <c r="Q60" s="546">
        <f t="shared" si="24"/>
        <v>42.432432432432435</v>
      </c>
      <c r="R60" s="546">
        <f t="shared" si="25"/>
        <v>44.25</v>
      </c>
      <c r="S60" s="546">
        <f t="shared" si="26"/>
        <v>36.18421052631579</v>
      </c>
      <c r="T60" s="546">
        <f t="shared" si="27"/>
        <v>47.56204379562044</v>
      </c>
      <c r="U60" s="546">
        <f t="shared" si="28"/>
        <v>50.495049504950494</v>
      </c>
      <c r="V60" s="546">
        <f t="shared" si="29"/>
        <v>48.06853582554517</v>
      </c>
      <c r="W60" s="547">
        <f t="shared" si="30"/>
        <v>16.875</v>
      </c>
      <c r="X60" s="560">
        <f t="shared" si="31"/>
        <v>41.05936073059361</v>
      </c>
    </row>
    <row r="61" spans="1:24" ht="24.75" customHeight="1">
      <c r="A61" s="368" t="s">
        <v>184</v>
      </c>
      <c r="B61" s="289">
        <f t="shared" si="9"/>
        <v>4.411764705882353</v>
      </c>
      <c r="C61" s="290">
        <f t="shared" si="10"/>
        <v>2.5210084033613445</v>
      </c>
      <c r="D61" s="290">
        <f t="shared" si="11"/>
        <v>7.317073170731708</v>
      </c>
      <c r="E61" s="290">
        <f t="shared" si="12"/>
        <v>4.316546762589928</v>
      </c>
      <c r="F61" s="290">
        <f t="shared" si="13"/>
        <v>6.3768115942028984</v>
      </c>
      <c r="G61" s="290">
        <f t="shared" si="14"/>
        <v>4.778325123152709</v>
      </c>
      <c r="H61" s="290">
        <f t="shared" si="15"/>
        <v>2.197802197802198</v>
      </c>
      <c r="I61" s="290">
        <f t="shared" si="16"/>
        <v>3.6153846153846154</v>
      </c>
      <c r="J61" s="290">
        <f t="shared" si="17"/>
        <v>2.2222222222222223</v>
      </c>
      <c r="K61" s="290">
        <f t="shared" si="18"/>
        <v>5.434782608695652</v>
      </c>
      <c r="L61" s="290">
        <f t="shared" si="19"/>
        <v>3.8461538461538463</v>
      </c>
      <c r="M61" s="392">
        <f t="shared" si="20"/>
        <v>2.773006134969325</v>
      </c>
      <c r="N61" s="558">
        <f t="shared" si="21"/>
        <v>3.727923627684964</v>
      </c>
      <c r="O61" s="289">
        <f t="shared" si="22"/>
        <v>2.5</v>
      </c>
      <c r="P61" s="290">
        <f t="shared" si="23"/>
        <v>4.166666666666667</v>
      </c>
      <c r="Q61" s="290">
        <f t="shared" si="24"/>
        <v>4.054054054054054</v>
      </c>
      <c r="R61" s="290">
        <f t="shared" si="25"/>
        <v>3.75</v>
      </c>
      <c r="S61" s="290">
        <f t="shared" si="26"/>
        <v>2.6315789473684212</v>
      </c>
      <c r="T61" s="290">
        <f t="shared" si="27"/>
        <v>2.9197080291970803</v>
      </c>
      <c r="U61" s="290">
        <f t="shared" si="28"/>
        <v>10.891089108910892</v>
      </c>
      <c r="V61" s="290">
        <f t="shared" si="29"/>
        <v>6.853582554517134</v>
      </c>
      <c r="W61" s="392">
        <f t="shared" si="30"/>
        <v>7.5</v>
      </c>
      <c r="X61" s="558">
        <f t="shared" si="31"/>
        <v>5.136986301369863</v>
      </c>
    </row>
    <row r="62" spans="1:24" ht="19.5" customHeight="1">
      <c r="A62" s="368" t="s">
        <v>185</v>
      </c>
      <c r="B62" s="289">
        <f t="shared" si="9"/>
        <v>14.411764705882353</v>
      </c>
      <c r="C62" s="290">
        <f t="shared" si="10"/>
        <v>16.30252100840336</v>
      </c>
      <c r="D62" s="290">
        <f t="shared" si="11"/>
        <v>17.536585365853657</v>
      </c>
      <c r="E62" s="290">
        <f t="shared" si="12"/>
        <v>18.705035971223023</v>
      </c>
      <c r="F62" s="290">
        <f t="shared" si="13"/>
        <v>8.72463768115942</v>
      </c>
      <c r="G62" s="290">
        <f t="shared" si="14"/>
        <v>15.714285714285714</v>
      </c>
      <c r="H62" s="290">
        <f t="shared" si="15"/>
        <v>20.87912087912088</v>
      </c>
      <c r="I62" s="290">
        <f t="shared" si="16"/>
        <v>17.94871794871795</v>
      </c>
      <c r="J62" s="290">
        <f t="shared" si="17"/>
        <v>11.555555555555555</v>
      </c>
      <c r="K62" s="290">
        <f t="shared" si="18"/>
        <v>29.347826086956523</v>
      </c>
      <c r="L62" s="290">
        <f t="shared" si="19"/>
        <v>20.423076923076923</v>
      </c>
      <c r="M62" s="392">
        <f t="shared" si="20"/>
        <v>17.570552147239265</v>
      </c>
      <c r="N62" s="558">
        <f t="shared" si="21"/>
        <v>17.599727241732015</v>
      </c>
      <c r="O62" s="289">
        <f t="shared" si="22"/>
        <v>19.7</v>
      </c>
      <c r="P62" s="290">
        <f t="shared" si="23"/>
        <v>35</v>
      </c>
      <c r="Q62" s="290">
        <f t="shared" si="24"/>
        <v>18.513513513513512</v>
      </c>
      <c r="R62" s="290">
        <f t="shared" si="25"/>
        <v>14.25</v>
      </c>
      <c r="S62" s="290">
        <f t="shared" si="26"/>
        <v>16.49342105263158</v>
      </c>
      <c r="T62" s="290">
        <f t="shared" si="27"/>
        <v>9.678832116788321</v>
      </c>
      <c r="U62" s="290">
        <f t="shared" si="28"/>
        <v>20.792079207920793</v>
      </c>
      <c r="V62" s="290">
        <f t="shared" si="29"/>
        <v>22.118380062305295</v>
      </c>
      <c r="W62" s="392">
        <f t="shared" si="30"/>
        <v>18.75</v>
      </c>
      <c r="X62" s="558">
        <f t="shared" si="31"/>
        <v>19.292237442922374</v>
      </c>
    </row>
    <row r="63" spans="1:24" ht="24.75" customHeight="1">
      <c r="A63" s="368" t="s">
        <v>186</v>
      </c>
      <c r="B63" s="289">
        <f t="shared" si="9"/>
        <v>0</v>
      </c>
      <c r="C63" s="290">
        <f t="shared" si="10"/>
        <v>0</v>
      </c>
      <c r="D63" s="290">
        <f t="shared" si="11"/>
        <v>0</v>
      </c>
      <c r="E63" s="290">
        <f t="shared" si="12"/>
        <v>0.935251798561151</v>
      </c>
      <c r="F63" s="290">
        <f t="shared" si="13"/>
        <v>1.2028985507246377</v>
      </c>
      <c r="G63" s="290">
        <f t="shared" si="14"/>
        <v>0</v>
      </c>
      <c r="H63" s="290">
        <f t="shared" si="15"/>
        <v>0</v>
      </c>
      <c r="I63" s="290">
        <f t="shared" si="16"/>
        <v>0</v>
      </c>
      <c r="J63" s="290">
        <f t="shared" si="17"/>
        <v>0</v>
      </c>
      <c r="K63" s="290">
        <f t="shared" si="18"/>
        <v>0</v>
      </c>
      <c r="L63" s="290">
        <f t="shared" si="19"/>
        <v>0</v>
      </c>
      <c r="M63" s="392">
        <f t="shared" si="20"/>
        <v>0</v>
      </c>
      <c r="N63" s="558">
        <f t="shared" si="21"/>
        <v>0.10092055915444936</v>
      </c>
      <c r="O63" s="289">
        <f t="shared" si="22"/>
        <v>0</v>
      </c>
      <c r="P63" s="290">
        <f t="shared" si="23"/>
        <v>0</v>
      </c>
      <c r="Q63" s="290">
        <f t="shared" si="24"/>
        <v>0</v>
      </c>
      <c r="R63" s="290">
        <f t="shared" si="25"/>
        <v>0</v>
      </c>
      <c r="S63" s="290">
        <f t="shared" si="26"/>
        <v>0</v>
      </c>
      <c r="T63" s="290">
        <f t="shared" si="27"/>
        <v>0</v>
      </c>
      <c r="U63" s="290">
        <f t="shared" si="28"/>
        <v>0</v>
      </c>
      <c r="V63" s="290">
        <f t="shared" si="29"/>
        <v>0</v>
      </c>
      <c r="W63" s="392">
        <f t="shared" si="30"/>
        <v>0</v>
      </c>
      <c r="X63" s="558">
        <f t="shared" si="31"/>
        <v>0</v>
      </c>
    </row>
    <row r="64" spans="1:24" ht="19.5" customHeight="1">
      <c r="A64" s="368" t="s">
        <v>298</v>
      </c>
      <c r="B64" s="289">
        <f t="shared" si="9"/>
        <v>0.29411764705882354</v>
      </c>
      <c r="C64" s="290">
        <f t="shared" si="10"/>
        <v>0.12605042016806722</v>
      </c>
      <c r="D64" s="290">
        <f t="shared" si="11"/>
        <v>0.24390243902439024</v>
      </c>
      <c r="E64" s="290">
        <f t="shared" si="12"/>
        <v>0.28776978417266186</v>
      </c>
      <c r="F64" s="290">
        <f t="shared" si="13"/>
        <v>0.5797101449275363</v>
      </c>
      <c r="G64" s="290">
        <f t="shared" si="14"/>
        <v>0.19704433497536947</v>
      </c>
      <c r="H64" s="290">
        <f t="shared" si="15"/>
        <v>0.21978021978021978</v>
      </c>
      <c r="I64" s="290">
        <f t="shared" si="16"/>
        <v>0.1794871794871795</v>
      </c>
      <c r="J64" s="290">
        <f t="shared" si="17"/>
        <v>0.2222222222222222</v>
      </c>
      <c r="K64" s="290">
        <f t="shared" si="18"/>
        <v>0.43478260869565216</v>
      </c>
      <c r="L64" s="290">
        <f t="shared" si="19"/>
        <v>0.16923076923076924</v>
      </c>
      <c r="M64" s="392">
        <f t="shared" si="20"/>
        <v>0.15950920245398773</v>
      </c>
      <c r="N64" s="558">
        <f t="shared" si="21"/>
        <v>0.23048073644732356</v>
      </c>
      <c r="O64" s="289">
        <f t="shared" si="22"/>
        <v>0.65</v>
      </c>
      <c r="P64" s="290">
        <f t="shared" si="23"/>
        <v>0.2</v>
      </c>
      <c r="Q64" s="290">
        <f t="shared" si="24"/>
        <v>0.33783783783783783</v>
      </c>
      <c r="R64" s="290">
        <f t="shared" si="25"/>
        <v>0.25</v>
      </c>
      <c r="S64" s="290">
        <f t="shared" si="26"/>
        <v>0.19736842105263158</v>
      </c>
      <c r="T64" s="290">
        <f t="shared" si="27"/>
        <v>1.3576642335766422</v>
      </c>
      <c r="U64" s="290">
        <f t="shared" si="28"/>
        <v>0.39603960396039606</v>
      </c>
      <c r="V64" s="290">
        <f t="shared" si="29"/>
        <v>0.43613707165109034</v>
      </c>
      <c r="W64" s="392">
        <f t="shared" si="30"/>
        <v>0.625</v>
      </c>
      <c r="X64" s="558">
        <f t="shared" si="31"/>
        <v>0.4623287671232877</v>
      </c>
    </row>
    <row r="65" spans="1:24" ht="19.5" customHeight="1">
      <c r="A65" s="368" t="s">
        <v>187</v>
      </c>
      <c r="B65" s="289">
        <f t="shared" si="9"/>
        <v>15.897058823529411</v>
      </c>
      <c r="C65" s="290">
        <f t="shared" si="10"/>
        <v>6.579831932773109</v>
      </c>
      <c r="D65" s="290">
        <f t="shared" si="11"/>
        <v>23.024390243902438</v>
      </c>
      <c r="E65" s="290">
        <f t="shared" si="12"/>
        <v>12.949640287769784</v>
      </c>
      <c r="F65" s="290">
        <f t="shared" si="13"/>
        <v>9.246376811594203</v>
      </c>
      <c r="G65" s="290">
        <f t="shared" si="14"/>
        <v>13.241379310344827</v>
      </c>
      <c r="H65" s="290">
        <f t="shared" si="15"/>
        <v>10.89010989010989</v>
      </c>
      <c r="I65" s="290">
        <f t="shared" si="16"/>
        <v>22.05128205128205</v>
      </c>
      <c r="J65" s="290">
        <f t="shared" si="17"/>
        <v>10.37037037037037</v>
      </c>
      <c r="K65" s="290">
        <f t="shared" si="18"/>
        <v>12.608695652173912</v>
      </c>
      <c r="L65" s="290">
        <f t="shared" si="19"/>
        <v>12.692307692307692</v>
      </c>
      <c r="M65" s="392">
        <f t="shared" si="20"/>
        <v>10.785276073619633</v>
      </c>
      <c r="N65" s="558">
        <f t="shared" si="21"/>
        <v>13.149676099556768</v>
      </c>
      <c r="O65" s="289">
        <f t="shared" si="22"/>
        <v>9.2</v>
      </c>
      <c r="P65" s="290">
        <f t="shared" si="23"/>
        <v>16.4</v>
      </c>
      <c r="Q65" s="290">
        <f t="shared" si="24"/>
        <v>11.472972972972974</v>
      </c>
      <c r="R65" s="290">
        <f t="shared" si="25"/>
        <v>26.3</v>
      </c>
      <c r="S65" s="290">
        <f t="shared" si="26"/>
        <v>13.855263157894736</v>
      </c>
      <c r="T65" s="290">
        <f t="shared" si="27"/>
        <v>22.613138686131386</v>
      </c>
      <c r="U65" s="290">
        <f t="shared" si="28"/>
        <v>9.306930693069306</v>
      </c>
      <c r="V65" s="290">
        <f t="shared" si="29"/>
        <v>14.97196261682243</v>
      </c>
      <c r="W65" s="392">
        <f t="shared" si="30"/>
        <v>72.25</v>
      </c>
      <c r="X65" s="558">
        <f t="shared" si="31"/>
        <v>20.131278538812786</v>
      </c>
    </row>
    <row r="66" spans="1:24" ht="19.5" customHeight="1">
      <c r="A66" s="368" t="s">
        <v>188</v>
      </c>
      <c r="B66" s="289">
        <f t="shared" si="9"/>
        <v>7.352941176470588</v>
      </c>
      <c r="C66" s="290">
        <f t="shared" si="10"/>
        <v>2.6050420168067228</v>
      </c>
      <c r="D66" s="290">
        <f t="shared" si="11"/>
        <v>12.195121951219512</v>
      </c>
      <c r="E66" s="290">
        <f t="shared" si="12"/>
        <v>5.755395683453237</v>
      </c>
      <c r="F66" s="290">
        <f t="shared" si="13"/>
        <v>9.246376811594203</v>
      </c>
      <c r="G66" s="290">
        <f t="shared" si="14"/>
        <v>3.0049261083743843</v>
      </c>
      <c r="H66" s="290">
        <f t="shared" si="15"/>
        <v>4.835164835164835</v>
      </c>
      <c r="I66" s="290">
        <f t="shared" si="16"/>
        <v>12.820512820512821</v>
      </c>
      <c r="J66" s="290">
        <f t="shared" si="17"/>
        <v>1.4814814814814814</v>
      </c>
      <c r="K66" s="290">
        <f t="shared" si="18"/>
        <v>4.891304347826087</v>
      </c>
      <c r="L66" s="290">
        <f t="shared" si="19"/>
        <v>6.153846153846154</v>
      </c>
      <c r="M66" s="392">
        <f t="shared" si="20"/>
        <v>4.625766871165644</v>
      </c>
      <c r="N66" s="558">
        <f t="shared" si="21"/>
        <v>5.824752812819638</v>
      </c>
      <c r="O66" s="289">
        <f t="shared" si="22"/>
        <v>3</v>
      </c>
      <c r="P66" s="290">
        <f t="shared" si="23"/>
        <v>3.3333333333333335</v>
      </c>
      <c r="Q66" s="290">
        <f t="shared" si="24"/>
        <v>2.972972972972973</v>
      </c>
      <c r="R66" s="290">
        <f t="shared" si="25"/>
        <v>12.5</v>
      </c>
      <c r="S66" s="290">
        <f t="shared" si="26"/>
        <v>5.2631578947368425</v>
      </c>
      <c r="T66" s="290">
        <f t="shared" si="27"/>
        <v>3.6350364963503647</v>
      </c>
      <c r="U66" s="290">
        <f t="shared" si="28"/>
        <v>1.386138613861386</v>
      </c>
      <c r="V66" s="290">
        <f t="shared" si="29"/>
        <v>8.722741433021806</v>
      </c>
      <c r="W66" s="392">
        <f t="shared" si="30"/>
        <v>8.75</v>
      </c>
      <c r="X66" s="558">
        <f t="shared" si="31"/>
        <v>5.718036529680365</v>
      </c>
    </row>
    <row r="67" spans="1:24" ht="19.5" customHeight="1">
      <c r="A67" s="368" t="s">
        <v>189</v>
      </c>
      <c r="B67" s="289">
        <f t="shared" si="9"/>
        <v>8.455882352941176</v>
      </c>
      <c r="C67" s="290">
        <f t="shared" si="10"/>
        <v>3.9747899159663866</v>
      </c>
      <c r="D67" s="290">
        <f t="shared" si="11"/>
        <v>9.609756097560975</v>
      </c>
      <c r="E67" s="290">
        <f t="shared" si="12"/>
        <v>7.194244604316546</v>
      </c>
      <c r="F67" s="290">
        <f t="shared" si="13"/>
        <v>11.971014492753623</v>
      </c>
      <c r="G67" s="290">
        <f t="shared" si="14"/>
        <v>10.22167487684729</v>
      </c>
      <c r="H67" s="290">
        <f t="shared" si="15"/>
        <v>6.274725274725275</v>
      </c>
      <c r="I67" s="290">
        <f t="shared" si="16"/>
        <v>4.102564102564102</v>
      </c>
      <c r="J67" s="290">
        <f t="shared" si="17"/>
        <v>8.88888888888889</v>
      </c>
      <c r="K67" s="290">
        <f t="shared" si="18"/>
        <v>7.717391304347826</v>
      </c>
      <c r="L67" s="290">
        <f t="shared" si="19"/>
        <v>6.538461538461538</v>
      </c>
      <c r="M67" s="392">
        <f t="shared" si="20"/>
        <v>6.159509202453988</v>
      </c>
      <c r="N67" s="558">
        <f t="shared" si="21"/>
        <v>7.193317422434368</v>
      </c>
      <c r="O67" s="289">
        <f t="shared" si="22"/>
        <v>6.2</v>
      </c>
      <c r="P67" s="290">
        <f t="shared" si="23"/>
        <v>13.066666666666666</v>
      </c>
      <c r="Q67" s="290">
        <f t="shared" si="24"/>
        <v>8.5</v>
      </c>
      <c r="R67" s="290">
        <f t="shared" si="25"/>
        <v>13.8</v>
      </c>
      <c r="S67" s="290">
        <f t="shared" si="26"/>
        <v>8.552631578947368</v>
      </c>
      <c r="T67" s="290">
        <f t="shared" si="27"/>
        <v>18.905109489051096</v>
      </c>
      <c r="U67" s="290">
        <f t="shared" si="28"/>
        <v>7.920792079207921</v>
      </c>
      <c r="V67" s="290">
        <f t="shared" si="29"/>
        <v>6.2367601246105915</v>
      </c>
      <c r="W67" s="392">
        <f t="shared" si="30"/>
        <v>63.5</v>
      </c>
      <c r="X67" s="558">
        <f t="shared" si="31"/>
        <v>14.398401826484019</v>
      </c>
    </row>
    <row r="68" spans="1:24" ht="19.5" customHeight="1">
      <c r="A68" s="372" t="s">
        <v>190</v>
      </c>
      <c r="B68" s="289">
        <f t="shared" si="9"/>
        <v>162.2941176470588</v>
      </c>
      <c r="C68" s="290">
        <f t="shared" si="10"/>
        <v>152.6218487394958</v>
      </c>
      <c r="D68" s="290">
        <f t="shared" si="11"/>
        <v>131.17073170731706</v>
      </c>
      <c r="E68" s="290">
        <f t="shared" si="12"/>
        <v>128.70503597122303</v>
      </c>
      <c r="F68" s="290">
        <f t="shared" si="13"/>
        <v>157.47826086956522</v>
      </c>
      <c r="G68" s="290">
        <f t="shared" si="14"/>
        <v>128.00985221674875</v>
      </c>
      <c r="H68" s="290">
        <f t="shared" si="15"/>
        <v>139.22527472527472</v>
      </c>
      <c r="I68" s="290">
        <f t="shared" si="16"/>
        <v>138.5794871794872</v>
      </c>
      <c r="J68" s="290">
        <f t="shared" si="17"/>
        <v>125.42962962962963</v>
      </c>
      <c r="K68" s="290">
        <f t="shared" si="18"/>
        <v>141.19565217391303</v>
      </c>
      <c r="L68" s="290">
        <f t="shared" si="19"/>
        <v>191.48461538461538</v>
      </c>
      <c r="M68" s="392">
        <f t="shared" si="20"/>
        <v>158.39877300613497</v>
      </c>
      <c r="N68" s="558">
        <f t="shared" si="21"/>
        <v>145.4960790998977</v>
      </c>
      <c r="O68" s="289">
        <f t="shared" si="22"/>
        <v>174.25</v>
      </c>
      <c r="P68" s="290">
        <f t="shared" si="23"/>
        <v>206.73333333333332</v>
      </c>
      <c r="Q68" s="290">
        <f t="shared" si="24"/>
        <v>169.21621621621622</v>
      </c>
      <c r="R68" s="290">
        <f t="shared" si="25"/>
        <v>162.2</v>
      </c>
      <c r="S68" s="290">
        <f t="shared" si="26"/>
        <v>170.82236842105263</v>
      </c>
      <c r="T68" s="290">
        <f t="shared" si="27"/>
        <v>199.79562043795622</v>
      </c>
      <c r="U68" s="290">
        <f t="shared" si="28"/>
        <v>162.37623762376236</v>
      </c>
      <c r="V68" s="290">
        <f t="shared" si="29"/>
        <v>293.7507788161994</v>
      </c>
      <c r="W68" s="392">
        <f t="shared" si="30"/>
        <v>141.2</v>
      </c>
      <c r="X68" s="558">
        <f t="shared" si="31"/>
        <v>193.8595890410959</v>
      </c>
    </row>
    <row r="69" spans="1:24" ht="19.5" customHeight="1">
      <c r="A69" s="368" t="s">
        <v>191</v>
      </c>
      <c r="B69" s="289">
        <f t="shared" si="9"/>
        <v>118.41176470588235</v>
      </c>
      <c r="C69" s="290">
        <f t="shared" si="10"/>
        <v>113.15126050420169</v>
      </c>
      <c r="D69" s="290">
        <f t="shared" si="11"/>
        <v>96.8048780487805</v>
      </c>
      <c r="E69" s="290">
        <f t="shared" si="12"/>
        <v>94.1726618705036</v>
      </c>
      <c r="F69" s="290">
        <f t="shared" si="13"/>
        <v>115</v>
      </c>
      <c r="G69" s="290">
        <f t="shared" si="14"/>
        <v>93.53694581280789</v>
      </c>
      <c r="H69" s="290">
        <f t="shared" si="15"/>
        <v>101.65384615384616</v>
      </c>
      <c r="I69" s="290">
        <f t="shared" si="16"/>
        <v>101.15384615384616</v>
      </c>
      <c r="J69" s="290">
        <f t="shared" si="17"/>
        <v>91.55555555555556</v>
      </c>
      <c r="K69" s="290">
        <f t="shared" si="18"/>
        <v>103.04347826086956</v>
      </c>
      <c r="L69" s="290">
        <f t="shared" si="19"/>
        <v>139.76923076923077</v>
      </c>
      <c r="M69" s="392">
        <f t="shared" si="20"/>
        <v>114.79754601226993</v>
      </c>
      <c r="N69" s="558">
        <f t="shared" si="21"/>
        <v>106.30889873849301</v>
      </c>
      <c r="O69" s="289">
        <f t="shared" si="22"/>
        <v>127.39</v>
      </c>
      <c r="P69" s="290">
        <f t="shared" si="23"/>
        <v>150.9</v>
      </c>
      <c r="Q69" s="290">
        <f t="shared" si="24"/>
        <v>125.24324324324324</v>
      </c>
      <c r="R69" s="290">
        <f t="shared" si="25"/>
        <v>118.45</v>
      </c>
      <c r="S69" s="290">
        <f t="shared" si="26"/>
        <v>124.01973684210526</v>
      </c>
      <c r="T69" s="290">
        <f t="shared" si="27"/>
        <v>146.24817518248176</v>
      </c>
      <c r="U69" s="290">
        <f t="shared" si="28"/>
        <v>115.65346534653466</v>
      </c>
      <c r="V69" s="290">
        <f t="shared" si="29"/>
        <v>214.74766355140187</v>
      </c>
      <c r="W69" s="392">
        <f t="shared" si="30"/>
        <v>103.2875</v>
      </c>
      <c r="X69" s="558">
        <f t="shared" si="31"/>
        <v>141.34360730593608</v>
      </c>
    </row>
    <row r="70" spans="1:24" ht="19.5" customHeight="1">
      <c r="A70" s="372" t="s">
        <v>192</v>
      </c>
      <c r="B70" s="289">
        <f t="shared" si="9"/>
        <v>114.41176470588235</v>
      </c>
      <c r="C70" s="290">
        <f t="shared" si="10"/>
        <v>112.76470588235294</v>
      </c>
      <c r="D70" s="290">
        <f t="shared" si="11"/>
        <v>95.82926829268293</v>
      </c>
      <c r="E70" s="290">
        <f t="shared" si="12"/>
        <v>93.5251798561151</v>
      </c>
      <c r="F70" s="290">
        <f t="shared" si="13"/>
        <v>114.82608695652173</v>
      </c>
      <c r="G70" s="290">
        <f t="shared" si="14"/>
        <v>93.21674876847291</v>
      </c>
      <c r="H70" s="290">
        <f t="shared" si="15"/>
        <v>101.54395604395604</v>
      </c>
      <c r="I70" s="290">
        <f t="shared" si="16"/>
        <v>101.15384615384616</v>
      </c>
      <c r="J70" s="290">
        <f t="shared" si="17"/>
        <v>91.48148148148148</v>
      </c>
      <c r="K70" s="290">
        <f t="shared" si="18"/>
        <v>103.04347826086956</v>
      </c>
      <c r="L70" s="290">
        <f t="shared" si="19"/>
        <v>138.46153846153845</v>
      </c>
      <c r="M70" s="392">
        <f t="shared" si="20"/>
        <v>114.33742331288343</v>
      </c>
      <c r="N70" s="558">
        <f t="shared" si="21"/>
        <v>105.79406750767133</v>
      </c>
      <c r="O70" s="289">
        <f t="shared" si="22"/>
        <v>125.18</v>
      </c>
      <c r="P70" s="290">
        <f t="shared" si="23"/>
        <v>148.4</v>
      </c>
      <c r="Q70" s="290">
        <f t="shared" si="24"/>
        <v>125.10810810810811</v>
      </c>
      <c r="R70" s="290">
        <f t="shared" si="25"/>
        <v>114.95</v>
      </c>
      <c r="S70" s="290">
        <f t="shared" si="26"/>
        <v>123.73684210526316</v>
      </c>
      <c r="T70" s="290">
        <f t="shared" si="27"/>
        <v>142.4963503649635</v>
      </c>
      <c r="U70" s="290">
        <f t="shared" si="28"/>
        <v>114.66336633663366</v>
      </c>
      <c r="V70" s="290">
        <f t="shared" si="29"/>
        <v>213.19003115264798</v>
      </c>
      <c r="W70" s="392">
        <f t="shared" si="30"/>
        <v>102.0375</v>
      </c>
      <c r="X70" s="558">
        <f t="shared" si="31"/>
        <v>139.73287671232876</v>
      </c>
    </row>
    <row r="71" spans="1:24" ht="19.5" customHeight="1">
      <c r="A71" s="368" t="s">
        <v>193</v>
      </c>
      <c r="B71" s="289">
        <f t="shared" si="9"/>
        <v>4</v>
      </c>
      <c r="C71" s="290">
        <f t="shared" si="10"/>
        <v>0.3865546218487395</v>
      </c>
      <c r="D71" s="290">
        <f t="shared" si="11"/>
        <v>0.975609756097561</v>
      </c>
      <c r="E71" s="290">
        <f t="shared" si="12"/>
        <v>0.6474820143884892</v>
      </c>
      <c r="F71" s="290">
        <f t="shared" si="13"/>
        <v>0.17391304347826086</v>
      </c>
      <c r="G71" s="290">
        <f t="shared" si="14"/>
        <v>0.32019704433497537</v>
      </c>
      <c r="H71" s="290">
        <f t="shared" si="15"/>
        <v>0.10989010989010989</v>
      </c>
      <c r="I71" s="290">
        <f t="shared" si="16"/>
        <v>0</v>
      </c>
      <c r="J71" s="290">
        <f t="shared" si="17"/>
        <v>0.07407407407407407</v>
      </c>
      <c r="K71" s="290">
        <f t="shared" si="18"/>
        <v>0</v>
      </c>
      <c r="L71" s="290">
        <f t="shared" si="19"/>
        <v>1.3076923076923077</v>
      </c>
      <c r="M71" s="392">
        <f t="shared" si="20"/>
        <v>0.4601226993865031</v>
      </c>
      <c r="N71" s="558">
        <f t="shared" si="21"/>
        <v>0.5148312308216842</v>
      </c>
      <c r="O71" s="289">
        <f t="shared" si="22"/>
        <v>2.21</v>
      </c>
      <c r="P71" s="290">
        <f t="shared" si="23"/>
        <v>2.5</v>
      </c>
      <c r="Q71" s="290">
        <f t="shared" si="24"/>
        <v>0.13513513513513514</v>
      </c>
      <c r="R71" s="290">
        <f t="shared" si="25"/>
        <v>3.5</v>
      </c>
      <c r="S71" s="290">
        <f t="shared" si="26"/>
        <v>0.28289473684210525</v>
      </c>
      <c r="T71" s="290">
        <f t="shared" si="27"/>
        <v>3.7518248175182483</v>
      </c>
      <c r="U71" s="290">
        <f t="shared" si="28"/>
        <v>0.9900990099009901</v>
      </c>
      <c r="V71" s="290">
        <f t="shared" si="29"/>
        <v>1.557632398753894</v>
      </c>
      <c r="W71" s="392">
        <f t="shared" si="30"/>
        <v>1.25</v>
      </c>
      <c r="X71" s="558">
        <f t="shared" si="31"/>
        <v>1.610730593607306</v>
      </c>
    </row>
    <row r="72" spans="1:24" ht="19.5" customHeight="1">
      <c r="A72" s="368" t="s">
        <v>194</v>
      </c>
      <c r="B72" s="289">
        <f t="shared" si="9"/>
        <v>43.89705882352941</v>
      </c>
      <c r="C72" s="290">
        <f t="shared" si="10"/>
        <v>39.470588235294116</v>
      </c>
      <c r="D72" s="290">
        <f t="shared" si="11"/>
        <v>34.36585365853659</v>
      </c>
      <c r="E72" s="290">
        <f t="shared" si="12"/>
        <v>34.53237410071942</v>
      </c>
      <c r="F72" s="290">
        <f t="shared" si="13"/>
        <v>42.47826086956522</v>
      </c>
      <c r="G72" s="290">
        <f t="shared" si="14"/>
        <v>34.47290640394089</v>
      </c>
      <c r="H72" s="290">
        <f t="shared" si="15"/>
        <v>37.57142857142857</v>
      </c>
      <c r="I72" s="290">
        <f t="shared" si="16"/>
        <v>37.42564102564103</v>
      </c>
      <c r="J72" s="290">
        <f t="shared" si="17"/>
        <v>33.87407407407407</v>
      </c>
      <c r="K72" s="290">
        <f t="shared" si="18"/>
        <v>38.15217391304348</v>
      </c>
      <c r="L72" s="290">
        <f t="shared" si="19"/>
        <v>51.715384615384615</v>
      </c>
      <c r="M72" s="392">
        <f t="shared" si="20"/>
        <v>43.60122699386503</v>
      </c>
      <c r="N72" s="558">
        <f t="shared" si="21"/>
        <v>39.18786225707467</v>
      </c>
      <c r="O72" s="289">
        <f t="shared" si="22"/>
        <v>46.86</v>
      </c>
      <c r="P72" s="290">
        <f t="shared" si="23"/>
        <v>55.833333333333336</v>
      </c>
      <c r="Q72" s="290">
        <f t="shared" si="24"/>
        <v>44.37837837837838</v>
      </c>
      <c r="R72" s="290">
        <f t="shared" si="25"/>
        <v>43.75</v>
      </c>
      <c r="S72" s="290">
        <f t="shared" si="26"/>
        <v>46.30921052631579</v>
      </c>
      <c r="T72" s="290">
        <f t="shared" si="27"/>
        <v>53.54744525547445</v>
      </c>
      <c r="U72" s="290">
        <f t="shared" si="28"/>
        <v>46.722772277227726</v>
      </c>
      <c r="V72" s="290">
        <f t="shared" si="29"/>
        <v>79.00311526479751</v>
      </c>
      <c r="W72" s="392">
        <f t="shared" si="30"/>
        <v>37.9125</v>
      </c>
      <c r="X72" s="558">
        <f t="shared" si="31"/>
        <v>52.46461187214612</v>
      </c>
    </row>
    <row r="73" spans="1:24" ht="19.5" customHeight="1">
      <c r="A73" s="372" t="s">
        <v>195</v>
      </c>
      <c r="B73" s="289">
        <f t="shared" si="9"/>
        <v>0.014705882352941176</v>
      </c>
      <c r="C73" s="290">
        <f t="shared" si="10"/>
        <v>0</v>
      </c>
      <c r="D73" s="290">
        <f t="shared" si="11"/>
        <v>0</v>
      </c>
      <c r="E73" s="290">
        <f t="shared" si="12"/>
        <v>0</v>
      </c>
      <c r="F73" s="290">
        <f t="shared" si="13"/>
        <v>0</v>
      </c>
      <c r="G73" s="290">
        <f t="shared" si="14"/>
        <v>0.04926108374384237</v>
      </c>
      <c r="H73" s="290">
        <f t="shared" si="15"/>
        <v>0</v>
      </c>
      <c r="I73" s="290">
        <f t="shared" si="16"/>
        <v>0</v>
      </c>
      <c r="J73" s="290">
        <f t="shared" si="17"/>
        <v>0</v>
      </c>
      <c r="K73" s="290">
        <f t="shared" si="18"/>
        <v>0</v>
      </c>
      <c r="L73" s="290">
        <f t="shared" si="19"/>
        <v>0</v>
      </c>
      <c r="M73" s="392">
        <f t="shared" si="20"/>
        <v>0</v>
      </c>
      <c r="N73" s="558">
        <f t="shared" si="21"/>
        <v>0.007500852369587453</v>
      </c>
      <c r="O73" s="289">
        <f t="shared" si="22"/>
        <v>0</v>
      </c>
      <c r="P73" s="290">
        <f t="shared" si="23"/>
        <v>0.25</v>
      </c>
      <c r="Q73" s="290">
        <f t="shared" si="24"/>
        <v>0</v>
      </c>
      <c r="R73" s="290">
        <f t="shared" si="25"/>
        <v>0</v>
      </c>
      <c r="S73" s="290">
        <f t="shared" si="26"/>
        <v>0</v>
      </c>
      <c r="T73" s="290">
        <f t="shared" si="27"/>
        <v>0.072992700729927</v>
      </c>
      <c r="U73" s="290">
        <f t="shared" si="28"/>
        <v>0.009900990099009901</v>
      </c>
      <c r="V73" s="290">
        <f t="shared" si="29"/>
        <v>0.09968847352024922</v>
      </c>
      <c r="W73" s="392">
        <f t="shared" si="30"/>
        <v>0.025</v>
      </c>
      <c r="X73" s="558">
        <f t="shared" si="31"/>
        <v>0.04452054794520548</v>
      </c>
    </row>
    <row r="74" spans="1:24" ht="19.5" customHeight="1">
      <c r="A74" s="372" t="s">
        <v>196</v>
      </c>
      <c r="B74" s="289">
        <f t="shared" si="9"/>
        <v>1.838235294117647</v>
      </c>
      <c r="C74" s="290">
        <f t="shared" si="10"/>
        <v>1.319327731092437</v>
      </c>
      <c r="D74" s="290">
        <f t="shared" si="11"/>
        <v>3.658536585365854</v>
      </c>
      <c r="E74" s="290">
        <f t="shared" si="12"/>
        <v>2.8776978417266186</v>
      </c>
      <c r="F74" s="290">
        <f t="shared" si="13"/>
        <v>3.289855072463768</v>
      </c>
      <c r="G74" s="290">
        <f t="shared" si="14"/>
        <v>3.5960591133004924</v>
      </c>
      <c r="H74" s="290">
        <f t="shared" si="15"/>
        <v>0.9340659340659341</v>
      </c>
      <c r="I74" s="290">
        <f t="shared" si="16"/>
        <v>1.0256410256410255</v>
      </c>
      <c r="J74" s="290">
        <f t="shared" si="17"/>
        <v>0.7407407407407407</v>
      </c>
      <c r="K74" s="290">
        <f t="shared" si="18"/>
        <v>1.0869565217391304</v>
      </c>
      <c r="L74" s="290">
        <f t="shared" si="19"/>
        <v>1.5384615384615385</v>
      </c>
      <c r="M74" s="392">
        <f t="shared" si="20"/>
        <v>2.7607361963190185</v>
      </c>
      <c r="N74" s="558">
        <f t="shared" si="21"/>
        <v>1.9154449369246505</v>
      </c>
      <c r="O74" s="289">
        <f t="shared" si="22"/>
        <v>2.05</v>
      </c>
      <c r="P74" s="290">
        <f t="shared" si="23"/>
        <v>2.8333333333333335</v>
      </c>
      <c r="Q74" s="290">
        <f t="shared" si="24"/>
        <v>1.6216216216216217</v>
      </c>
      <c r="R74" s="290">
        <f t="shared" si="25"/>
        <v>0.3375</v>
      </c>
      <c r="S74" s="290">
        <f t="shared" si="26"/>
        <v>2.3026315789473686</v>
      </c>
      <c r="T74" s="290">
        <f t="shared" si="27"/>
        <v>1.781021897810219</v>
      </c>
      <c r="U74" s="290">
        <f t="shared" si="28"/>
        <v>1.4851485148514851</v>
      </c>
      <c r="V74" s="290">
        <f t="shared" si="29"/>
        <v>6.149532710280374</v>
      </c>
      <c r="W74" s="392">
        <f t="shared" si="30"/>
        <v>1.875</v>
      </c>
      <c r="X74" s="558">
        <f t="shared" si="31"/>
        <v>2.603881278538813</v>
      </c>
    </row>
    <row r="75" spans="1:24" ht="19.5" customHeight="1">
      <c r="A75" s="368" t="s">
        <v>197</v>
      </c>
      <c r="B75" s="289">
        <f t="shared" si="9"/>
        <v>8.088235294117647</v>
      </c>
      <c r="C75" s="290">
        <f t="shared" si="10"/>
        <v>5.168067226890757</v>
      </c>
      <c r="D75" s="290">
        <f t="shared" si="11"/>
        <v>4.878048780487805</v>
      </c>
      <c r="E75" s="290">
        <f t="shared" si="12"/>
        <v>8.172661870503598</v>
      </c>
      <c r="F75" s="290">
        <f t="shared" si="13"/>
        <v>8.492753623188406</v>
      </c>
      <c r="G75" s="290">
        <f t="shared" si="14"/>
        <v>3.8817733990147785</v>
      </c>
      <c r="H75" s="290">
        <f t="shared" si="15"/>
        <v>13.208791208791208</v>
      </c>
      <c r="I75" s="290">
        <f t="shared" si="16"/>
        <v>5.871794871794871</v>
      </c>
      <c r="J75" s="290">
        <f t="shared" si="17"/>
        <v>1.614814814814815</v>
      </c>
      <c r="K75" s="290">
        <f t="shared" si="18"/>
        <v>21.445652173913043</v>
      </c>
      <c r="L75" s="290">
        <f t="shared" si="19"/>
        <v>7.153846153846154</v>
      </c>
      <c r="M75" s="392">
        <f t="shared" si="20"/>
        <v>3.4907975460122698</v>
      </c>
      <c r="N75" s="558">
        <f t="shared" si="21"/>
        <v>7.19127173542448</v>
      </c>
      <c r="O75" s="289">
        <f t="shared" si="22"/>
        <v>6.25</v>
      </c>
      <c r="P75" s="290">
        <f t="shared" si="23"/>
        <v>7.666666666666667</v>
      </c>
      <c r="Q75" s="290">
        <f t="shared" si="24"/>
        <v>7.027027027027027</v>
      </c>
      <c r="R75" s="290">
        <f t="shared" si="25"/>
        <v>5.4625</v>
      </c>
      <c r="S75" s="290">
        <f t="shared" si="26"/>
        <v>9.796052631578947</v>
      </c>
      <c r="T75" s="290">
        <f t="shared" si="27"/>
        <v>3.2116788321167884</v>
      </c>
      <c r="U75" s="290">
        <f t="shared" si="28"/>
        <v>4.891089108910891</v>
      </c>
      <c r="V75" s="290">
        <f t="shared" si="29"/>
        <v>15.707165109034268</v>
      </c>
      <c r="W75" s="392">
        <f t="shared" si="30"/>
        <v>9.9125</v>
      </c>
      <c r="X75" s="558">
        <f t="shared" si="31"/>
        <v>8.628995433789955</v>
      </c>
    </row>
    <row r="76" spans="1:24" ht="30" customHeight="1">
      <c r="A76" s="368" t="s">
        <v>198</v>
      </c>
      <c r="B76" s="289">
        <f t="shared" si="9"/>
        <v>8.088235294117647</v>
      </c>
      <c r="C76" s="290">
        <f t="shared" si="10"/>
        <v>5.168067226890757</v>
      </c>
      <c r="D76" s="290">
        <f t="shared" si="11"/>
        <v>4.878048780487805</v>
      </c>
      <c r="E76" s="290">
        <f t="shared" si="12"/>
        <v>8.172661870503598</v>
      </c>
      <c r="F76" s="290">
        <f t="shared" si="13"/>
        <v>8.492753623188406</v>
      </c>
      <c r="G76" s="290">
        <f t="shared" si="14"/>
        <v>3.8817733990147785</v>
      </c>
      <c r="H76" s="290">
        <f t="shared" si="15"/>
        <v>13.208791208791208</v>
      </c>
      <c r="I76" s="290">
        <f t="shared" si="16"/>
        <v>5.871794871794871</v>
      </c>
      <c r="J76" s="290">
        <f t="shared" si="17"/>
        <v>0</v>
      </c>
      <c r="K76" s="290">
        <f t="shared" si="18"/>
        <v>0</v>
      </c>
      <c r="L76" s="290">
        <f t="shared" si="19"/>
        <v>7.153846153846154</v>
      </c>
      <c r="M76" s="392">
        <f t="shared" si="20"/>
        <v>3.4907975460122698</v>
      </c>
      <c r="N76" s="558">
        <f t="shared" si="21"/>
        <v>5.697238322536652</v>
      </c>
      <c r="O76" s="289">
        <f t="shared" si="22"/>
        <v>6.25</v>
      </c>
      <c r="P76" s="290">
        <f t="shared" si="23"/>
        <v>7.666666666666667</v>
      </c>
      <c r="Q76" s="290">
        <f t="shared" si="24"/>
        <v>7.027027027027027</v>
      </c>
      <c r="R76" s="290">
        <f t="shared" si="25"/>
        <v>5.4625</v>
      </c>
      <c r="S76" s="290">
        <f t="shared" si="26"/>
        <v>9.796052631578947</v>
      </c>
      <c r="T76" s="290">
        <f t="shared" si="27"/>
        <v>0</v>
      </c>
      <c r="U76" s="290">
        <f t="shared" si="28"/>
        <v>4.891089108910891</v>
      </c>
      <c r="V76" s="290">
        <f t="shared" si="29"/>
        <v>15.707165109034268</v>
      </c>
      <c r="W76" s="392">
        <f t="shared" si="30"/>
        <v>9.9125</v>
      </c>
      <c r="X76" s="558">
        <f t="shared" si="31"/>
        <v>8.377853881278538</v>
      </c>
    </row>
    <row r="77" spans="1:24" ht="19.5" customHeight="1" thickBot="1">
      <c r="A77" s="373" t="s">
        <v>199</v>
      </c>
      <c r="B77" s="538">
        <f t="shared" si="9"/>
        <v>0</v>
      </c>
      <c r="C77" s="539">
        <f t="shared" si="10"/>
        <v>0</v>
      </c>
      <c r="D77" s="539">
        <f t="shared" si="11"/>
        <v>0</v>
      </c>
      <c r="E77" s="539">
        <f t="shared" si="12"/>
        <v>0</v>
      </c>
      <c r="F77" s="539">
        <f t="shared" si="13"/>
        <v>0</v>
      </c>
      <c r="G77" s="539">
        <f t="shared" si="14"/>
        <v>0</v>
      </c>
      <c r="H77" s="539">
        <f t="shared" si="15"/>
        <v>0</v>
      </c>
      <c r="I77" s="539">
        <f t="shared" si="16"/>
        <v>0</v>
      </c>
      <c r="J77" s="539">
        <f t="shared" si="17"/>
        <v>0</v>
      </c>
      <c r="K77" s="539">
        <f t="shared" si="18"/>
        <v>0</v>
      </c>
      <c r="L77" s="539">
        <f t="shared" si="19"/>
        <v>0</v>
      </c>
      <c r="M77" s="540">
        <f t="shared" si="20"/>
        <v>0</v>
      </c>
      <c r="N77" s="559">
        <f t="shared" si="21"/>
        <v>0</v>
      </c>
      <c r="O77" s="538">
        <f t="shared" si="22"/>
        <v>0</v>
      </c>
      <c r="P77" s="539">
        <f t="shared" si="23"/>
        <v>0</v>
      </c>
      <c r="Q77" s="539">
        <f t="shared" si="24"/>
        <v>0</v>
      </c>
      <c r="R77" s="539">
        <f t="shared" si="25"/>
        <v>0</v>
      </c>
      <c r="S77" s="539">
        <f t="shared" si="26"/>
        <v>0</v>
      </c>
      <c r="T77" s="539">
        <f t="shared" si="27"/>
        <v>0</v>
      </c>
      <c r="U77" s="539">
        <f t="shared" si="28"/>
        <v>0</v>
      </c>
      <c r="V77" s="539">
        <f t="shared" si="29"/>
        <v>0</v>
      </c>
      <c r="W77" s="540">
        <f t="shared" si="30"/>
        <v>0</v>
      </c>
      <c r="X77" s="559">
        <f t="shared" si="31"/>
        <v>0</v>
      </c>
    </row>
    <row r="78" spans="1:24" ht="19.5" customHeight="1" thickBot="1">
      <c r="A78" s="374" t="s">
        <v>200</v>
      </c>
      <c r="B78" s="541">
        <f aca="true" t="shared" si="32" ref="B78:M78">(B35-B32)/B38</f>
        <v>244.16176470588235</v>
      </c>
      <c r="C78" s="542">
        <f t="shared" si="32"/>
        <v>214.47058823529412</v>
      </c>
      <c r="D78" s="542">
        <f t="shared" si="32"/>
        <v>210.26829268292684</v>
      </c>
      <c r="E78" s="542">
        <f t="shared" si="32"/>
        <v>201.6546762589928</v>
      </c>
      <c r="F78" s="542">
        <f t="shared" si="32"/>
        <v>245.2608695652174</v>
      </c>
      <c r="G78" s="542">
        <f t="shared" si="32"/>
        <v>199.82758620689654</v>
      </c>
      <c r="H78" s="542">
        <f t="shared" si="32"/>
        <v>216.04945054945054</v>
      </c>
      <c r="I78" s="542">
        <f t="shared" si="32"/>
        <v>214.27179487179487</v>
      </c>
      <c r="J78" s="542">
        <f t="shared" si="32"/>
        <v>186.82962962962964</v>
      </c>
      <c r="K78" s="542">
        <f t="shared" si="32"/>
        <v>229.2391304347826</v>
      </c>
      <c r="L78" s="542">
        <f t="shared" si="32"/>
        <v>266.61538461538464</v>
      </c>
      <c r="M78" s="543">
        <f t="shared" si="32"/>
        <v>227.73006134969324</v>
      </c>
      <c r="N78" s="544">
        <f>((B35+C35+D35+E35+F35+G35+H35+I35+J35+K35+L35+M35)-(B32+C32+D32+E32+F32+G32+H32+I32+J32+K32+L32+M32))/N80</f>
        <v>219.19195363109444</v>
      </c>
      <c r="O78" s="541">
        <f aca="true" t="shared" si="33" ref="O78:W78">(O35-O32)/O38</f>
        <v>241.5</v>
      </c>
      <c r="P78" s="542">
        <f t="shared" si="33"/>
        <v>308.0833333333333</v>
      </c>
      <c r="Q78" s="542">
        <f t="shared" si="33"/>
        <v>243.59459459459458</v>
      </c>
      <c r="R78" s="542">
        <f t="shared" si="33"/>
        <v>247.5875</v>
      </c>
      <c r="S78" s="542">
        <f t="shared" si="33"/>
        <v>239.85526315789474</v>
      </c>
      <c r="T78" s="542">
        <f t="shared" si="33"/>
        <v>282.86131386861314</v>
      </c>
      <c r="U78" s="542">
        <f t="shared" si="33"/>
        <v>244.86138613861385</v>
      </c>
      <c r="V78" s="542">
        <f t="shared" si="33"/>
        <v>385.595015576324</v>
      </c>
      <c r="W78" s="543">
        <f t="shared" si="33"/>
        <v>251.6</v>
      </c>
      <c r="X78" s="544">
        <f>((O35+P35+Q35+R35+S35+T35+U35+V35+W35)-(O32+P32+Q32+R32+S32+T32+U32+V32+W32))/$Y$38</f>
        <v>277.45319634703196</v>
      </c>
    </row>
    <row r="79" ht="14.25">
      <c r="N79" s="293"/>
    </row>
    <row r="80" ht="22.5" customHeight="1" thickBot="1">
      <c r="N80" s="488">
        <f>SUM(B38:M38)</f>
        <v>1466.5</v>
      </c>
    </row>
    <row r="81" spans="1:24" s="282" customFormat="1" ht="125.25" customHeight="1" thickBot="1">
      <c r="A81" s="624" t="s">
        <v>655</v>
      </c>
      <c r="B81" s="569" t="s">
        <v>57</v>
      </c>
      <c r="C81" s="394" t="s">
        <v>399</v>
      </c>
      <c r="D81" s="394" t="s">
        <v>400</v>
      </c>
      <c r="E81" s="394" t="s">
        <v>401</v>
      </c>
      <c r="F81" s="394" t="s">
        <v>402</v>
      </c>
      <c r="G81" s="394" t="s">
        <v>403</v>
      </c>
      <c r="H81" s="394" t="s">
        <v>124</v>
      </c>
      <c r="I81" s="394" t="s">
        <v>157</v>
      </c>
      <c r="J81" s="394" t="s">
        <v>404</v>
      </c>
      <c r="K81" s="394" t="s">
        <v>147</v>
      </c>
      <c r="L81" s="394" t="s">
        <v>453</v>
      </c>
      <c r="M81" s="394" t="s">
        <v>61</v>
      </c>
      <c r="N81" s="395" t="s">
        <v>144</v>
      </c>
      <c r="O81" s="393" t="s">
        <v>406</v>
      </c>
      <c r="P81" s="394" t="s">
        <v>407</v>
      </c>
      <c r="Q81" s="394" t="s">
        <v>408</v>
      </c>
      <c r="R81" s="394" t="s">
        <v>409</v>
      </c>
      <c r="S81" s="394" t="s">
        <v>410</v>
      </c>
      <c r="T81" s="394" t="s">
        <v>411</v>
      </c>
      <c r="U81" s="394" t="s">
        <v>412</v>
      </c>
      <c r="V81" s="394" t="s">
        <v>413</v>
      </c>
      <c r="W81" s="394" t="s">
        <v>414</v>
      </c>
      <c r="X81" s="395" t="s">
        <v>145</v>
      </c>
    </row>
    <row r="82" spans="1:24" ht="19.5" customHeight="1">
      <c r="A82" s="322" t="s">
        <v>91</v>
      </c>
      <c r="B82" s="570">
        <v>68</v>
      </c>
      <c r="C82" s="537">
        <v>119</v>
      </c>
      <c r="D82" s="537">
        <v>41</v>
      </c>
      <c r="E82" s="537">
        <v>69.5</v>
      </c>
      <c r="F82" s="537">
        <v>69</v>
      </c>
      <c r="G82" s="537">
        <v>203</v>
      </c>
      <c r="H82" s="537">
        <v>182</v>
      </c>
      <c r="I82" s="354">
        <v>195</v>
      </c>
      <c r="J82" s="354">
        <v>135</v>
      </c>
      <c r="K82" s="354">
        <v>92</v>
      </c>
      <c r="L82" s="354">
        <v>130</v>
      </c>
      <c r="M82" s="549">
        <v>163</v>
      </c>
      <c r="N82" s="561">
        <f>SUM(B82:M82)</f>
        <v>1466.5</v>
      </c>
      <c r="O82" s="553">
        <v>100</v>
      </c>
      <c r="P82" s="355">
        <v>60</v>
      </c>
      <c r="Q82" s="354">
        <v>74</v>
      </c>
      <c r="R82" s="354">
        <v>80</v>
      </c>
      <c r="S82" s="354">
        <v>152</v>
      </c>
      <c r="T82" s="354">
        <v>68.5</v>
      </c>
      <c r="U82" s="354">
        <v>101</v>
      </c>
      <c r="V82" s="353">
        <v>160.5</v>
      </c>
      <c r="W82" s="549">
        <v>80</v>
      </c>
      <c r="X82" s="561">
        <f>SUM(O82:W82)</f>
        <v>876</v>
      </c>
    </row>
    <row r="83" spans="1:24" ht="19.5" customHeight="1">
      <c r="A83" s="326" t="s">
        <v>92</v>
      </c>
      <c r="B83" s="554">
        <v>0.5569852941176471</v>
      </c>
      <c r="C83" s="358">
        <v>0.48615546987838104</v>
      </c>
      <c r="D83" s="358">
        <v>0.46707316142756766</v>
      </c>
      <c r="E83" s="358">
        <v>0.45471224338888266</v>
      </c>
      <c r="F83" s="358">
        <v>0.5331521517988564</v>
      </c>
      <c r="G83" s="358">
        <v>0.4587068980550531</v>
      </c>
      <c r="H83" s="358">
        <v>0.5668956211635044</v>
      </c>
      <c r="I83" s="358">
        <v>0.4998717870467748</v>
      </c>
      <c r="J83" s="358">
        <v>0.4352407384801794</v>
      </c>
      <c r="K83" s="358">
        <v>0.559076101883598</v>
      </c>
      <c r="L83" s="358">
        <v>0.6362307621882513</v>
      </c>
      <c r="M83" s="550">
        <v>0.5456748447535228</v>
      </c>
      <c r="N83" s="562"/>
      <c r="O83" s="554">
        <v>0.6031499862670898</v>
      </c>
      <c r="P83" s="359">
        <v>0.5837083180745443</v>
      </c>
      <c r="Q83" s="358">
        <v>0.6098986445246516</v>
      </c>
      <c r="R83" s="358">
        <v>0.534499979019165</v>
      </c>
      <c r="S83" s="358">
        <v>0.5735855102539062</v>
      </c>
      <c r="T83" s="358">
        <v>0.6644890778256158</v>
      </c>
      <c r="U83" s="358">
        <v>0.5287623641514542</v>
      </c>
      <c r="V83" s="357">
        <v>0.882538982640917</v>
      </c>
      <c r="W83" s="550">
        <v>0.4263750076293945</v>
      </c>
      <c r="X83" s="562"/>
    </row>
    <row r="84" spans="1:24" ht="19.5" customHeight="1">
      <c r="A84" s="326" t="s">
        <v>93</v>
      </c>
      <c r="B84" s="554">
        <v>1.7953795379537953</v>
      </c>
      <c r="C84" s="358">
        <v>2.0569551552102556</v>
      </c>
      <c r="D84" s="358">
        <v>2.1409922097505856</v>
      </c>
      <c r="E84" s="358">
        <v>2.19919303810074</v>
      </c>
      <c r="F84" s="358">
        <v>1.8756371827929381</v>
      </c>
      <c r="G84" s="358">
        <v>2.1800413384670354</v>
      </c>
      <c r="H84" s="358">
        <v>1.7639931632345054</v>
      </c>
      <c r="I84" s="358">
        <v>2.0005129833551223</v>
      </c>
      <c r="J84" s="358">
        <v>2.297579044397149</v>
      </c>
      <c r="K84" s="358">
        <v>1.7886652579691276</v>
      </c>
      <c r="L84" s="358">
        <v>1.5717567578163014</v>
      </c>
      <c r="M84" s="550">
        <v>1.8325931818456693</v>
      </c>
      <c r="N84" s="562"/>
      <c r="O84" s="554">
        <v>1.657962402003894</v>
      </c>
      <c r="P84" s="359">
        <v>1.7131844262536138</v>
      </c>
      <c r="Q84" s="358">
        <v>1.639616695294329</v>
      </c>
      <c r="R84" s="358">
        <v>1.870907463523294</v>
      </c>
      <c r="S84" s="358">
        <v>1.7434192149612269</v>
      </c>
      <c r="T84" s="358">
        <v>1.5049156312279273</v>
      </c>
      <c r="U84" s="358">
        <v>1.891208731553308</v>
      </c>
      <c r="V84" s="357">
        <v>1.1330944237812495</v>
      </c>
      <c r="W84" s="550">
        <v>2.3453532268692463</v>
      </c>
      <c r="X84" s="562"/>
    </row>
    <row r="85" spans="1:24" ht="19.5" customHeight="1">
      <c r="A85" s="326" t="s">
        <v>94</v>
      </c>
      <c r="B85" s="555">
        <v>67.25</v>
      </c>
      <c r="C85" s="361">
        <v>116.44750213623047</v>
      </c>
      <c r="D85" s="361">
        <v>41</v>
      </c>
      <c r="E85" s="361">
        <v>69.50250244140625</v>
      </c>
      <c r="F85" s="361">
        <v>67.5</v>
      </c>
      <c r="G85" s="361">
        <v>195.5</v>
      </c>
      <c r="H85" s="361">
        <v>179.25</v>
      </c>
      <c r="I85" s="361">
        <v>189.75</v>
      </c>
      <c r="J85" s="361">
        <v>132.75</v>
      </c>
      <c r="K85" s="361">
        <v>91</v>
      </c>
      <c r="L85" s="361">
        <v>128.5850067138672</v>
      </c>
      <c r="M85" s="551">
        <v>160.43499755859375</v>
      </c>
      <c r="N85" s="562">
        <f>SUM(B85:M85)</f>
        <v>1438.9700088500977</v>
      </c>
      <c r="O85" s="555">
        <v>99.25</v>
      </c>
      <c r="P85" s="362">
        <v>60</v>
      </c>
      <c r="Q85" s="361">
        <v>74</v>
      </c>
      <c r="R85" s="361">
        <v>79.88749694824219</v>
      </c>
      <c r="S85" s="361">
        <v>146.75</v>
      </c>
      <c r="T85" s="361">
        <v>67.75</v>
      </c>
      <c r="U85" s="361">
        <v>101</v>
      </c>
      <c r="V85" s="360">
        <v>155</v>
      </c>
      <c r="W85" s="551">
        <v>79.75</v>
      </c>
      <c r="X85" s="562">
        <f>SUM(O85:W85)</f>
        <v>863.3874969482422</v>
      </c>
    </row>
    <row r="86" spans="1:24" ht="19.5" customHeight="1" thickBot="1">
      <c r="A86" s="337" t="s">
        <v>95</v>
      </c>
      <c r="B86" s="556">
        <v>1.7755775577557755</v>
      </c>
      <c r="C86" s="365">
        <v>2.012834368323332</v>
      </c>
      <c r="D86" s="365">
        <v>2.1409922097505856</v>
      </c>
      <c r="E86" s="365">
        <v>2.1992722230175583</v>
      </c>
      <c r="F86" s="365">
        <v>1.8348624614278743</v>
      </c>
      <c r="G86" s="365">
        <v>2.0994979392625885</v>
      </c>
      <c r="H86" s="365">
        <v>1.7373394203834345</v>
      </c>
      <c r="I86" s="365">
        <v>1.9466530184186384</v>
      </c>
      <c r="J86" s="365">
        <v>2.259286060323863</v>
      </c>
      <c r="K86" s="365">
        <v>1.76922324429555</v>
      </c>
      <c r="L86" s="365">
        <v>1.5546488712028865</v>
      </c>
      <c r="M86" s="552">
        <v>1.8037551083147576</v>
      </c>
      <c r="N86" s="563"/>
      <c r="O86" s="556">
        <v>1.6455276839888648</v>
      </c>
      <c r="P86" s="366">
        <v>1.7131844262536138</v>
      </c>
      <c r="Q86" s="365">
        <v>1.639616695294329</v>
      </c>
      <c r="R86" s="365">
        <v>1.8682764285332587</v>
      </c>
      <c r="S86" s="365">
        <v>1.6832024328655266</v>
      </c>
      <c r="T86" s="365">
        <v>1.488438452783826</v>
      </c>
      <c r="U86" s="365">
        <v>1.891208731553308</v>
      </c>
      <c r="V86" s="364">
        <v>1.0942656429040103</v>
      </c>
      <c r="W86" s="552">
        <v>2.33802399803528</v>
      </c>
      <c r="X86" s="563"/>
    </row>
    <row r="87" ht="15">
      <c r="A87" s="625"/>
    </row>
    <row r="88" spans="1:25" s="321" customFormat="1" ht="15.75" thickBot="1">
      <c r="A88" s="321" t="s">
        <v>683</v>
      </c>
      <c r="X88" s="344"/>
      <c r="Y88" s="452" t="s">
        <v>119</v>
      </c>
    </row>
    <row r="89" spans="1:25" s="282" customFormat="1" ht="125.25" customHeight="1" thickBot="1">
      <c r="A89" s="626" t="s">
        <v>155</v>
      </c>
      <c r="B89" s="623" t="s">
        <v>57</v>
      </c>
      <c r="C89" s="281" t="s">
        <v>399</v>
      </c>
      <c r="D89" s="281" t="s">
        <v>400</v>
      </c>
      <c r="E89" s="281" t="s">
        <v>401</v>
      </c>
      <c r="F89" s="281" t="s">
        <v>402</v>
      </c>
      <c r="G89" s="281" t="s">
        <v>403</v>
      </c>
      <c r="H89" s="281" t="s">
        <v>124</v>
      </c>
      <c r="I89" s="281" t="s">
        <v>157</v>
      </c>
      <c r="J89" s="281" t="s">
        <v>404</v>
      </c>
      <c r="K89" s="281" t="s">
        <v>147</v>
      </c>
      <c r="L89" s="281" t="s">
        <v>453</v>
      </c>
      <c r="M89" s="281" t="s">
        <v>61</v>
      </c>
      <c r="N89" s="296" t="s">
        <v>144</v>
      </c>
      <c r="O89" s="295" t="s">
        <v>406</v>
      </c>
      <c r="P89" s="281" t="s">
        <v>407</v>
      </c>
      <c r="Q89" s="281" t="s">
        <v>408</v>
      </c>
      <c r="R89" s="281" t="s">
        <v>409</v>
      </c>
      <c r="S89" s="281" t="s">
        <v>410</v>
      </c>
      <c r="T89" s="281" t="s">
        <v>411</v>
      </c>
      <c r="U89" s="281" t="s">
        <v>412</v>
      </c>
      <c r="V89" s="281" t="s">
        <v>413</v>
      </c>
      <c r="W89" s="281" t="s">
        <v>414</v>
      </c>
      <c r="X89" s="296" t="s">
        <v>145</v>
      </c>
      <c r="Y89" s="296" t="s">
        <v>415</v>
      </c>
    </row>
    <row r="90" spans="1:25" ht="15.75">
      <c r="A90" s="635" t="s">
        <v>153</v>
      </c>
      <c r="B90" s="638">
        <f>'DD Havlíčkův Brod'!G17</f>
        <v>7313</v>
      </c>
      <c r="C90" s="594">
        <f>'DD Ždírec'!G17</f>
        <v>9457</v>
      </c>
      <c r="D90" s="594">
        <f>'DD Onšov'!G17</f>
        <v>3021</v>
      </c>
      <c r="E90" s="594">
        <f>'DD Proseč Obořiště'!G17</f>
        <v>5963</v>
      </c>
      <c r="F90" s="594">
        <f>'DD Proseč u Pošné'!G17</f>
        <v>5446</v>
      </c>
      <c r="G90" s="594">
        <f>'DD Humpolec'!G17</f>
        <v>14076</v>
      </c>
      <c r="H90" s="594">
        <f>'DD Třebíč Koutkova'!G17</f>
        <v>17070</v>
      </c>
      <c r="I90" s="594">
        <f>'DD M.Curierových'!G17</f>
        <v>20694</v>
      </c>
      <c r="J90" s="594">
        <f>'DD Velký Újezd'!G17</f>
        <v>7913</v>
      </c>
      <c r="K90" s="594">
        <f>'DD Náměšť nad Os'!G17</f>
        <v>8999</v>
      </c>
      <c r="L90" s="594">
        <f>'DD Mitrov'!G17</f>
        <v>12907</v>
      </c>
      <c r="M90" s="639">
        <f>'DD Velké Meziříčí'!G17</f>
        <v>15441</v>
      </c>
      <c r="N90" s="640">
        <f>SUM(B90:M90)</f>
        <v>128300</v>
      </c>
      <c r="O90" s="638">
        <f>'ÚSP Lidmaň'!G17</f>
        <v>10471</v>
      </c>
      <c r="P90" s="594">
        <f>'ÚSP Zboží'!G17</f>
        <v>7292</v>
      </c>
      <c r="Q90" s="594">
        <f>'ÚSP Jinošov'!G17</f>
        <v>7759</v>
      </c>
      <c r="R90" s="594">
        <f>'ÚSP Věž'!G17</f>
        <v>9815</v>
      </c>
      <c r="S90" s="594">
        <f>'ÚSP Křižanov'!G17</f>
        <v>14314</v>
      </c>
      <c r="T90" s="594">
        <f>'ÚSP Těchobuz'!G17</f>
        <v>8475</v>
      </c>
      <c r="U90" s="594">
        <f>'ÚSP Nové Syrovice'!G17</f>
        <v>9779</v>
      </c>
      <c r="V90" s="594">
        <f>'DÚSP Černovice'!G17</f>
        <v>35259</v>
      </c>
      <c r="W90" s="639">
        <f>'USP Ledeč nad Sázavou'!G17</f>
        <v>8021</v>
      </c>
      <c r="X90" s="641">
        <f>SUM(O90:W90)</f>
        <v>111185</v>
      </c>
      <c r="Y90" s="642">
        <f>'Psych.Jihl.'!G17</f>
        <v>5712</v>
      </c>
    </row>
    <row r="91" spans="1:25" ht="16.5" thickBot="1">
      <c r="A91" s="636" t="s">
        <v>154</v>
      </c>
      <c r="B91" s="643">
        <f>'DD Havlíčkův Brod'!G16</f>
        <v>1327</v>
      </c>
      <c r="C91" s="597">
        <f>'DD Ždírec'!G16</f>
        <v>2666</v>
      </c>
      <c r="D91" s="597">
        <f>'DD Onšov'!G16</f>
        <v>854</v>
      </c>
      <c r="E91" s="597">
        <f>'DD Proseč Obořiště'!G16</f>
        <v>547</v>
      </c>
      <c r="F91" s="597">
        <f>'DD Proseč u Pošné'!G16</f>
        <v>2462</v>
      </c>
      <c r="G91" s="597">
        <f>'DD Humpolec'!G16</f>
        <v>4522</v>
      </c>
      <c r="H91" s="597">
        <f>'DD Třebíč Koutkova'!G16</f>
        <v>1372</v>
      </c>
      <c r="I91" s="597">
        <f>'DD M.Curierových'!G16</f>
        <v>1317</v>
      </c>
      <c r="J91" s="597">
        <f>'DD Velký Újezd'!G16</f>
        <v>3316</v>
      </c>
      <c r="K91" s="597">
        <f>'DD Náměšť nad Os'!G16</f>
        <v>63</v>
      </c>
      <c r="L91" s="597">
        <f>'DD Mitrov'!G16</f>
        <v>4047</v>
      </c>
      <c r="M91" s="644">
        <f>'DD Velké Meziříčí'!G16</f>
        <v>592</v>
      </c>
      <c r="N91" s="645">
        <f>SUM(B91:M91)</f>
        <v>23085</v>
      </c>
      <c r="O91" s="643">
        <f>'ÚSP Lidmaň'!G16</f>
        <v>2819</v>
      </c>
      <c r="P91" s="597">
        <f>'ÚSP Zboží'!G16</f>
        <v>1050</v>
      </c>
      <c r="Q91" s="597">
        <f>'ÚSP Jinošov'!G16</f>
        <v>2398</v>
      </c>
      <c r="R91" s="597">
        <f>'ÚSP Věž'!G16</f>
        <v>6462</v>
      </c>
      <c r="S91" s="597">
        <f>'ÚSP Křižanov'!G16</f>
        <v>1312</v>
      </c>
      <c r="T91" s="597">
        <f>'ÚSP Těchobuz'!G16</f>
        <v>1060</v>
      </c>
      <c r="U91" s="597">
        <f>'ÚSP Nové Syrovice'!G16</f>
        <v>1729</v>
      </c>
      <c r="V91" s="597">
        <f>'DÚSP Černovice'!G16</f>
        <v>10</v>
      </c>
      <c r="W91" s="644">
        <f>'USP Ledeč nad Sázavou'!G16</f>
        <v>1086</v>
      </c>
      <c r="X91" s="646">
        <f>SUM(O91:W91)</f>
        <v>17926</v>
      </c>
      <c r="Y91" s="647">
        <f>'Psych.Jihl.'!G16</f>
        <v>1107</v>
      </c>
    </row>
    <row r="92" spans="1:25" ht="16.5" thickBot="1">
      <c r="A92" s="637" t="s">
        <v>168</v>
      </c>
      <c r="B92" s="665">
        <f>B90+B91</f>
        <v>8640</v>
      </c>
      <c r="C92" s="666">
        <f aca="true" t="shared" si="34" ref="C92:Y92">C90+C91</f>
        <v>12123</v>
      </c>
      <c r="D92" s="666">
        <f t="shared" si="34"/>
        <v>3875</v>
      </c>
      <c r="E92" s="666">
        <f t="shared" si="34"/>
        <v>6510</v>
      </c>
      <c r="F92" s="666">
        <f t="shared" si="34"/>
        <v>7908</v>
      </c>
      <c r="G92" s="666">
        <f t="shared" si="34"/>
        <v>18598</v>
      </c>
      <c r="H92" s="666">
        <f t="shared" si="34"/>
        <v>18442</v>
      </c>
      <c r="I92" s="666">
        <f t="shared" si="34"/>
        <v>22011</v>
      </c>
      <c r="J92" s="666">
        <f t="shared" si="34"/>
        <v>11229</v>
      </c>
      <c r="K92" s="666">
        <f t="shared" si="34"/>
        <v>9062</v>
      </c>
      <c r="L92" s="666">
        <f t="shared" si="34"/>
        <v>16954</v>
      </c>
      <c r="M92" s="667">
        <f t="shared" si="34"/>
        <v>16033</v>
      </c>
      <c r="N92" s="668">
        <f t="shared" si="34"/>
        <v>151385</v>
      </c>
      <c r="O92" s="666">
        <f t="shared" si="34"/>
        <v>13290</v>
      </c>
      <c r="P92" s="666">
        <f t="shared" si="34"/>
        <v>8342</v>
      </c>
      <c r="Q92" s="666">
        <f t="shared" si="34"/>
        <v>10157</v>
      </c>
      <c r="R92" s="666">
        <f t="shared" si="34"/>
        <v>16277</v>
      </c>
      <c r="S92" s="666">
        <f t="shared" si="34"/>
        <v>15626</v>
      </c>
      <c r="T92" s="666">
        <f t="shared" si="34"/>
        <v>9535</v>
      </c>
      <c r="U92" s="666">
        <f t="shared" si="34"/>
        <v>11508</v>
      </c>
      <c r="V92" s="666">
        <f t="shared" si="34"/>
        <v>35269</v>
      </c>
      <c r="W92" s="667">
        <f t="shared" si="34"/>
        <v>9107</v>
      </c>
      <c r="X92" s="669">
        <f t="shared" si="34"/>
        <v>129111</v>
      </c>
      <c r="Y92" s="670">
        <f t="shared" si="34"/>
        <v>6819</v>
      </c>
    </row>
    <row r="93" ht="15">
      <c r="A93" s="625"/>
    </row>
    <row r="94" ht="15">
      <c r="A94" s="625"/>
    </row>
    <row r="95" spans="1:26" ht="15.75" thickBot="1">
      <c r="A95" s="625" t="s">
        <v>680</v>
      </c>
      <c r="Z95" s="452" t="s">
        <v>119</v>
      </c>
    </row>
    <row r="96" spans="1:26" ht="101.25" customHeight="1" thickBot="1">
      <c r="A96" s="627" t="s">
        <v>677</v>
      </c>
      <c r="B96" s="281" t="s">
        <v>57</v>
      </c>
      <c r="C96" s="281" t="s">
        <v>399</v>
      </c>
      <c r="D96" s="281" t="s">
        <v>400</v>
      </c>
      <c r="E96" s="281" t="s">
        <v>401</v>
      </c>
      <c r="F96" s="281" t="s">
        <v>402</v>
      </c>
      <c r="G96" s="281" t="s">
        <v>403</v>
      </c>
      <c r="H96" s="281" t="s">
        <v>124</v>
      </c>
      <c r="I96" s="281" t="s">
        <v>157</v>
      </c>
      <c r="J96" s="281" t="s">
        <v>404</v>
      </c>
      <c r="K96" s="281" t="s">
        <v>147</v>
      </c>
      <c r="L96" s="281" t="s">
        <v>453</v>
      </c>
      <c r="M96" s="501" t="s">
        <v>61</v>
      </c>
      <c r="N96" s="517" t="s">
        <v>141</v>
      </c>
      <c r="O96" s="295" t="s">
        <v>406</v>
      </c>
      <c r="P96" s="281" t="s">
        <v>407</v>
      </c>
      <c r="Q96" s="281" t="s">
        <v>408</v>
      </c>
      <c r="R96" s="281" t="s">
        <v>409</v>
      </c>
      <c r="S96" s="281" t="s">
        <v>410</v>
      </c>
      <c r="T96" s="281" t="s">
        <v>411</v>
      </c>
      <c r="U96" s="281" t="s">
        <v>412</v>
      </c>
      <c r="V96" s="281" t="s">
        <v>413</v>
      </c>
      <c r="W96" s="296" t="s">
        <v>414</v>
      </c>
      <c r="X96" s="296" t="s">
        <v>415</v>
      </c>
      <c r="Y96" s="517" t="s">
        <v>142</v>
      </c>
      <c r="Z96" s="517" t="s">
        <v>143</v>
      </c>
    </row>
    <row r="97" spans="1:26" ht="19.5" customHeight="1">
      <c r="A97" s="628" t="s">
        <v>148</v>
      </c>
      <c r="B97" s="594">
        <f>'[4]fin. plán 2008'!B36</f>
        <v>-266</v>
      </c>
      <c r="C97" s="594">
        <f>'[4]fin. plán 2008'!C36</f>
        <v>-952</v>
      </c>
      <c r="D97" s="594">
        <f>'[4]fin. plán 2008'!D36</f>
        <v>-480</v>
      </c>
      <c r="E97" s="594">
        <f>'[4]fin. plán 2008'!E36</f>
        <v>-261</v>
      </c>
      <c r="F97" s="594">
        <f>'[4]fin. plán 2008'!F36</f>
        <v>-2059</v>
      </c>
      <c r="G97" s="594">
        <f>'[4]fin. plán 2008'!G36</f>
        <v>-2583</v>
      </c>
      <c r="H97" s="594">
        <f>'[4]fin. plán 2008'!H36</f>
        <v>0</v>
      </c>
      <c r="I97" s="594">
        <f>'[4]fin. plán 2008'!I36</f>
        <v>-240</v>
      </c>
      <c r="J97" s="594">
        <f>'[4]fin. plán 2008'!J36</f>
        <v>-374</v>
      </c>
      <c r="K97" s="594">
        <f>'[4]fin. plán 2008'!K36</f>
        <v>-1486</v>
      </c>
      <c r="L97" s="594">
        <f>'[4]fin. plán 2008'!L36</f>
        <v>-1228</v>
      </c>
      <c r="M97" s="639">
        <f>'[4]fin. plán 2008'!M36</f>
        <v>-422</v>
      </c>
      <c r="N97" s="654">
        <f>SUM(B97:M97)</f>
        <v>-10351</v>
      </c>
      <c r="O97" s="638">
        <f>'[4]fin. plán 2008'!O36</f>
        <v>-1906</v>
      </c>
      <c r="P97" s="594">
        <f>'[4]fin. plán 2008'!P36</f>
        <v>-4185</v>
      </c>
      <c r="Q97" s="594">
        <f>'[4]fin. plán 2008'!Q36</f>
        <v>-1204</v>
      </c>
      <c r="R97" s="594">
        <f>'[4]fin. plán 2008'!R36</f>
        <v>-3650</v>
      </c>
      <c r="S97" s="594">
        <f>'[4]fin. plán 2008'!S36</f>
        <v>-3248</v>
      </c>
      <c r="T97" s="594">
        <f>'[4]fin. plán 2008'!T36</f>
        <v>-2597</v>
      </c>
      <c r="U97" s="594">
        <f>'[4]fin. plán 2008'!U36</f>
        <v>-4284</v>
      </c>
      <c r="V97" s="594">
        <f>'[4]fin. plán 2008'!V36</f>
        <v>-6104</v>
      </c>
      <c r="W97" s="594">
        <f>'[4]fin. plán 2008'!W36</f>
        <v>-1917</v>
      </c>
      <c r="X97" s="639">
        <f>'[4]fin. plán 2008'!X36</f>
        <v>-785</v>
      </c>
      <c r="Y97" s="658">
        <f>O97+P97+Q97+R97+S97+T97+U97+V97+W97</f>
        <v>-29095</v>
      </c>
      <c r="Z97" s="595">
        <f>N97+X97+Y97</f>
        <v>-40231</v>
      </c>
    </row>
    <row r="98" spans="1:26" ht="19.5" customHeight="1">
      <c r="A98" s="629" t="s">
        <v>149</v>
      </c>
      <c r="B98" s="596">
        <f>'[4]fin. plán 2008'!B32</f>
        <v>550</v>
      </c>
      <c r="C98" s="596">
        <f>'[4]fin. plán 2008'!C32</f>
        <v>615</v>
      </c>
      <c r="D98" s="596">
        <f>'[4]fin. plán 2008'!D32</f>
        <v>200</v>
      </c>
      <c r="E98" s="596">
        <f>'[4]fin. plán 2008'!E32</f>
        <v>568</v>
      </c>
      <c r="F98" s="596">
        <f>'[4]fin. plán 2008'!F32</f>
        <v>586</v>
      </c>
      <c r="G98" s="596">
        <f>'[4]fin. plán 2008'!G32</f>
        <v>788</v>
      </c>
      <c r="H98" s="596">
        <f>'[4]fin. plán 2008'!H32</f>
        <v>2404</v>
      </c>
      <c r="I98" s="596">
        <f>'[4]fin. plán 2008'!I32</f>
        <v>1145</v>
      </c>
      <c r="J98" s="596">
        <f>'[4]fin. plán 2008'!J32</f>
        <v>218</v>
      </c>
      <c r="K98" s="596">
        <f>'[4]fin. plán 2008'!K32</f>
        <v>1973</v>
      </c>
      <c r="L98" s="596">
        <f>'[4]fin. plán 2008'!L32</f>
        <v>930</v>
      </c>
      <c r="M98" s="650">
        <f>'[4]fin. plán 2008'!M32</f>
        <v>569</v>
      </c>
      <c r="N98" s="655">
        <f>SUM(B98:M98)</f>
        <v>10546</v>
      </c>
      <c r="O98" s="652">
        <f>'[4]fin. plán 2008'!O32</f>
        <v>625</v>
      </c>
      <c r="P98" s="596">
        <f>'[4]fin. plán 2008'!P32</f>
        <v>460</v>
      </c>
      <c r="Q98" s="596">
        <f>'[4]fin. plán 2008'!Q32</f>
        <v>520</v>
      </c>
      <c r="R98" s="596">
        <f>'[4]fin. plán 2008'!R32</f>
        <v>437</v>
      </c>
      <c r="S98" s="596">
        <f>'[4]fin. plán 2008'!S32</f>
        <v>1489</v>
      </c>
      <c r="T98" s="596">
        <f>'[4]fin. plán 2008'!T32</f>
        <v>220</v>
      </c>
      <c r="U98" s="596">
        <f>'[4]fin. plán 2008'!U32</f>
        <v>494</v>
      </c>
      <c r="V98" s="596">
        <f>'[4]fin. plán 2008'!V32</f>
        <v>2521</v>
      </c>
      <c r="W98" s="596">
        <f>'[4]fin. plán 2008'!W32</f>
        <v>793</v>
      </c>
      <c r="X98" s="650">
        <f>'[4]fin. plán 2008'!X32</f>
        <v>86</v>
      </c>
      <c r="Y98" s="659">
        <f>O98+P98+Q98+R98+S98+T98+U98+V98+W98</f>
        <v>7559</v>
      </c>
      <c r="Z98" s="660">
        <f>N98+X98+Y98</f>
        <v>18191</v>
      </c>
    </row>
    <row r="99" spans="1:26" ht="19.5" customHeight="1" thickBot="1">
      <c r="A99" s="630" t="s">
        <v>679</v>
      </c>
      <c r="B99" s="597">
        <f>'[4]fin. plán 2008'!B13</f>
        <v>312</v>
      </c>
      <c r="C99" s="597">
        <f>'[4]fin. plán 2008'!C13</f>
        <v>552</v>
      </c>
      <c r="D99" s="597">
        <f>'[4]fin. plán 2008'!D13</f>
        <v>190</v>
      </c>
      <c r="E99" s="597">
        <f>'[4]fin. plán 2008'!E13</f>
        <v>325</v>
      </c>
      <c r="F99" s="597">
        <f>'[4]fin. plán 2008'!F13</f>
        <v>320</v>
      </c>
      <c r="G99" s="597">
        <f>'[4]fin. plán 2008'!G13</f>
        <v>942</v>
      </c>
      <c r="H99" s="597">
        <f>'[4]fin. plán 2008'!H13</f>
        <v>793</v>
      </c>
      <c r="I99" s="597">
        <f>'[4]fin. plán 2008'!I13</f>
        <v>905</v>
      </c>
      <c r="J99" s="597">
        <f>'[4]fin. plán 2008'!J13</f>
        <v>626</v>
      </c>
      <c r="K99" s="597">
        <f>'[4]fin. plán 2008'!K13</f>
        <v>427</v>
      </c>
      <c r="L99" s="597">
        <f>'[4]fin. plán 2008'!L13</f>
        <v>603</v>
      </c>
      <c r="M99" s="644">
        <f>'[4]fin. plán 2008'!M13</f>
        <v>765</v>
      </c>
      <c r="N99" s="656">
        <f>SUM(B99:M99)</f>
        <v>6760</v>
      </c>
      <c r="O99" s="643">
        <f>'[4]fin. plán 2008'!O13</f>
        <v>562</v>
      </c>
      <c r="P99" s="597">
        <f>'[4]fin. plán 2008'!P13</f>
        <v>324</v>
      </c>
      <c r="Q99" s="597">
        <f>'[4]fin. plán 2008'!Q13</f>
        <v>379</v>
      </c>
      <c r="R99" s="597">
        <f>'[4]fin. plán 2008'!R13</f>
        <v>433</v>
      </c>
      <c r="S99" s="597">
        <f>'[4]fin. plán 2008'!S13</f>
        <v>874</v>
      </c>
      <c r="T99" s="597">
        <f>'[4]fin. plán 2008'!T13</f>
        <v>368</v>
      </c>
      <c r="U99" s="597">
        <f>'[4]fin. plán 2008'!U13</f>
        <v>541</v>
      </c>
      <c r="V99" s="597">
        <f>'[4]fin. plán 2008'!V13</f>
        <v>916</v>
      </c>
      <c r="W99" s="597">
        <f>'[4]fin. plán 2008'!W13</f>
        <v>433</v>
      </c>
      <c r="X99" s="644">
        <f>'[4]fin. plán 2008'!X13</f>
        <v>635</v>
      </c>
      <c r="Y99" s="661">
        <f>O99+P99+Q99+R99+S99+T99+U99+V99+W99</f>
        <v>4830</v>
      </c>
      <c r="Z99" s="662">
        <f>N99+X99+Y99</f>
        <v>12225</v>
      </c>
    </row>
    <row r="100" spans="1:26" ht="19.5" customHeight="1" thickBot="1">
      <c r="A100" s="631" t="s">
        <v>152</v>
      </c>
      <c r="B100" s="598">
        <f>B98-B99</f>
        <v>238</v>
      </c>
      <c r="C100" s="598">
        <f>C98-C99</f>
        <v>63</v>
      </c>
      <c r="D100" s="598">
        <f>D98-D99</f>
        <v>10</v>
      </c>
      <c r="E100" s="598">
        <f>E98-E99</f>
        <v>243</v>
      </c>
      <c r="F100" s="598">
        <f>F98-F99</f>
        <v>266</v>
      </c>
      <c r="G100" s="598">
        <v>0</v>
      </c>
      <c r="H100" s="599">
        <v>0</v>
      </c>
      <c r="I100" s="598">
        <f>I98-I99</f>
        <v>240</v>
      </c>
      <c r="J100" s="598">
        <v>0</v>
      </c>
      <c r="K100" s="599">
        <f>K98-K99-60</f>
        <v>1486</v>
      </c>
      <c r="L100" s="598">
        <f>L98-L99</f>
        <v>327</v>
      </c>
      <c r="M100" s="651">
        <v>0</v>
      </c>
      <c r="N100" s="657">
        <f>SUM(B100:M100)</f>
        <v>2873</v>
      </c>
      <c r="O100" s="653">
        <f>O98-O99</f>
        <v>63</v>
      </c>
      <c r="P100" s="598">
        <f>P98-P99</f>
        <v>136</v>
      </c>
      <c r="Q100" s="598">
        <f>Q98-Q99</f>
        <v>141</v>
      </c>
      <c r="R100" s="598">
        <f>R98-R99</f>
        <v>4</v>
      </c>
      <c r="S100" s="598">
        <f>S98-S99</f>
        <v>615</v>
      </c>
      <c r="T100" s="598">
        <v>0</v>
      </c>
      <c r="U100" s="598">
        <v>0</v>
      </c>
      <c r="V100" s="598">
        <f>V98-V99</f>
        <v>1605</v>
      </c>
      <c r="W100" s="598">
        <f>W98-W99</f>
        <v>360</v>
      </c>
      <c r="X100" s="651">
        <v>0</v>
      </c>
      <c r="Y100" s="663">
        <f>O100+P100+Q100+R100+S100+T100+U100+V100+W100</f>
        <v>2924</v>
      </c>
      <c r="Z100" s="664">
        <f>N100+Y100</f>
        <v>5797</v>
      </c>
    </row>
    <row r="101" spans="1:26" ht="34.5" customHeight="1" thickBot="1">
      <c r="A101" s="692" t="s">
        <v>684</v>
      </c>
      <c r="B101" s="702" t="s">
        <v>685</v>
      </c>
      <c r="C101" s="703"/>
      <c r="D101" s="601"/>
      <c r="E101" s="601"/>
      <c r="F101" s="601"/>
      <c r="G101" s="601"/>
      <c r="H101" s="601"/>
      <c r="I101" s="601"/>
      <c r="J101" s="601"/>
      <c r="K101" s="601" t="s">
        <v>150</v>
      </c>
      <c r="L101" s="602"/>
      <c r="M101" s="601"/>
      <c r="N101" s="601"/>
      <c r="O101" s="601"/>
      <c r="P101" s="601"/>
      <c r="Q101" s="601"/>
      <c r="R101" s="601"/>
      <c r="S101" s="601"/>
      <c r="T101" s="601"/>
      <c r="U101" s="601"/>
      <c r="V101" s="601"/>
      <c r="W101" s="601"/>
      <c r="X101" s="601"/>
      <c r="Y101" s="601"/>
      <c r="Z101" s="601"/>
    </row>
    <row r="102" spans="1:26" ht="21.75" customHeight="1" thickBot="1">
      <c r="A102" s="648">
        <v>21000</v>
      </c>
      <c r="B102" s="649">
        <f>A102-Z100</f>
        <v>15203</v>
      </c>
      <c r="C102" s="601"/>
      <c r="D102" s="601"/>
      <c r="E102" s="601"/>
      <c r="F102" s="601"/>
      <c r="G102" s="601"/>
      <c r="H102" s="601"/>
      <c r="I102" s="601"/>
      <c r="J102" s="601"/>
      <c r="K102" s="601"/>
      <c r="L102" s="601"/>
      <c r="M102" s="601"/>
      <c r="N102" s="601"/>
      <c r="O102" s="601"/>
      <c r="P102" s="601"/>
      <c r="Q102" s="601"/>
      <c r="R102" s="601"/>
      <c r="S102" s="601"/>
      <c r="T102" s="601"/>
      <c r="U102" s="601"/>
      <c r="V102" s="601"/>
      <c r="W102" s="601"/>
      <c r="X102" s="601"/>
      <c r="Y102" s="601"/>
      <c r="Z102" s="601"/>
    </row>
    <row r="103" spans="1:28" ht="15" customHeight="1" thickBot="1">
      <c r="A103" s="601"/>
      <c r="B103" s="601"/>
      <c r="C103" s="601"/>
      <c r="D103" s="601"/>
      <c r="E103" s="601"/>
      <c r="F103" s="601"/>
      <c r="G103" s="601"/>
      <c r="H103" s="601"/>
      <c r="I103" s="601"/>
      <c r="J103" s="601"/>
      <c r="K103" s="601"/>
      <c r="L103" s="601"/>
      <c r="M103" s="601"/>
      <c r="N103" s="601"/>
      <c r="O103" s="601"/>
      <c r="P103" s="601"/>
      <c r="Q103" s="601"/>
      <c r="R103" s="601"/>
      <c r="S103" s="601"/>
      <c r="T103" s="601"/>
      <c r="U103" s="601"/>
      <c r="V103" s="601"/>
      <c r="W103" s="601"/>
      <c r="X103" s="601"/>
      <c r="Y103" s="601"/>
      <c r="Z103" s="452" t="s">
        <v>119</v>
      </c>
      <c r="AB103" s="294"/>
    </row>
    <row r="104" spans="1:26" ht="19.5" customHeight="1" thickBot="1">
      <c r="A104" s="628" t="s">
        <v>151</v>
      </c>
      <c r="B104" s="598">
        <f aca="true" t="shared" si="35" ref="B104:M104">B97+B100</f>
        <v>-28</v>
      </c>
      <c r="C104" s="598">
        <f t="shared" si="35"/>
        <v>-889</v>
      </c>
      <c r="D104" s="598">
        <f t="shared" si="35"/>
        <v>-470</v>
      </c>
      <c r="E104" s="598">
        <f t="shared" si="35"/>
        <v>-18</v>
      </c>
      <c r="F104" s="598">
        <f t="shared" si="35"/>
        <v>-1793</v>
      </c>
      <c r="G104" s="598">
        <f t="shared" si="35"/>
        <v>-2583</v>
      </c>
      <c r="H104" s="604">
        <f t="shared" si="35"/>
        <v>0</v>
      </c>
      <c r="I104" s="598">
        <f t="shared" si="35"/>
        <v>0</v>
      </c>
      <c r="J104" s="598">
        <f t="shared" si="35"/>
        <v>-374</v>
      </c>
      <c r="K104" s="604">
        <f t="shared" si="35"/>
        <v>0</v>
      </c>
      <c r="L104" s="598">
        <f t="shared" si="35"/>
        <v>-901</v>
      </c>
      <c r="M104" s="598">
        <f t="shared" si="35"/>
        <v>-422</v>
      </c>
      <c r="N104" s="599">
        <f>B104+C104+D104+E104+F104+G104+J104+L104+M104</f>
        <v>-7478</v>
      </c>
      <c r="O104" s="598">
        <f aca="true" t="shared" si="36" ref="O104:X104">O97+O100</f>
        <v>-1843</v>
      </c>
      <c r="P104" s="598">
        <f t="shared" si="36"/>
        <v>-4049</v>
      </c>
      <c r="Q104" s="598">
        <f t="shared" si="36"/>
        <v>-1063</v>
      </c>
      <c r="R104" s="598">
        <f t="shared" si="36"/>
        <v>-3646</v>
      </c>
      <c r="S104" s="598">
        <f t="shared" si="36"/>
        <v>-2633</v>
      </c>
      <c r="T104" s="598">
        <f t="shared" si="36"/>
        <v>-2597</v>
      </c>
      <c r="U104" s="598">
        <f t="shared" si="36"/>
        <v>-4284</v>
      </c>
      <c r="V104" s="598">
        <f t="shared" si="36"/>
        <v>-4499</v>
      </c>
      <c r="W104" s="598">
        <f t="shared" si="36"/>
        <v>-1557</v>
      </c>
      <c r="X104" s="598">
        <f t="shared" si="36"/>
        <v>-785</v>
      </c>
      <c r="Y104" s="599">
        <f>O104+P104+Q104+R104+S104+T104+U104+V104+W104</f>
        <v>-26171</v>
      </c>
      <c r="Z104" s="600">
        <f>N104+X104+Y104</f>
        <v>-34434</v>
      </c>
    </row>
    <row r="105" spans="1:26" ht="15" customHeight="1" thickBot="1">
      <c r="A105" s="601"/>
      <c r="B105" s="601"/>
      <c r="C105" s="601"/>
      <c r="D105" s="601"/>
      <c r="E105" s="601"/>
      <c r="F105" s="601"/>
      <c r="G105" s="601"/>
      <c r="H105" s="601"/>
      <c r="I105" s="601"/>
      <c r="J105" s="601"/>
      <c r="K105" s="601"/>
      <c r="L105" s="601"/>
      <c r="M105" s="601"/>
      <c r="N105" s="601"/>
      <c r="O105" s="601"/>
      <c r="P105" s="601"/>
      <c r="Q105" s="601"/>
      <c r="R105" s="601"/>
      <c r="S105" s="601"/>
      <c r="T105" s="601"/>
      <c r="U105" s="601"/>
      <c r="V105" s="601"/>
      <c r="W105" s="601"/>
      <c r="X105" s="601"/>
      <c r="Y105" s="601"/>
      <c r="Z105" s="601"/>
    </row>
    <row r="106" spans="1:26" ht="15" customHeight="1">
      <c r="A106" s="628" t="s">
        <v>678</v>
      </c>
      <c r="B106" s="621">
        <f>Z104</f>
        <v>-34434</v>
      </c>
      <c r="C106" s="601"/>
      <c r="D106" s="601"/>
      <c r="E106" s="601"/>
      <c r="F106" s="601"/>
      <c r="G106" s="601"/>
      <c r="H106" s="601"/>
      <c r="I106" s="601"/>
      <c r="J106" s="601"/>
      <c r="K106" s="601"/>
      <c r="L106" s="601"/>
      <c r="M106" s="601"/>
      <c r="N106" s="601"/>
      <c r="O106" s="601"/>
      <c r="P106" s="601"/>
      <c r="Q106" s="601"/>
      <c r="R106" s="601"/>
      <c r="S106" s="601"/>
      <c r="T106" s="601"/>
      <c r="U106" s="601"/>
      <c r="V106" s="601"/>
      <c r="W106" s="601"/>
      <c r="X106" s="601"/>
      <c r="Y106" s="601"/>
      <c r="Z106" s="601"/>
    </row>
    <row r="107" spans="1:26" ht="15" customHeight="1">
      <c r="A107" s="629" t="s">
        <v>158</v>
      </c>
      <c r="B107" s="622">
        <f>B102</f>
        <v>15203</v>
      </c>
      <c r="C107" s="601"/>
      <c r="D107" s="601"/>
      <c r="E107" s="601"/>
      <c r="F107" s="601"/>
      <c r="G107" s="601"/>
      <c r="H107" s="601"/>
      <c r="I107" s="601"/>
      <c r="J107" s="601"/>
      <c r="K107" s="601"/>
      <c r="L107" s="601"/>
      <c r="M107" s="601"/>
      <c r="N107" s="601"/>
      <c r="O107" s="601"/>
      <c r="P107" s="603"/>
      <c r="Q107" s="601"/>
      <c r="R107" s="601"/>
      <c r="S107" s="601"/>
      <c r="T107" s="601"/>
      <c r="U107" s="601"/>
      <c r="V107" s="601"/>
      <c r="W107" s="603"/>
      <c r="X107" s="601"/>
      <c r="Y107" s="601"/>
      <c r="Z107" s="603"/>
    </row>
    <row r="108" spans="1:26" ht="15" customHeight="1" thickBot="1">
      <c r="A108" s="632" t="s">
        <v>159</v>
      </c>
      <c r="B108" s="680">
        <f>B107/B106</f>
        <v>-0.4415112969739211</v>
      </c>
      <c r="C108" s="601"/>
      <c r="D108" s="601"/>
      <c r="E108" s="601"/>
      <c r="F108" s="601"/>
      <c r="G108" s="601"/>
      <c r="H108" s="601"/>
      <c r="I108" s="601"/>
      <c r="J108" s="601"/>
      <c r="K108" s="601"/>
      <c r="L108" s="601"/>
      <c r="M108" s="601"/>
      <c r="N108" s="601"/>
      <c r="O108" s="601"/>
      <c r="P108" s="601"/>
      <c r="Q108" s="601"/>
      <c r="R108" s="601"/>
      <c r="S108" s="601"/>
      <c r="T108" s="601"/>
      <c r="U108" s="601"/>
      <c r="V108" s="601"/>
      <c r="W108" s="601"/>
      <c r="X108" s="601"/>
      <c r="Y108" s="603"/>
      <c r="Z108" s="601"/>
    </row>
    <row r="109" spans="1:26" ht="15" customHeight="1">
      <c r="A109" s="601"/>
      <c r="B109" s="601"/>
      <c r="C109" s="601"/>
      <c r="D109" s="601"/>
      <c r="E109" s="601"/>
      <c r="F109" s="601"/>
      <c r="G109" s="601"/>
      <c r="H109" s="601"/>
      <c r="I109" s="601"/>
      <c r="J109" s="601"/>
      <c r="K109" s="601"/>
      <c r="L109" s="601"/>
      <c r="M109" s="601"/>
      <c r="N109" s="601"/>
      <c r="O109" s="601"/>
      <c r="P109" s="601"/>
      <c r="Q109" s="601"/>
      <c r="R109" s="601"/>
      <c r="S109" s="601"/>
      <c r="T109" s="601"/>
      <c r="U109" s="601"/>
      <c r="V109" s="601"/>
      <c r="W109" s="601"/>
      <c r="X109" s="601"/>
      <c r="Y109" s="601"/>
      <c r="Z109" s="601"/>
    </row>
    <row r="110" spans="1:26" ht="15.75" thickBot="1">
      <c r="A110" s="601"/>
      <c r="B110" s="601"/>
      <c r="C110" s="601"/>
      <c r="D110" s="601"/>
      <c r="E110" s="601"/>
      <c r="F110" s="601"/>
      <c r="G110" s="601"/>
      <c r="H110" s="601"/>
      <c r="I110" s="601"/>
      <c r="J110" s="601"/>
      <c r="K110" s="601"/>
      <c r="L110" s="601"/>
      <c r="M110" s="601"/>
      <c r="N110" s="601"/>
      <c r="O110" s="601"/>
      <c r="P110" s="601"/>
      <c r="Q110" s="601"/>
      <c r="R110" s="601"/>
      <c r="S110" s="601"/>
      <c r="T110" s="601"/>
      <c r="U110" s="601"/>
      <c r="V110" s="601"/>
      <c r="W110" s="601"/>
      <c r="X110" s="601"/>
      <c r="Y110" s="601"/>
      <c r="Z110" s="452" t="s">
        <v>119</v>
      </c>
    </row>
    <row r="111" spans="1:26" ht="22.5" customHeight="1" hidden="1" thickBot="1">
      <c r="A111" s="633"/>
      <c r="B111" s="605">
        <f aca="true" t="shared" si="37" ref="B111:G111">$B$108*B104</f>
        <v>12.36231631526979</v>
      </c>
      <c r="C111" s="605">
        <f t="shared" si="37"/>
        <v>392.50354300981587</v>
      </c>
      <c r="D111" s="605">
        <f t="shared" si="37"/>
        <v>207.51030957774293</v>
      </c>
      <c r="E111" s="605">
        <f t="shared" si="37"/>
        <v>7.94720334553058</v>
      </c>
      <c r="F111" s="605">
        <f t="shared" si="37"/>
        <v>791.6297554742406</v>
      </c>
      <c r="G111" s="605">
        <f t="shared" si="37"/>
        <v>1140.4236800836381</v>
      </c>
      <c r="H111" s="605"/>
      <c r="I111" s="605">
        <f>$B$108*I104</f>
        <v>0</v>
      </c>
      <c r="J111" s="605">
        <f>$B$108*J104</f>
        <v>165.1252250682465</v>
      </c>
      <c r="K111" s="605"/>
      <c r="L111" s="605">
        <f>$B$108*L104</f>
        <v>397.8016785735029</v>
      </c>
      <c r="M111" s="605">
        <f>$B$108*M104</f>
        <v>186.3177673229947</v>
      </c>
      <c r="N111" s="606">
        <f>B111+C111+D111+E111+F111+G111+J111+L111+M111</f>
        <v>3301.621478770982</v>
      </c>
      <c r="O111" s="605">
        <f aca="true" t="shared" si="38" ref="O111:X111">$B$108*O104</f>
        <v>813.7053203229366</v>
      </c>
      <c r="P111" s="605">
        <f t="shared" si="38"/>
        <v>1787.6792414474066</v>
      </c>
      <c r="Q111" s="605">
        <f t="shared" si="38"/>
        <v>469.3265086832781</v>
      </c>
      <c r="R111" s="605">
        <f t="shared" si="38"/>
        <v>1609.7501887669164</v>
      </c>
      <c r="S111" s="605">
        <f t="shared" si="38"/>
        <v>1162.4992449323342</v>
      </c>
      <c r="T111" s="605">
        <f t="shared" si="38"/>
        <v>1146.6048382412732</v>
      </c>
      <c r="U111" s="605">
        <f t="shared" si="38"/>
        <v>1891.434396236278</v>
      </c>
      <c r="V111" s="605">
        <f t="shared" si="38"/>
        <v>1986.3593250856711</v>
      </c>
      <c r="W111" s="605">
        <f t="shared" si="38"/>
        <v>687.4330893883952</v>
      </c>
      <c r="X111" s="605">
        <f t="shared" si="38"/>
        <v>346.58636812452806</v>
      </c>
      <c r="Y111" s="607">
        <f>O111+P111+Q111+R111+S111+T111+U111+V111+W111</f>
        <v>11554.79215310449</v>
      </c>
      <c r="Z111" s="608">
        <f>N111+X111+Y111</f>
        <v>15203</v>
      </c>
    </row>
    <row r="112" spans="1:28" ht="36" customHeight="1" thickBot="1">
      <c r="A112" s="628" t="s">
        <v>680</v>
      </c>
      <c r="B112" s="609">
        <v>12</v>
      </c>
      <c r="C112" s="610">
        <v>393</v>
      </c>
      <c r="D112" s="610">
        <v>207</v>
      </c>
      <c r="E112" s="610">
        <v>8</v>
      </c>
      <c r="F112" s="610">
        <v>792</v>
      </c>
      <c r="G112" s="610">
        <v>1140</v>
      </c>
      <c r="H112" s="610">
        <v>0</v>
      </c>
      <c r="I112" s="610">
        <v>0</v>
      </c>
      <c r="J112" s="610">
        <v>165</v>
      </c>
      <c r="K112" s="610">
        <v>0</v>
      </c>
      <c r="L112" s="610">
        <v>398</v>
      </c>
      <c r="M112" s="610">
        <v>186</v>
      </c>
      <c r="N112" s="611">
        <f>B112+C112+D112+E112+F112+G112+J112+L112+M112</f>
        <v>3301</v>
      </c>
      <c r="O112" s="610">
        <v>814</v>
      </c>
      <c r="P112" s="610">
        <v>1788</v>
      </c>
      <c r="Q112" s="610">
        <v>469</v>
      </c>
      <c r="R112" s="610">
        <v>1610</v>
      </c>
      <c r="S112" s="610">
        <v>1163</v>
      </c>
      <c r="T112" s="610">
        <v>1147</v>
      </c>
      <c r="U112" s="610">
        <v>1891</v>
      </c>
      <c r="V112" s="610">
        <v>1986</v>
      </c>
      <c r="W112" s="610">
        <v>687</v>
      </c>
      <c r="X112" s="612">
        <v>347</v>
      </c>
      <c r="Y112" s="613">
        <f>O112+P112+Q112+R112+S112+T112+U112+V112+W112</f>
        <v>11555</v>
      </c>
      <c r="Z112" s="614">
        <f>N112+X112+Y112</f>
        <v>15203</v>
      </c>
      <c r="AB112" s="294"/>
    </row>
    <row r="113" spans="1:26" ht="15.75" thickBot="1">
      <c r="A113" s="601"/>
      <c r="B113" s="601"/>
      <c r="C113" s="601"/>
      <c r="D113" s="601"/>
      <c r="E113" s="601"/>
      <c r="F113" s="601"/>
      <c r="G113" s="601"/>
      <c r="H113" s="601"/>
      <c r="I113" s="601"/>
      <c r="J113" s="601"/>
      <c r="K113" s="601"/>
      <c r="L113" s="601"/>
      <c r="M113" s="601"/>
      <c r="N113" s="601"/>
      <c r="O113" s="601"/>
      <c r="P113" s="601"/>
      <c r="Q113" s="601"/>
      <c r="R113" s="601"/>
      <c r="S113" s="601"/>
      <c r="T113" s="601"/>
      <c r="U113" s="601"/>
      <c r="V113" s="601"/>
      <c r="W113" s="601"/>
      <c r="X113" s="601"/>
      <c r="Y113" s="601"/>
      <c r="Z113" s="452" t="s">
        <v>119</v>
      </c>
    </row>
    <row r="114" spans="1:28" ht="43.5" customHeight="1" thickBot="1">
      <c r="A114" s="628" t="s">
        <v>681</v>
      </c>
      <c r="B114" s="615">
        <f aca="true" t="shared" si="39" ref="B114:M114">B100+B112</f>
        <v>250</v>
      </c>
      <c r="C114" s="598">
        <f t="shared" si="39"/>
        <v>456</v>
      </c>
      <c r="D114" s="598">
        <f t="shared" si="39"/>
        <v>217</v>
      </c>
      <c r="E114" s="598">
        <f t="shared" si="39"/>
        <v>251</v>
      </c>
      <c r="F114" s="598">
        <f t="shared" si="39"/>
        <v>1058</v>
      </c>
      <c r="G114" s="598">
        <f t="shared" si="39"/>
        <v>1140</v>
      </c>
      <c r="H114" s="598">
        <f t="shared" si="39"/>
        <v>0</v>
      </c>
      <c r="I114" s="598">
        <f t="shared" si="39"/>
        <v>240</v>
      </c>
      <c r="J114" s="598">
        <f t="shared" si="39"/>
        <v>165</v>
      </c>
      <c r="K114" s="598">
        <f t="shared" si="39"/>
        <v>1486</v>
      </c>
      <c r="L114" s="598">
        <f t="shared" si="39"/>
        <v>725</v>
      </c>
      <c r="M114" s="598">
        <f t="shared" si="39"/>
        <v>186</v>
      </c>
      <c r="N114" s="616">
        <f>SUM(B114:M114)</f>
        <v>6174</v>
      </c>
      <c r="O114" s="598">
        <f aca="true" t="shared" si="40" ref="O114:X114">O100+O112</f>
        <v>877</v>
      </c>
      <c r="P114" s="598">
        <f t="shared" si="40"/>
        <v>1924</v>
      </c>
      <c r="Q114" s="598">
        <f t="shared" si="40"/>
        <v>610</v>
      </c>
      <c r="R114" s="598">
        <f t="shared" si="40"/>
        <v>1614</v>
      </c>
      <c r="S114" s="598">
        <f t="shared" si="40"/>
        <v>1778</v>
      </c>
      <c r="T114" s="598">
        <f t="shared" si="40"/>
        <v>1147</v>
      </c>
      <c r="U114" s="598">
        <f t="shared" si="40"/>
        <v>1891</v>
      </c>
      <c r="V114" s="598">
        <f t="shared" si="40"/>
        <v>3591</v>
      </c>
      <c r="W114" s="598">
        <f t="shared" si="40"/>
        <v>1047</v>
      </c>
      <c r="X114" s="598">
        <f t="shared" si="40"/>
        <v>347</v>
      </c>
      <c r="Y114" s="598">
        <f>O114+P114+Q114+R114+S114+T114+U114+V114+W114</f>
        <v>14479</v>
      </c>
      <c r="Z114" s="617">
        <f>N114+X114+Y114</f>
        <v>21000</v>
      </c>
      <c r="AB114" s="294"/>
    </row>
    <row r="115" spans="1:26" ht="15.75" thickBot="1">
      <c r="A115" s="601"/>
      <c r="B115" s="601"/>
      <c r="C115" s="601"/>
      <c r="D115" s="601"/>
      <c r="E115" s="601"/>
      <c r="F115" s="601"/>
      <c r="G115" s="601"/>
      <c r="H115" s="601"/>
      <c r="I115" s="601"/>
      <c r="J115" s="601"/>
      <c r="K115" s="601"/>
      <c r="L115" s="601"/>
      <c r="M115" s="601"/>
      <c r="N115" s="618"/>
      <c r="O115" s="601"/>
      <c r="P115" s="601"/>
      <c r="Q115" s="601"/>
      <c r="R115" s="601"/>
      <c r="S115" s="601"/>
      <c r="T115" s="601"/>
      <c r="U115" s="601"/>
      <c r="V115" s="601"/>
      <c r="W115" s="601"/>
      <c r="X115" s="601"/>
      <c r="Y115" s="601"/>
      <c r="Z115" s="452" t="s">
        <v>119</v>
      </c>
    </row>
    <row r="116" spans="1:26" ht="27.75" customHeight="1" thickBot="1">
      <c r="A116" s="634" t="s">
        <v>682</v>
      </c>
      <c r="B116" s="619">
        <f aca="true" t="shared" si="41" ref="B116:Z116">B97+B114</f>
        <v>-16</v>
      </c>
      <c r="C116" s="619">
        <f t="shared" si="41"/>
        <v>-496</v>
      </c>
      <c r="D116" s="619">
        <f t="shared" si="41"/>
        <v>-263</v>
      </c>
      <c r="E116" s="619">
        <f t="shared" si="41"/>
        <v>-10</v>
      </c>
      <c r="F116" s="619">
        <f t="shared" si="41"/>
        <v>-1001</v>
      </c>
      <c r="G116" s="619">
        <f t="shared" si="41"/>
        <v>-1443</v>
      </c>
      <c r="H116" s="619">
        <f t="shared" si="41"/>
        <v>0</v>
      </c>
      <c r="I116" s="619">
        <f t="shared" si="41"/>
        <v>0</v>
      </c>
      <c r="J116" s="619">
        <f t="shared" si="41"/>
        <v>-209</v>
      </c>
      <c r="K116" s="619">
        <f t="shared" si="41"/>
        <v>0</v>
      </c>
      <c r="L116" s="619">
        <f t="shared" si="41"/>
        <v>-503</v>
      </c>
      <c r="M116" s="619">
        <f t="shared" si="41"/>
        <v>-236</v>
      </c>
      <c r="N116" s="616">
        <f t="shared" si="41"/>
        <v>-4177</v>
      </c>
      <c r="O116" s="619">
        <f t="shared" si="41"/>
        <v>-1029</v>
      </c>
      <c r="P116" s="619">
        <f t="shared" si="41"/>
        <v>-2261</v>
      </c>
      <c r="Q116" s="619">
        <f t="shared" si="41"/>
        <v>-594</v>
      </c>
      <c r="R116" s="619">
        <f t="shared" si="41"/>
        <v>-2036</v>
      </c>
      <c r="S116" s="619">
        <f t="shared" si="41"/>
        <v>-1470</v>
      </c>
      <c r="T116" s="619">
        <f t="shared" si="41"/>
        <v>-1450</v>
      </c>
      <c r="U116" s="619">
        <f t="shared" si="41"/>
        <v>-2393</v>
      </c>
      <c r="V116" s="619">
        <f t="shared" si="41"/>
        <v>-2513</v>
      </c>
      <c r="W116" s="619">
        <f t="shared" si="41"/>
        <v>-870</v>
      </c>
      <c r="X116" s="619">
        <f t="shared" si="41"/>
        <v>-438</v>
      </c>
      <c r="Y116" s="619">
        <f t="shared" si="41"/>
        <v>-14616</v>
      </c>
      <c r="Z116" s="620">
        <f t="shared" si="41"/>
        <v>-19231</v>
      </c>
    </row>
    <row r="117" spans="1:26" ht="15.75" thickBot="1">
      <c r="A117" s="625"/>
      <c r="B117" s="601"/>
      <c r="C117" s="601"/>
      <c r="D117" s="601"/>
      <c r="E117" s="601"/>
      <c r="F117" s="601"/>
      <c r="G117" s="601"/>
      <c r="H117" s="601"/>
      <c r="I117" s="601"/>
      <c r="J117" s="601"/>
      <c r="K117" s="601"/>
      <c r="L117" s="601"/>
      <c r="M117" s="601"/>
      <c r="N117" s="601"/>
      <c r="O117" s="601"/>
      <c r="P117" s="601"/>
      <c r="Q117" s="601"/>
      <c r="R117" s="601"/>
      <c r="S117" s="601"/>
      <c r="T117" s="601"/>
      <c r="U117" s="601"/>
      <c r="V117" s="601"/>
      <c r="W117" s="601"/>
      <c r="X117" s="601"/>
      <c r="Y117" s="601"/>
      <c r="Z117" s="601"/>
    </row>
    <row r="118" spans="1:26" ht="24.75" customHeight="1">
      <c r="A118" s="696" t="s">
        <v>160</v>
      </c>
      <c r="B118" s="638">
        <f aca="true" t="shared" si="42" ref="B118:Y118">+B35+B116</f>
        <v>17137</v>
      </c>
      <c r="C118" s="594">
        <f t="shared" si="42"/>
        <v>25641</v>
      </c>
      <c r="D118" s="594">
        <f t="shared" si="42"/>
        <v>8558</v>
      </c>
      <c r="E118" s="594">
        <f t="shared" si="42"/>
        <v>14573</v>
      </c>
      <c r="F118" s="594">
        <f t="shared" si="42"/>
        <v>16508</v>
      </c>
      <c r="G118" s="594">
        <f t="shared" si="42"/>
        <v>39910</v>
      </c>
      <c r="H118" s="594">
        <f t="shared" si="42"/>
        <v>41725</v>
      </c>
      <c r="I118" s="594">
        <f t="shared" si="42"/>
        <v>42928</v>
      </c>
      <c r="J118" s="594">
        <f t="shared" si="42"/>
        <v>25231</v>
      </c>
      <c r="K118" s="594">
        <f t="shared" si="42"/>
        <v>23063</v>
      </c>
      <c r="L118" s="594">
        <f t="shared" si="42"/>
        <v>35087</v>
      </c>
      <c r="M118" s="594">
        <f t="shared" si="42"/>
        <v>37453</v>
      </c>
      <c r="N118" s="594">
        <f t="shared" si="42"/>
        <v>327814</v>
      </c>
      <c r="O118" s="594">
        <f t="shared" si="42"/>
        <v>23746</v>
      </c>
      <c r="P118" s="594">
        <f t="shared" si="42"/>
        <v>16684</v>
      </c>
      <c r="Q118" s="594">
        <f t="shared" si="42"/>
        <v>17952</v>
      </c>
      <c r="R118" s="594">
        <f t="shared" si="42"/>
        <v>18208</v>
      </c>
      <c r="S118" s="594">
        <f t="shared" si="42"/>
        <v>36477</v>
      </c>
      <c r="T118" s="594">
        <f t="shared" si="42"/>
        <v>18146</v>
      </c>
      <c r="U118" s="594">
        <f t="shared" si="42"/>
        <v>22832</v>
      </c>
      <c r="V118" s="594">
        <f t="shared" si="42"/>
        <v>61896</v>
      </c>
      <c r="W118" s="594">
        <f t="shared" si="42"/>
        <v>20051</v>
      </c>
      <c r="X118" s="594">
        <f t="shared" si="42"/>
        <v>7514</v>
      </c>
      <c r="Y118" s="594">
        <f t="shared" si="42"/>
        <v>235992</v>
      </c>
      <c r="Z118" s="621">
        <f>+Z35+Z116</f>
        <v>571320</v>
      </c>
    </row>
    <row r="119" spans="1:26" ht="29.25" customHeight="1" thickBot="1">
      <c r="A119" s="697" t="s">
        <v>161</v>
      </c>
      <c r="B119" s="695">
        <f aca="true" t="shared" si="43" ref="B119:Y119">+B118/B35</f>
        <v>0.9990672185623506</v>
      </c>
      <c r="C119" s="693">
        <f t="shared" si="43"/>
        <v>0.9810230707426254</v>
      </c>
      <c r="D119" s="693">
        <f t="shared" si="43"/>
        <v>0.9701847863054075</v>
      </c>
      <c r="E119" s="693">
        <f t="shared" si="43"/>
        <v>0.999314270040458</v>
      </c>
      <c r="F119" s="693">
        <f t="shared" si="43"/>
        <v>0.9428294020218173</v>
      </c>
      <c r="G119" s="693">
        <f t="shared" si="43"/>
        <v>0.9651053127947187</v>
      </c>
      <c r="H119" s="693">
        <f t="shared" si="43"/>
        <v>1</v>
      </c>
      <c r="I119" s="693">
        <f t="shared" si="43"/>
        <v>1</v>
      </c>
      <c r="J119" s="693">
        <f t="shared" si="43"/>
        <v>0.9917845911949685</v>
      </c>
      <c r="K119" s="693">
        <f t="shared" si="43"/>
        <v>1</v>
      </c>
      <c r="L119" s="693">
        <f t="shared" si="43"/>
        <v>0.9858668165214948</v>
      </c>
      <c r="M119" s="693">
        <f t="shared" si="43"/>
        <v>0.9937382260075884</v>
      </c>
      <c r="N119" s="693">
        <f t="shared" si="43"/>
        <v>0.9874183336295261</v>
      </c>
      <c r="O119" s="693">
        <f t="shared" si="43"/>
        <v>0.9584661957618568</v>
      </c>
      <c r="P119" s="693">
        <f t="shared" si="43"/>
        <v>0.880654526260227</v>
      </c>
      <c r="Q119" s="693">
        <f t="shared" si="43"/>
        <v>0.9679715302491103</v>
      </c>
      <c r="R119" s="693">
        <f t="shared" si="43"/>
        <v>0.8994269907132978</v>
      </c>
      <c r="S119" s="693">
        <f t="shared" si="43"/>
        <v>0.961261759822911</v>
      </c>
      <c r="T119" s="693">
        <f t="shared" si="43"/>
        <v>0.9260053072055522</v>
      </c>
      <c r="U119" s="693">
        <f t="shared" si="43"/>
        <v>0.9051337958374628</v>
      </c>
      <c r="V119" s="693">
        <f t="shared" si="43"/>
        <v>0.960983713456194</v>
      </c>
      <c r="W119" s="693">
        <f t="shared" si="43"/>
        <v>0.9584149897232446</v>
      </c>
      <c r="X119" s="693">
        <f t="shared" si="43"/>
        <v>0.9449195171026157</v>
      </c>
      <c r="Y119" s="693">
        <f t="shared" si="43"/>
        <v>0.9416778394943497</v>
      </c>
      <c r="Z119" s="694">
        <f>+Z118/Z35</f>
        <v>0.967435496680219</v>
      </c>
    </row>
    <row r="120" ht="15">
      <c r="A120" s="625"/>
    </row>
    <row r="121" ht="15">
      <c r="A121" s="625"/>
    </row>
    <row r="122" ht="15">
      <c r="A122" s="625"/>
    </row>
    <row r="123" ht="15">
      <c r="A123" s="625"/>
    </row>
    <row r="124" ht="15">
      <c r="A124" s="625"/>
    </row>
    <row r="125" ht="15">
      <c r="A125" s="625"/>
    </row>
    <row r="126" ht="15">
      <c r="A126" s="625"/>
    </row>
    <row r="127" ht="15">
      <c r="A127" s="625"/>
    </row>
    <row r="128" ht="15">
      <c r="A128" s="625"/>
    </row>
    <row r="129" ht="15">
      <c r="A129" s="625"/>
    </row>
    <row r="130" ht="15">
      <c r="A130" s="625"/>
    </row>
    <row r="131" ht="15">
      <c r="A131" s="625"/>
    </row>
    <row r="132" ht="15">
      <c r="A132" s="625"/>
    </row>
    <row r="133" ht="15">
      <c r="A133" s="625"/>
    </row>
    <row r="134" ht="15">
      <c r="A134" s="625"/>
    </row>
    <row r="135" ht="15">
      <c r="A135" s="625"/>
    </row>
    <row r="136" ht="15">
      <c r="A136" s="625"/>
    </row>
    <row r="137" ht="15">
      <c r="A137" s="625"/>
    </row>
    <row r="138" ht="15">
      <c r="A138" s="625"/>
    </row>
    <row r="139" ht="15">
      <c r="A139" s="625"/>
    </row>
  </sheetData>
  <mergeCells count="2">
    <mergeCell ref="B45:X45"/>
    <mergeCell ref="B101:C101"/>
  </mergeCells>
  <printOptions/>
  <pageMargins left="0.75" right="0.75" top="1" bottom="1" header="0.4921259845" footer="0.4921259845"/>
  <pageSetup fitToHeight="2" horizontalDpi="600" verticalDpi="600" orientation="landscape" paperSize="9" scale="42" r:id="rId1"/>
  <headerFooter alignWithMargins="0">
    <oddHeader>&amp;R&amp;"Arial CE,tučné"&amp;11RK-11-2008-43, př. 1
počet stran: 49&amp;"Arial CE,obyčejné"&amp;10
</oddHeader>
    <oddFooter>&amp;C&amp;P</oddFooter>
  </headerFooter>
  <rowBreaks count="2" manualBreakCount="2">
    <brk id="42" max="255" man="1"/>
    <brk id="8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5"/>
  <sheetViews>
    <sheetView view="pageBreakPreview" zoomScaleNormal="90" zoomScaleSheetLayoutView="100" workbookViewId="0" topLeftCell="A1">
      <selection activeCell="J17" sqref="J17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875"/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307</v>
      </c>
    </row>
    <row r="3" spans="1:14" ht="24" customHeight="1" thickBot="1">
      <c r="A3" s="876" t="s">
        <v>165</v>
      </c>
      <c r="B3" s="792" t="s">
        <v>408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4" ht="14.25" thickBot="1" thickTop="1">
      <c r="A4" s="876"/>
      <c r="B4" s="790" t="s">
        <v>308</v>
      </c>
      <c r="C4" s="790"/>
      <c r="D4" s="790"/>
      <c r="E4" s="790" t="s">
        <v>417</v>
      </c>
      <c r="F4" s="790"/>
      <c r="G4" s="790"/>
      <c r="H4" s="793" t="s">
        <v>309</v>
      </c>
      <c r="I4" s="793"/>
      <c r="J4" s="790" t="s">
        <v>418</v>
      </c>
      <c r="K4" s="790"/>
      <c r="L4" s="790"/>
      <c r="M4" s="790" t="s">
        <v>419</v>
      </c>
      <c r="N4" s="790"/>
    </row>
    <row r="5" spans="1:14" ht="14.25" thickBot="1" thickTop="1">
      <c r="A5" s="876"/>
      <c r="B5" s="66" t="s">
        <v>166</v>
      </c>
      <c r="C5" s="67" t="s">
        <v>167</v>
      </c>
      <c r="D5" s="68" t="s">
        <v>168</v>
      </c>
      <c r="E5" s="66" t="s">
        <v>166</v>
      </c>
      <c r="F5" s="67" t="s">
        <v>167</v>
      </c>
      <c r="G5" s="68" t="s">
        <v>168</v>
      </c>
      <c r="H5" s="69" t="s">
        <v>168</v>
      </c>
      <c r="I5" s="69" t="s">
        <v>169</v>
      </c>
      <c r="J5" s="70" t="s">
        <v>166</v>
      </c>
      <c r="K5" s="67" t="s">
        <v>167</v>
      </c>
      <c r="L5" s="68" t="s">
        <v>168</v>
      </c>
      <c r="M5" s="69" t="s">
        <v>168</v>
      </c>
      <c r="N5" s="68" t="s">
        <v>169</v>
      </c>
    </row>
    <row r="6" spans="1:14" ht="14.25" thickBot="1" thickTop="1">
      <c r="A6" s="791"/>
      <c r="B6" s="183" t="s">
        <v>170</v>
      </c>
      <c r="C6" s="184" t="s">
        <v>170</v>
      </c>
      <c r="D6" s="185"/>
      <c r="E6" s="183" t="s">
        <v>170</v>
      </c>
      <c r="F6" s="184" t="s">
        <v>170</v>
      </c>
      <c r="G6" s="185"/>
      <c r="H6" s="189" t="s">
        <v>171</v>
      </c>
      <c r="I6" s="189" t="s">
        <v>172</v>
      </c>
      <c r="J6" s="197" t="s">
        <v>170</v>
      </c>
      <c r="K6" s="184" t="s">
        <v>170</v>
      </c>
      <c r="L6" s="185"/>
      <c r="M6" s="189" t="s">
        <v>171</v>
      </c>
      <c r="N6" s="185" t="s">
        <v>172</v>
      </c>
    </row>
    <row r="7" spans="1:14" ht="13.5" customHeight="1">
      <c r="A7" s="274" t="s">
        <v>173</v>
      </c>
      <c r="B7" s="163"/>
      <c r="C7" s="164"/>
      <c r="D7" s="167">
        <f aca="true" t="shared" si="0" ref="D7:D18">SUM(B7:C7)</f>
        <v>0</v>
      </c>
      <c r="E7" s="163"/>
      <c r="F7" s="164"/>
      <c r="G7" s="167">
        <f aca="true" t="shared" si="1" ref="G7:G18">SUM(E7:F7)</f>
        <v>0</v>
      </c>
      <c r="H7" s="191">
        <f aca="true" t="shared" si="2" ref="H7:H38">+G7-D7</f>
        <v>0</v>
      </c>
      <c r="I7" s="195"/>
      <c r="J7" s="163"/>
      <c r="K7" s="164"/>
      <c r="L7" s="167">
        <f aca="true" t="shared" si="3" ref="L7:L18">SUM(J7:K7)</f>
        <v>0</v>
      </c>
      <c r="M7" s="191">
        <f aca="true" t="shared" si="4" ref="M7:M38">+L7-G7</f>
        <v>0</v>
      </c>
      <c r="N7" s="192"/>
    </row>
    <row r="8" spans="1:14" ht="13.5" customHeight="1">
      <c r="A8" s="275" t="s">
        <v>174</v>
      </c>
      <c r="B8" s="14">
        <v>5193</v>
      </c>
      <c r="C8" s="13"/>
      <c r="D8" s="168">
        <f t="shared" si="0"/>
        <v>5193</v>
      </c>
      <c r="E8" s="14">
        <v>9905</v>
      </c>
      <c r="F8" s="13"/>
      <c r="G8" s="168">
        <f t="shared" si="1"/>
        <v>9905</v>
      </c>
      <c r="H8" s="193">
        <f t="shared" si="2"/>
        <v>4712</v>
      </c>
      <c r="I8" s="196">
        <f aca="true" t="shared" si="5" ref="I8:I22">+G8/D8</f>
        <v>1.90737531292124</v>
      </c>
      <c r="J8" s="14">
        <v>10405</v>
      </c>
      <c r="K8" s="13" t="s">
        <v>258</v>
      </c>
      <c r="L8" s="168">
        <f t="shared" si="3"/>
        <v>10405</v>
      </c>
      <c r="M8" s="193">
        <f t="shared" si="4"/>
        <v>500</v>
      </c>
      <c r="N8" s="194">
        <f aca="true" t="shared" si="6" ref="N8:N22">+L8/G8</f>
        <v>1.0504795557799091</v>
      </c>
    </row>
    <row r="9" spans="1:14" ht="13.5" customHeight="1">
      <c r="A9" s="275" t="s">
        <v>175</v>
      </c>
      <c r="B9" s="14"/>
      <c r="C9" s="13"/>
      <c r="D9" s="168">
        <f t="shared" si="0"/>
        <v>0</v>
      </c>
      <c r="E9" s="14"/>
      <c r="F9" s="13"/>
      <c r="G9" s="168">
        <f t="shared" si="1"/>
        <v>0</v>
      </c>
      <c r="H9" s="193">
        <f t="shared" si="2"/>
        <v>0</v>
      </c>
      <c r="I9" s="196"/>
      <c r="J9" s="14">
        <v>0</v>
      </c>
      <c r="K9" s="13"/>
      <c r="L9" s="168">
        <f t="shared" si="3"/>
        <v>0</v>
      </c>
      <c r="M9" s="193">
        <f t="shared" si="4"/>
        <v>0</v>
      </c>
      <c r="N9" s="194"/>
    </row>
    <row r="10" spans="1:14" ht="13.5" customHeight="1">
      <c r="A10" s="275" t="s">
        <v>176</v>
      </c>
      <c r="B10" s="14"/>
      <c r="C10" s="13"/>
      <c r="D10" s="168">
        <f t="shared" si="0"/>
        <v>0</v>
      </c>
      <c r="E10" s="14"/>
      <c r="F10" s="13"/>
      <c r="G10" s="168">
        <f t="shared" si="1"/>
        <v>0</v>
      </c>
      <c r="H10" s="193">
        <f t="shared" si="2"/>
        <v>0</v>
      </c>
      <c r="I10" s="196"/>
      <c r="J10" s="14">
        <v>0</v>
      </c>
      <c r="K10" s="13"/>
      <c r="L10" s="168">
        <f t="shared" si="3"/>
        <v>0</v>
      </c>
      <c r="M10" s="193">
        <f t="shared" si="4"/>
        <v>0</v>
      </c>
      <c r="N10" s="194"/>
    </row>
    <row r="11" spans="1:14" ht="13.5" customHeight="1">
      <c r="A11" s="275" t="s">
        <v>177</v>
      </c>
      <c r="B11" s="14">
        <v>15</v>
      </c>
      <c r="C11" s="13"/>
      <c r="D11" s="168">
        <f t="shared" si="0"/>
        <v>15</v>
      </c>
      <c r="E11" s="14">
        <v>69</v>
      </c>
      <c r="F11" s="13"/>
      <c r="G11" s="168">
        <f t="shared" si="1"/>
        <v>69</v>
      </c>
      <c r="H11" s="193">
        <f t="shared" si="2"/>
        <v>54</v>
      </c>
      <c r="I11" s="196">
        <f t="shared" si="5"/>
        <v>4.6</v>
      </c>
      <c r="J11" s="14">
        <v>15</v>
      </c>
      <c r="K11" s="13" t="s">
        <v>258</v>
      </c>
      <c r="L11" s="168">
        <f t="shared" si="3"/>
        <v>15</v>
      </c>
      <c r="M11" s="193">
        <f t="shared" si="4"/>
        <v>-54</v>
      </c>
      <c r="N11" s="194">
        <f t="shared" si="6"/>
        <v>0.21739130434782608</v>
      </c>
    </row>
    <row r="12" spans="1:14" ht="13.5" customHeight="1">
      <c r="A12" s="276" t="s">
        <v>178</v>
      </c>
      <c r="B12" s="14"/>
      <c r="C12" s="13"/>
      <c r="D12" s="168">
        <f t="shared" si="0"/>
        <v>0</v>
      </c>
      <c r="E12" s="14"/>
      <c r="F12" s="13"/>
      <c r="G12" s="168">
        <f t="shared" si="1"/>
        <v>0</v>
      </c>
      <c r="H12" s="193">
        <f t="shared" si="2"/>
        <v>0</v>
      </c>
      <c r="I12" s="196"/>
      <c r="J12" s="14">
        <v>0</v>
      </c>
      <c r="K12" s="13"/>
      <c r="L12" s="168">
        <f t="shared" si="3"/>
        <v>0</v>
      </c>
      <c r="M12" s="193">
        <f t="shared" si="4"/>
        <v>0</v>
      </c>
      <c r="N12" s="194"/>
    </row>
    <row r="13" spans="1:14" ht="13.5" customHeight="1">
      <c r="A13" s="276" t="s">
        <v>179</v>
      </c>
      <c r="B13" s="14"/>
      <c r="C13" s="13"/>
      <c r="D13" s="168">
        <f t="shared" si="0"/>
        <v>0</v>
      </c>
      <c r="E13" s="14"/>
      <c r="F13" s="13"/>
      <c r="G13" s="168">
        <f t="shared" si="1"/>
        <v>0</v>
      </c>
      <c r="H13" s="193">
        <f t="shared" si="2"/>
        <v>0</v>
      </c>
      <c r="I13" s="196"/>
      <c r="J13" s="14">
        <v>0</v>
      </c>
      <c r="K13" s="13"/>
      <c r="L13" s="168">
        <f t="shared" si="3"/>
        <v>0</v>
      </c>
      <c r="M13" s="193">
        <f t="shared" si="4"/>
        <v>0</v>
      </c>
      <c r="N13" s="194"/>
    </row>
    <row r="14" spans="1:14" ht="23.25" customHeight="1">
      <c r="A14" s="276" t="s">
        <v>180</v>
      </c>
      <c r="B14" s="14"/>
      <c r="C14" s="13"/>
      <c r="D14" s="168">
        <f t="shared" si="0"/>
        <v>0</v>
      </c>
      <c r="E14" s="14"/>
      <c r="F14" s="13"/>
      <c r="G14" s="168">
        <f t="shared" si="1"/>
        <v>0</v>
      </c>
      <c r="H14" s="193">
        <f t="shared" si="2"/>
        <v>0</v>
      </c>
      <c r="I14" s="196"/>
      <c r="J14" s="14">
        <v>0</v>
      </c>
      <c r="K14" s="13"/>
      <c r="L14" s="168">
        <f t="shared" si="3"/>
        <v>0</v>
      </c>
      <c r="M14" s="193">
        <f t="shared" si="4"/>
        <v>0</v>
      </c>
      <c r="N14" s="194"/>
    </row>
    <row r="15" spans="1:14" ht="13.5" customHeight="1">
      <c r="A15" s="275" t="s">
        <v>181</v>
      </c>
      <c r="B15" s="14">
        <v>11321</v>
      </c>
      <c r="C15" s="13"/>
      <c r="D15" s="168">
        <f t="shared" si="0"/>
        <v>11321</v>
      </c>
      <c r="E15" s="14">
        <v>10157</v>
      </c>
      <c r="F15" s="13"/>
      <c r="G15" s="168">
        <f t="shared" si="1"/>
        <v>10157</v>
      </c>
      <c r="H15" s="193">
        <f t="shared" si="2"/>
        <v>-1164</v>
      </c>
      <c r="I15" s="196">
        <f t="shared" si="5"/>
        <v>0.8971822277183994</v>
      </c>
      <c r="J15" s="15">
        <f>SUM(J16:J18)</f>
        <v>6922</v>
      </c>
      <c r="K15" s="279" t="s">
        <v>258</v>
      </c>
      <c r="L15" s="168">
        <f t="shared" si="3"/>
        <v>6922</v>
      </c>
      <c r="M15" s="193">
        <f t="shared" si="4"/>
        <v>-3235</v>
      </c>
      <c r="N15" s="194">
        <f t="shared" si="6"/>
        <v>0.681500443044206</v>
      </c>
    </row>
    <row r="16" spans="1:14" ht="13.5" customHeight="1">
      <c r="A16" s="277" t="s">
        <v>310</v>
      </c>
      <c r="B16" s="14">
        <v>11321</v>
      </c>
      <c r="C16" s="13"/>
      <c r="D16" s="168">
        <f t="shared" si="0"/>
        <v>11321</v>
      </c>
      <c r="E16" s="14">
        <v>2398</v>
      </c>
      <c r="F16" s="13"/>
      <c r="G16" s="168">
        <f t="shared" si="1"/>
        <v>2398</v>
      </c>
      <c r="H16" s="193">
        <f t="shared" si="2"/>
        <v>-8923</v>
      </c>
      <c r="I16" s="196">
        <f t="shared" si="5"/>
        <v>0.21181874392721492</v>
      </c>
      <c r="J16" s="15">
        <f>379</f>
        <v>379</v>
      </c>
      <c r="K16" s="13" t="s">
        <v>258</v>
      </c>
      <c r="L16" s="168">
        <f t="shared" si="3"/>
        <v>379</v>
      </c>
      <c r="M16" s="193">
        <f t="shared" si="4"/>
        <v>-2019</v>
      </c>
      <c r="N16" s="194">
        <f t="shared" si="6"/>
        <v>0.15804837364470392</v>
      </c>
    </row>
    <row r="17" spans="1:14" ht="13.5" customHeight="1">
      <c r="A17" s="277" t="s">
        <v>311</v>
      </c>
      <c r="B17" s="14"/>
      <c r="C17" s="13"/>
      <c r="D17" s="168">
        <f t="shared" si="0"/>
        <v>0</v>
      </c>
      <c r="E17" s="14">
        <v>7759</v>
      </c>
      <c r="F17" s="13"/>
      <c r="G17" s="168">
        <f t="shared" si="1"/>
        <v>7759</v>
      </c>
      <c r="H17" s="193">
        <f t="shared" si="2"/>
        <v>7759</v>
      </c>
      <c r="I17" s="196"/>
      <c r="J17" s="15">
        <v>6543</v>
      </c>
      <c r="K17" s="13" t="s">
        <v>258</v>
      </c>
      <c r="L17" s="168">
        <f t="shared" si="3"/>
        <v>6543</v>
      </c>
      <c r="M17" s="193">
        <f t="shared" si="4"/>
        <v>-1216</v>
      </c>
      <c r="N17" s="194">
        <f t="shared" si="6"/>
        <v>0.8432787730377626</v>
      </c>
    </row>
    <row r="18" spans="1:14" ht="13.5" customHeight="1" thickBot="1">
      <c r="A18" s="278" t="s">
        <v>416</v>
      </c>
      <c r="B18" s="165"/>
      <c r="C18" s="166"/>
      <c r="D18" s="168">
        <f t="shared" si="0"/>
        <v>0</v>
      </c>
      <c r="E18" s="165"/>
      <c r="F18" s="166"/>
      <c r="G18" s="168">
        <f t="shared" si="1"/>
        <v>0</v>
      </c>
      <c r="H18" s="271"/>
      <c r="I18" s="273"/>
      <c r="J18" s="169">
        <v>0</v>
      </c>
      <c r="K18" s="166"/>
      <c r="L18" s="168">
        <f t="shared" si="3"/>
        <v>0</v>
      </c>
      <c r="M18" s="271"/>
      <c r="N18" s="272"/>
    </row>
    <row r="19" spans="1:14" ht="13.5" customHeight="1" thickBot="1">
      <c r="A19" s="182" t="s">
        <v>182</v>
      </c>
      <c r="B19" s="186">
        <f aca="true" t="shared" si="7" ref="B19:G19">SUM(B7+B8+B9+B10+B11+B13+B15)</f>
        <v>16529</v>
      </c>
      <c r="C19" s="187">
        <f t="shared" si="7"/>
        <v>0</v>
      </c>
      <c r="D19" s="188">
        <f t="shared" si="7"/>
        <v>16529</v>
      </c>
      <c r="E19" s="186">
        <f t="shared" si="7"/>
        <v>20131</v>
      </c>
      <c r="F19" s="187">
        <f t="shared" si="7"/>
        <v>0</v>
      </c>
      <c r="G19" s="188">
        <f t="shared" si="7"/>
        <v>20131</v>
      </c>
      <c r="H19" s="190">
        <f t="shared" si="2"/>
        <v>3602</v>
      </c>
      <c r="I19" s="108">
        <f t="shared" si="5"/>
        <v>1.217920019359913</v>
      </c>
      <c r="J19" s="198">
        <f>SUM(J7+J8+J9+J10+J11+J13+J15)</f>
        <v>17342</v>
      </c>
      <c r="K19" s="187" t="s">
        <v>258</v>
      </c>
      <c r="L19" s="188">
        <f>SUM(L7+L8+L9+L10+L11+L13+L15)</f>
        <v>17342</v>
      </c>
      <c r="M19" s="190">
        <f t="shared" si="4"/>
        <v>-2789</v>
      </c>
      <c r="N19" s="199">
        <f t="shared" si="6"/>
        <v>0.8614574536784064</v>
      </c>
    </row>
    <row r="20" spans="1:14" ht="13.5" customHeight="1">
      <c r="A20" s="96" t="s">
        <v>183</v>
      </c>
      <c r="B20" s="71">
        <v>2247</v>
      </c>
      <c r="C20" s="72"/>
      <c r="D20" s="73">
        <f aca="true" t="shared" si="8" ref="D20:D37">SUM(B20:C20)</f>
        <v>2247</v>
      </c>
      <c r="E20" s="71">
        <v>2705</v>
      </c>
      <c r="F20" s="72"/>
      <c r="G20" s="97">
        <f aca="true" t="shared" si="9" ref="G20:G37">SUM(E20:F20)</f>
        <v>2705</v>
      </c>
      <c r="H20" s="98">
        <f t="shared" si="2"/>
        <v>458</v>
      </c>
      <c r="I20" s="99">
        <f t="shared" si="5"/>
        <v>1.2038273253226524</v>
      </c>
      <c r="J20" s="76">
        <v>3140</v>
      </c>
      <c r="K20" s="72">
        <v>0</v>
      </c>
      <c r="L20" s="100">
        <f aca="true" t="shared" si="10" ref="L20:L37">SUM(J20:K20)</f>
        <v>3140</v>
      </c>
      <c r="M20" s="98">
        <f t="shared" si="4"/>
        <v>435</v>
      </c>
      <c r="N20" s="101">
        <f t="shared" si="6"/>
        <v>1.1608133086876156</v>
      </c>
    </row>
    <row r="21" spans="1:14" ht="21" customHeight="1">
      <c r="A21" s="82" t="s">
        <v>184</v>
      </c>
      <c r="B21" s="71">
        <v>330</v>
      </c>
      <c r="C21" s="72"/>
      <c r="D21" s="73">
        <f t="shared" si="8"/>
        <v>330</v>
      </c>
      <c r="E21" s="71">
        <v>303</v>
      </c>
      <c r="F21" s="72"/>
      <c r="G21" s="97">
        <f t="shared" si="9"/>
        <v>303</v>
      </c>
      <c r="H21" s="74">
        <f t="shared" si="2"/>
        <v>-27</v>
      </c>
      <c r="I21" s="75">
        <f t="shared" si="5"/>
        <v>0.9181818181818182</v>
      </c>
      <c r="J21" s="76">
        <v>300</v>
      </c>
      <c r="K21" s="72">
        <v>0</v>
      </c>
      <c r="L21" s="100">
        <f t="shared" si="10"/>
        <v>300</v>
      </c>
      <c r="M21" s="74">
        <f t="shared" si="4"/>
        <v>-3</v>
      </c>
      <c r="N21" s="77">
        <f t="shared" si="6"/>
        <v>0.9900990099009901</v>
      </c>
    </row>
    <row r="22" spans="1:14" ht="13.5" customHeight="1">
      <c r="A22" s="78" t="s">
        <v>185</v>
      </c>
      <c r="B22" s="79">
        <v>1005</v>
      </c>
      <c r="C22" s="80"/>
      <c r="D22" s="73">
        <f t="shared" si="8"/>
        <v>1005</v>
      </c>
      <c r="E22" s="79">
        <v>1147</v>
      </c>
      <c r="F22" s="80"/>
      <c r="G22" s="97">
        <f t="shared" si="9"/>
        <v>1147</v>
      </c>
      <c r="H22" s="74">
        <f t="shared" si="2"/>
        <v>142</v>
      </c>
      <c r="I22" s="75">
        <f t="shared" si="5"/>
        <v>1.1412935323383084</v>
      </c>
      <c r="J22" s="81">
        <v>1370</v>
      </c>
      <c r="K22" s="80">
        <v>0</v>
      </c>
      <c r="L22" s="100">
        <f t="shared" si="10"/>
        <v>1370</v>
      </c>
      <c r="M22" s="74">
        <f t="shared" si="4"/>
        <v>223</v>
      </c>
      <c r="N22" s="77">
        <f t="shared" si="6"/>
        <v>1.1944202266782913</v>
      </c>
    </row>
    <row r="23" spans="1:14" ht="13.5" customHeight="1">
      <c r="A23" s="82" t="s">
        <v>186</v>
      </c>
      <c r="B23" s="79"/>
      <c r="C23" s="80"/>
      <c r="D23" s="73">
        <f t="shared" si="8"/>
        <v>0</v>
      </c>
      <c r="E23" s="79"/>
      <c r="F23" s="80"/>
      <c r="G23" s="97">
        <f t="shared" si="9"/>
        <v>0</v>
      </c>
      <c r="H23" s="74">
        <f t="shared" si="2"/>
        <v>0</v>
      </c>
      <c r="I23" s="75"/>
      <c r="J23" s="81">
        <v>0</v>
      </c>
      <c r="K23" s="80"/>
      <c r="L23" s="100">
        <f t="shared" si="10"/>
        <v>0</v>
      </c>
      <c r="M23" s="74">
        <f t="shared" si="4"/>
        <v>0</v>
      </c>
      <c r="N23" s="77"/>
    </row>
    <row r="24" spans="1:14" ht="13.5" customHeight="1">
      <c r="A24" s="78" t="s">
        <v>298</v>
      </c>
      <c r="B24" s="79">
        <v>10</v>
      </c>
      <c r="C24" s="80"/>
      <c r="D24" s="73">
        <f t="shared" si="8"/>
        <v>10</v>
      </c>
      <c r="E24" s="79">
        <v>29</v>
      </c>
      <c r="F24" s="80"/>
      <c r="G24" s="97">
        <f t="shared" si="9"/>
        <v>29</v>
      </c>
      <c r="H24" s="74">
        <f t="shared" si="2"/>
        <v>19</v>
      </c>
      <c r="I24" s="75">
        <f aca="true" t="shared" si="11" ref="I24:I38">+G24/D24</f>
        <v>2.9</v>
      </c>
      <c r="J24" s="81">
        <v>25</v>
      </c>
      <c r="K24" s="80"/>
      <c r="L24" s="100">
        <f t="shared" si="10"/>
        <v>25</v>
      </c>
      <c r="M24" s="74">
        <f t="shared" si="4"/>
        <v>-4</v>
      </c>
      <c r="N24" s="77">
        <f aca="true" t="shared" si="12" ref="N24:N38">+L24/G24</f>
        <v>0.8620689655172413</v>
      </c>
    </row>
    <row r="25" spans="1:14" ht="13.5" customHeight="1">
      <c r="A25" s="78" t="s">
        <v>187</v>
      </c>
      <c r="B25" s="81">
        <v>866</v>
      </c>
      <c r="C25" s="80"/>
      <c r="D25" s="73">
        <f t="shared" si="8"/>
        <v>866</v>
      </c>
      <c r="E25" s="81">
        <v>2776</v>
      </c>
      <c r="F25" s="80"/>
      <c r="G25" s="97">
        <f t="shared" si="9"/>
        <v>2776</v>
      </c>
      <c r="H25" s="74">
        <f t="shared" si="2"/>
        <v>1910</v>
      </c>
      <c r="I25" s="75">
        <f t="shared" si="11"/>
        <v>3.2055427251732103</v>
      </c>
      <c r="J25" s="81">
        <f>J26+J27</f>
        <v>849</v>
      </c>
      <c r="K25" s="80"/>
      <c r="L25" s="100">
        <f t="shared" si="10"/>
        <v>849</v>
      </c>
      <c r="M25" s="74">
        <f t="shared" si="4"/>
        <v>-1927</v>
      </c>
      <c r="N25" s="77">
        <f t="shared" si="12"/>
        <v>0.305835734870317</v>
      </c>
    </row>
    <row r="26" spans="1:14" ht="13.5" customHeight="1">
      <c r="A26" s="82" t="s">
        <v>188</v>
      </c>
      <c r="B26" s="79">
        <v>423</v>
      </c>
      <c r="C26" s="80"/>
      <c r="D26" s="73">
        <f t="shared" si="8"/>
        <v>423</v>
      </c>
      <c r="E26" s="79">
        <v>2223</v>
      </c>
      <c r="F26" s="80"/>
      <c r="G26" s="97">
        <f t="shared" si="9"/>
        <v>2223</v>
      </c>
      <c r="H26" s="74">
        <f t="shared" si="2"/>
        <v>1800</v>
      </c>
      <c r="I26" s="75">
        <f t="shared" si="11"/>
        <v>5.25531914893617</v>
      </c>
      <c r="J26" s="102">
        <v>220</v>
      </c>
      <c r="K26" s="80"/>
      <c r="L26" s="100">
        <f t="shared" si="10"/>
        <v>220</v>
      </c>
      <c r="M26" s="74">
        <f t="shared" si="4"/>
        <v>-2003</v>
      </c>
      <c r="N26" s="77">
        <f t="shared" si="12"/>
        <v>0.09896536212325686</v>
      </c>
    </row>
    <row r="27" spans="1:14" ht="13.5" customHeight="1">
      <c r="A27" s="78" t="s">
        <v>189</v>
      </c>
      <c r="B27" s="79">
        <v>426</v>
      </c>
      <c r="C27" s="80"/>
      <c r="D27" s="73">
        <f t="shared" si="8"/>
        <v>426</v>
      </c>
      <c r="E27" s="79">
        <v>547</v>
      </c>
      <c r="F27" s="80"/>
      <c r="G27" s="97">
        <f t="shared" si="9"/>
        <v>547</v>
      </c>
      <c r="H27" s="74">
        <f t="shared" si="2"/>
        <v>121</v>
      </c>
      <c r="I27" s="75">
        <f t="shared" si="11"/>
        <v>1.284037558685446</v>
      </c>
      <c r="J27" s="102">
        <v>629</v>
      </c>
      <c r="K27" s="80"/>
      <c r="L27" s="100">
        <f t="shared" si="10"/>
        <v>629</v>
      </c>
      <c r="M27" s="74">
        <f t="shared" si="4"/>
        <v>82</v>
      </c>
      <c r="N27" s="77">
        <f t="shared" si="12"/>
        <v>1.1499085923217551</v>
      </c>
    </row>
    <row r="28" spans="1:14" ht="13.5" customHeight="1">
      <c r="A28" s="103" t="s">
        <v>190</v>
      </c>
      <c r="B28" s="81">
        <v>11795</v>
      </c>
      <c r="C28" s="80"/>
      <c r="D28" s="73">
        <f t="shared" si="8"/>
        <v>11795</v>
      </c>
      <c r="E28" s="81">
        <v>12759</v>
      </c>
      <c r="F28" s="80"/>
      <c r="G28" s="97">
        <f t="shared" si="9"/>
        <v>12759</v>
      </c>
      <c r="H28" s="74">
        <f t="shared" si="2"/>
        <v>964</v>
      </c>
      <c r="I28" s="75">
        <f t="shared" si="11"/>
        <v>1.0817295464179737</v>
      </c>
      <c r="J28" s="81">
        <v>12522</v>
      </c>
      <c r="K28" s="80"/>
      <c r="L28" s="100">
        <f t="shared" si="10"/>
        <v>12522</v>
      </c>
      <c r="M28" s="74">
        <f t="shared" si="4"/>
        <v>-237</v>
      </c>
      <c r="N28" s="77">
        <f t="shared" si="12"/>
        <v>0.9814248765577239</v>
      </c>
    </row>
    <row r="29" spans="1:14" ht="13.5" customHeight="1">
      <c r="A29" s="82" t="s">
        <v>191</v>
      </c>
      <c r="B29" s="79">
        <v>8617</v>
      </c>
      <c r="C29" s="80"/>
      <c r="D29" s="73">
        <f t="shared" si="8"/>
        <v>8617</v>
      </c>
      <c r="E29" s="79">
        <v>9318</v>
      </c>
      <c r="F29" s="80"/>
      <c r="G29" s="97">
        <f t="shared" si="9"/>
        <v>9318</v>
      </c>
      <c r="H29" s="74">
        <f t="shared" si="2"/>
        <v>701</v>
      </c>
      <c r="I29" s="75">
        <f t="shared" si="11"/>
        <v>1.0813508181501683</v>
      </c>
      <c r="J29" s="102">
        <v>9268</v>
      </c>
      <c r="K29" s="104"/>
      <c r="L29" s="100">
        <f t="shared" si="10"/>
        <v>9268</v>
      </c>
      <c r="M29" s="74">
        <f t="shared" si="4"/>
        <v>-50</v>
      </c>
      <c r="N29" s="77">
        <f t="shared" si="12"/>
        <v>0.9946340416398369</v>
      </c>
    </row>
    <row r="30" spans="1:14" ht="13.5" customHeight="1">
      <c r="A30" s="103" t="s">
        <v>192</v>
      </c>
      <c r="B30" s="79">
        <v>8583</v>
      </c>
      <c r="C30" s="80"/>
      <c r="D30" s="73">
        <f t="shared" si="8"/>
        <v>8583</v>
      </c>
      <c r="E30" s="79">
        <v>9259</v>
      </c>
      <c r="F30" s="80"/>
      <c r="G30" s="97">
        <f t="shared" si="9"/>
        <v>9259</v>
      </c>
      <c r="H30" s="74">
        <f t="shared" si="2"/>
        <v>676</v>
      </c>
      <c r="I30" s="75">
        <f t="shared" si="11"/>
        <v>1.0787603402073866</v>
      </c>
      <c r="J30" s="81">
        <v>9258</v>
      </c>
      <c r="K30" s="80"/>
      <c r="L30" s="100">
        <f t="shared" si="10"/>
        <v>9258</v>
      </c>
      <c r="M30" s="74">
        <f t="shared" si="4"/>
        <v>-1</v>
      </c>
      <c r="N30" s="77">
        <f t="shared" si="12"/>
        <v>0.9998919969759154</v>
      </c>
    </row>
    <row r="31" spans="1:14" ht="13.5" customHeight="1">
      <c r="A31" s="82" t="s">
        <v>193</v>
      </c>
      <c r="B31" s="79">
        <v>34</v>
      </c>
      <c r="C31" s="80"/>
      <c r="D31" s="73">
        <f t="shared" si="8"/>
        <v>34</v>
      </c>
      <c r="E31" s="79">
        <v>59</v>
      </c>
      <c r="F31" s="80"/>
      <c r="G31" s="97">
        <f t="shared" si="9"/>
        <v>59</v>
      </c>
      <c r="H31" s="74">
        <f t="shared" si="2"/>
        <v>25</v>
      </c>
      <c r="I31" s="75">
        <f t="shared" si="11"/>
        <v>1.7352941176470589</v>
      </c>
      <c r="J31" s="81">
        <v>10</v>
      </c>
      <c r="K31" s="80"/>
      <c r="L31" s="100">
        <f t="shared" si="10"/>
        <v>10</v>
      </c>
      <c r="M31" s="74">
        <f t="shared" si="4"/>
        <v>-49</v>
      </c>
      <c r="N31" s="77">
        <f t="shared" si="12"/>
        <v>0.1694915254237288</v>
      </c>
    </row>
    <row r="32" spans="1:14" ht="13.5" customHeight="1">
      <c r="A32" s="82" t="s">
        <v>194</v>
      </c>
      <c r="B32" s="79">
        <v>3178</v>
      </c>
      <c r="C32" s="80"/>
      <c r="D32" s="73">
        <f t="shared" si="8"/>
        <v>3178</v>
      </c>
      <c r="E32" s="79">
        <v>3441</v>
      </c>
      <c r="F32" s="80"/>
      <c r="G32" s="97">
        <f t="shared" si="9"/>
        <v>3441</v>
      </c>
      <c r="H32" s="74">
        <f t="shared" si="2"/>
        <v>263</v>
      </c>
      <c r="I32" s="75">
        <f t="shared" si="11"/>
        <v>1.0827564505978602</v>
      </c>
      <c r="J32" s="81">
        <v>3284</v>
      </c>
      <c r="K32" s="80"/>
      <c r="L32" s="100">
        <f t="shared" si="10"/>
        <v>3284</v>
      </c>
      <c r="M32" s="74">
        <f t="shared" si="4"/>
        <v>-157</v>
      </c>
      <c r="N32" s="77">
        <f t="shared" si="12"/>
        <v>0.954373728567277</v>
      </c>
    </row>
    <row r="33" spans="1:14" ht="13.5" customHeight="1">
      <c r="A33" s="103" t="s">
        <v>195</v>
      </c>
      <c r="B33" s="79">
        <v>1</v>
      </c>
      <c r="C33" s="80"/>
      <c r="D33" s="73">
        <f t="shared" si="8"/>
        <v>1</v>
      </c>
      <c r="E33" s="79">
        <v>1</v>
      </c>
      <c r="F33" s="80"/>
      <c r="G33" s="97">
        <f t="shared" si="9"/>
        <v>1</v>
      </c>
      <c r="H33" s="74">
        <f t="shared" si="2"/>
        <v>0</v>
      </c>
      <c r="I33" s="75">
        <f t="shared" si="11"/>
        <v>1</v>
      </c>
      <c r="J33" s="81">
        <v>0</v>
      </c>
      <c r="K33" s="80"/>
      <c r="L33" s="100">
        <f t="shared" si="10"/>
        <v>0</v>
      </c>
      <c r="M33" s="74">
        <f t="shared" si="4"/>
        <v>-1</v>
      </c>
      <c r="N33" s="77">
        <f t="shared" si="12"/>
        <v>0</v>
      </c>
    </row>
    <row r="34" spans="1:14" ht="13.5" customHeight="1">
      <c r="A34" s="103" t="s">
        <v>196</v>
      </c>
      <c r="B34" s="79">
        <v>96</v>
      </c>
      <c r="C34" s="80"/>
      <c r="D34" s="73">
        <f t="shared" si="8"/>
        <v>96</v>
      </c>
      <c r="E34" s="79">
        <v>120</v>
      </c>
      <c r="F34" s="80"/>
      <c r="G34" s="97">
        <f t="shared" si="9"/>
        <v>120</v>
      </c>
      <c r="H34" s="74">
        <f t="shared" si="2"/>
        <v>24</v>
      </c>
      <c r="I34" s="75">
        <f t="shared" si="11"/>
        <v>1.25</v>
      </c>
      <c r="J34" s="81">
        <v>120</v>
      </c>
      <c r="K34" s="80"/>
      <c r="L34" s="100">
        <f t="shared" si="10"/>
        <v>120</v>
      </c>
      <c r="M34" s="74">
        <f t="shared" si="4"/>
        <v>0</v>
      </c>
      <c r="N34" s="77">
        <f t="shared" si="12"/>
        <v>1</v>
      </c>
    </row>
    <row r="35" spans="1:14" ht="13.5" customHeight="1">
      <c r="A35" s="82" t="s">
        <v>197</v>
      </c>
      <c r="B35" s="79">
        <v>489</v>
      </c>
      <c r="C35" s="80"/>
      <c r="D35" s="73">
        <f t="shared" si="8"/>
        <v>489</v>
      </c>
      <c r="E35" s="79">
        <v>533</v>
      </c>
      <c r="F35" s="80"/>
      <c r="G35" s="97">
        <f t="shared" si="9"/>
        <v>533</v>
      </c>
      <c r="H35" s="74">
        <f t="shared" si="2"/>
        <v>44</v>
      </c>
      <c r="I35" s="75">
        <f t="shared" si="11"/>
        <v>1.0899795501022496</v>
      </c>
      <c r="J35" s="102">
        <v>520</v>
      </c>
      <c r="K35" s="80"/>
      <c r="L35" s="100">
        <f t="shared" si="10"/>
        <v>520</v>
      </c>
      <c r="M35" s="74">
        <f t="shared" si="4"/>
        <v>-13</v>
      </c>
      <c r="N35" s="77">
        <f t="shared" si="12"/>
        <v>0.975609756097561</v>
      </c>
    </row>
    <row r="36" spans="1:14" ht="22.5" customHeight="1">
      <c r="A36" s="82" t="s">
        <v>198</v>
      </c>
      <c r="B36" s="79">
        <v>489</v>
      </c>
      <c r="C36" s="80"/>
      <c r="D36" s="73">
        <f t="shared" si="8"/>
        <v>489</v>
      </c>
      <c r="E36" s="79">
        <v>533</v>
      </c>
      <c r="F36" s="80"/>
      <c r="G36" s="97">
        <f t="shared" si="9"/>
        <v>533</v>
      </c>
      <c r="H36" s="74">
        <f t="shared" si="2"/>
        <v>44</v>
      </c>
      <c r="I36" s="75">
        <f t="shared" si="11"/>
        <v>1.0899795501022496</v>
      </c>
      <c r="J36" s="102">
        <v>520</v>
      </c>
      <c r="K36" s="80"/>
      <c r="L36" s="100">
        <f t="shared" si="10"/>
        <v>520</v>
      </c>
      <c r="M36" s="74">
        <f t="shared" si="4"/>
        <v>-13</v>
      </c>
      <c r="N36" s="77">
        <f t="shared" si="12"/>
        <v>0.975609756097561</v>
      </c>
    </row>
    <row r="37" spans="1:14" ht="13.5" customHeight="1" thickBot="1">
      <c r="A37" s="105" t="s">
        <v>199</v>
      </c>
      <c r="B37" s="83">
        <v>0</v>
      </c>
      <c r="C37" s="84"/>
      <c r="D37" s="73">
        <f t="shared" si="8"/>
        <v>0</v>
      </c>
      <c r="E37" s="83"/>
      <c r="F37" s="84"/>
      <c r="G37" s="97">
        <f t="shared" si="9"/>
        <v>0</v>
      </c>
      <c r="H37" s="85">
        <f t="shared" si="2"/>
        <v>0</v>
      </c>
      <c r="I37" s="86"/>
      <c r="J37" s="106">
        <v>0</v>
      </c>
      <c r="K37" s="84"/>
      <c r="L37" s="100">
        <f t="shared" si="10"/>
        <v>0</v>
      </c>
      <c r="M37" s="85">
        <f t="shared" si="4"/>
        <v>0</v>
      </c>
      <c r="N37" s="87"/>
    </row>
    <row r="38" spans="1:14" ht="13.5" customHeight="1" thickBot="1">
      <c r="A38" s="88" t="s">
        <v>200</v>
      </c>
      <c r="B38" s="89">
        <f aca="true" t="shared" si="13" ref="B38:G38">SUM(B20+B22+B23+B24+B25+B28+B33+B34+B35+B37)</f>
        <v>16509</v>
      </c>
      <c r="C38" s="90">
        <f t="shared" si="13"/>
        <v>0</v>
      </c>
      <c r="D38" s="91">
        <f t="shared" si="13"/>
        <v>16509</v>
      </c>
      <c r="E38" s="89">
        <f t="shared" si="13"/>
        <v>20070</v>
      </c>
      <c r="F38" s="90">
        <f t="shared" si="13"/>
        <v>0</v>
      </c>
      <c r="G38" s="91">
        <f t="shared" si="13"/>
        <v>20070</v>
      </c>
      <c r="H38" s="92">
        <f t="shared" si="2"/>
        <v>3561</v>
      </c>
      <c r="I38" s="93">
        <f t="shared" si="11"/>
        <v>1.2157005269852807</v>
      </c>
      <c r="J38" s="94">
        <f>SUM(J20+J22+J23+J24+J25+J28+J33+J34+J35+J37)</f>
        <v>18546</v>
      </c>
      <c r="K38" s="90">
        <f>SUM(K20+K22+K23+K24+K25+K28+K33+K34+K35+K37)</f>
        <v>0</v>
      </c>
      <c r="L38" s="91">
        <f>SUM(L20+L22+L23+L24+L25+L28+L33+L34+L35+L37)</f>
        <v>18546</v>
      </c>
      <c r="M38" s="92">
        <f t="shared" si="4"/>
        <v>-1524</v>
      </c>
      <c r="N38" s="95">
        <f t="shared" si="12"/>
        <v>0.9240657698056801</v>
      </c>
    </row>
    <row r="39" spans="1:14" ht="13.5" customHeight="1" thickBot="1">
      <c r="A39" s="88" t="s">
        <v>201</v>
      </c>
      <c r="B39" s="787">
        <f>+D19-D38</f>
        <v>20</v>
      </c>
      <c r="C39" s="787"/>
      <c r="D39" s="787"/>
      <c r="E39" s="787">
        <f>+G19-G38</f>
        <v>61</v>
      </c>
      <c r="F39" s="787"/>
      <c r="G39" s="787">
        <v>-50784</v>
      </c>
      <c r="H39" s="107"/>
      <c r="I39" s="108"/>
      <c r="J39" s="789">
        <f>+L19-L38</f>
        <v>-1204</v>
      </c>
      <c r="K39" s="789"/>
      <c r="L39" s="789">
        <v>0</v>
      </c>
      <c r="M39" s="92"/>
      <c r="N39" s="95"/>
    </row>
    <row r="40" spans="1:16" ht="20.25" customHeight="1" thickBot="1">
      <c r="A40" s="109" t="s">
        <v>202</v>
      </c>
      <c r="B40" s="787"/>
      <c r="C40" s="787"/>
      <c r="D40" s="787"/>
      <c r="E40" s="787"/>
      <c r="F40" s="787"/>
      <c r="G40" s="787"/>
      <c r="H40"/>
      <c r="I40"/>
      <c r="J40"/>
      <c r="K40"/>
      <c r="L40"/>
      <c r="M40"/>
      <c r="N40"/>
      <c r="O40"/>
      <c r="P40"/>
    </row>
    <row r="41" spans="1:16" ht="20.25" customHeight="1">
      <c r="A41" s="303"/>
      <c r="B41" s="302"/>
      <c r="C41" s="302"/>
      <c r="D41" s="302"/>
      <c r="E41" s="302"/>
      <c r="F41" s="302"/>
      <c r="G41" s="302"/>
      <c r="H41"/>
      <c r="I41"/>
      <c r="J41"/>
      <c r="K41"/>
      <c r="L41"/>
      <c r="M41"/>
      <c r="N41"/>
      <c r="O41"/>
      <c r="P41"/>
    </row>
    <row r="42" spans="1:16" ht="20.25" customHeight="1">
      <c r="A42" s="303"/>
      <c r="B42" s="302"/>
      <c r="C42" s="302"/>
      <c r="D42" s="302"/>
      <c r="E42" s="302"/>
      <c r="F42" s="302"/>
      <c r="G42" s="302"/>
      <c r="H42"/>
      <c r="I42"/>
      <c r="J42"/>
      <c r="K42"/>
      <c r="L42"/>
      <c r="M42"/>
      <c r="N42"/>
      <c r="O42"/>
      <c r="P42"/>
    </row>
    <row r="43" spans="1:16" ht="20.25" customHeight="1">
      <c r="A43" s="303"/>
      <c r="B43" s="302"/>
      <c r="C43" s="302"/>
      <c r="D43" s="302"/>
      <c r="E43" s="302"/>
      <c r="F43" s="302"/>
      <c r="G43" s="302"/>
      <c r="H43"/>
      <c r="I43"/>
      <c r="J43"/>
      <c r="K43"/>
      <c r="L43"/>
      <c r="M43"/>
      <c r="N43"/>
      <c r="O43"/>
      <c r="P43"/>
    </row>
    <row r="44" spans="2:8" ht="14.25" customHeight="1" thickBot="1">
      <c r="B44" s="7"/>
      <c r="C44" s="7"/>
      <c r="D44" s="16"/>
      <c r="E44" s="7"/>
      <c r="F44" s="7"/>
      <c r="G44" s="7"/>
      <c r="H44" s="7"/>
    </row>
    <row r="45" spans="1:16" ht="13.5" thickBot="1">
      <c r="A45" s="805" t="s">
        <v>312</v>
      </c>
      <c r="B45" s="805"/>
      <c r="C45" s="799" t="s">
        <v>203</v>
      </c>
      <c r="D45" s="805" t="s">
        <v>420</v>
      </c>
      <c r="E45" s="805"/>
      <c r="F45" s="805"/>
      <c r="G45" s="799" t="s">
        <v>203</v>
      </c>
      <c r="H45" s="785" t="s">
        <v>421</v>
      </c>
      <c r="I45" s="785"/>
      <c r="J45" s="785"/>
      <c r="K45" s="785"/>
      <c r="L45" s="799" t="s">
        <v>203</v>
      </c>
      <c r="O45"/>
      <c r="P45"/>
    </row>
    <row r="46" spans="1:16" ht="13.5" thickBot="1">
      <c r="A46" s="805"/>
      <c r="B46" s="805"/>
      <c r="C46" s="799"/>
      <c r="D46" s="805"/>
      <c r="E46" s="805"/>
      <c r="F46" s="805"/>
      <c r="G46" s="799"/>
      <c r="H46" s="785"/>
      <c r="I46" s="785"/>
      <c r="J46" s="785"/>
      <c r="K46" s="785"/>
      <c r="L46" s="799"/>
      <c r="O46"/>
      <c r="P46"/>
    </row>
    <row r="47" spans="1:16" ht="12.75">
      <c r="A47" s="794" t="s">
        <v>288</v>
      </c>
      <c r="B47" s="794"/>
      <c r="C47" s="110">
        <v>327</v>
      </c>
      <c r="D47" s="795" t="s">
        <v>272</v>
      </c>
      <c r="E47" s="795"/>
      <c r="F47" s="795"/>
      <c r="G47" s="111">
        <v>194</v>
      </c>
      <c r="H47" s="802"/>
      <c r="I47" s="802"/>
      <c r="J47" s="802"/>
      <c r="K47" s="802"/>
      <c r="L47" s="112"/>
      <c r="O47"/>
      <c r="P47"/>
    </row>
    <row r="48" spans="1:16" ht="12.75">
      <c r="A48" s="797" t="s">
        <v>548</v>
      </c>
      <c r="B48" s="797"/>
      <c r="C48" s="113">
        <v>73</v>
      </c>
      <c r="D48" s="795" t="s">
        <v>247</v>
      </c>
      <c r="E48" s="795"/>
      <c r="F48" s="795"/>
      <c r="G48" s="114">
        <v>147</v>
      </c>
      <c r="H48" s="802" t="s">
        <v>204</v>
      </c>
      <c r="I48" s="802"/>
      <c r="J48" s="802"/>
      <c r="K48" s="802"/>
      <c r="L48" s="112">
        <v>170</v>
      </c>
      <c r="O48"/>
      <c r="P48"/>
    </row>
    <row r="49" spans="1:16" ht="12.75">
      <c r="A49" s="797"/>
      <c r="B49" s="797"/>
      <c r="C49" s="113"/>
      <c r="D49" s="795"/>
      <c r="E49" s="795"/>
      <c r="F49" s="795"/>
      <c r="G49" s="114"/>
      <c r="H49" s="802"/>
      <c r="I49" s="802"/>
      <c r="J49" s="802"/>
      <c r="K49" s="802"/>
      <c r="L49" s="112"/>
      <c r="O49"/>
      <c r="P49"/>
    </row>
    <row r="50" spans="1:16" ht="12.75">
      <c r="A50" s="797"/>
      <c r="B50" s="797"/>
      <c r="C50" s="115"/>
      <c r="D50" s="797"/>
      <c r="E50" s="797"/>
      <c r="F50" s="797"/>
      <c r="G50" s="116"/>
      <c r="H50" s="776"/>
      <c r="I50" s="776"/>
      <c r="J50" s="776"/>
      <c r="K50" s="776"/>
      <c r="L50" s="112"/>
      <c r="O50"/>
      <c r="P50"/>
    </row>
    <row r="51" spans="1:16" ht="12.75">
      <c r="A51" s="797"/>
      <c r="B51" s="797"/>
      <c r="C51" s="115"/>
      <c r="D51" s="797"/>
      <c r="E51" s="797"/>
      <c r="F51" s="797"/>
      <c r="G51" s="116"/>
      <c r="H51" s="776"/>
      <c r="I51" s="776"/>
      <c r="J51" s="776"/>
      <c r="K51" s="776"/>
      <c r="L51" s="112"/>
      <c r="O51"/>
      <c r="P51"/>
    </row>
    <row r="52" spans="1:16" ht="12.75">
      <c r="A52" s="797"/>
      <c r="B52" s="797"/>
      <c r="C52" s="115"/>
      <c r="D52" s="797"/>
      <c r="E52" s="797"/>
      <c r="F52" s="797"/>
      <c r="G52" s="116"/>
      <c r="H52" s="776"/>
      <c r="I52" s="776"/>
      <c r="J52" s="776"/>
      <c r="K52" s="776"/>
      <c r="L52" s="112"/>
      <c r="O52"/>
      <c r="P52"/>
    </row>
    <row r="53" spans="1:16" ht="13.5" thickBot="1">
      <c r="A53" s="800"/>
      <c r="B53" s="800"/>
      <c r="C53" s="115"/>
      <c r="D53" s="801"/>
      <c r="E53" s="801"/>
      <c r="F53" s="801"/>
      <c r="G53" s="116"/>
      <c r="H53" s="802"/>
      <c r="I53" s="802"/>
      <c r="J53" s="802"/>
      <c r="K53" s="802"/>
      <c r="L53" s="112"/>
      <c r="O53"/>
      <c r="P53"/>
    </row>
    <row r="54" spans="1:16" ht="13.5" thickBot="1">
      <c r="A54" s="811"/>
      <c r="B54" s="811"/>
      <c r="C54" s="117">
        <f>SUM(C47:C53)</f>
        <v>400</v>
      </c>
      <c r="D54" s="812" t="s">
        <v>168</v>
      </c>
      <c r="E54" s="812"/>
      <c r="F54" s="812"/>
      <c r="G54" s="117">
        <f>SUM(G47:G53)</f>
        <v>341</v>
      </c>
      <c r="H54" s="778" t="s">
        <v>168</v>
      </c>
      <c r="I54" s="778"/>
      <c r="J54" s="778"/>
      <c r="K54" s="778"/>
      <c r="L54" s="117">
        <f>SUM(L47:L53)</f>
        <v>170</v>
      </c>
      <c r="M54" s="17"/>
      <c r="N54" s="17"/>
      <c r="O54"/>
      <c r="P54"/>
    </row>
    <row r="55" spans="1:16" s="1" customFormat="1" ht="13.5" customHeight="1" thickBot="1">
      <c r="A55" s="18"/>
      <c r="B55" s="5"/>
      <c r="C55" s="5"/>
      <c r="D55" s="5"/>
      <c r="E55" s="5"/>
      <c r="F55" s="5"/>
      <c r="G55" s="5"/>
      <c r="H55" s="6"/>
      <c r="I55" s="3"/>
      <c r="J55" s="3"/>
      <c r="K55" s="3"/>
      <c r="L55" s="3"/>
      <c r="M55" s="3"/>
      <c r="N55" s="3"/>
      <c r="O55" s="3"/>
      <c r="P55" s="3"/>
    </row>
    <row r="56" spans="1:16" ht="13.5" thickBot="1">
      <c r="A56" s="866" t="s">
        <v>429</v>
      </c>
      <c r="B56" s="867"/>
      <c r="C56" s="869" t="s">
        <v>203</v>
      </c>
      <c r="D56" s="806" t="s">
        <v>430</v>
      </c>
      <c r="E56" s="806"/>
      <c r="F56" s="806"/>
      <c r="G56" s="798" t="s">
        <v>203</v>
      </c>
      <c r="H56" s="785" t="s">
        <v>431</v>
      </c>
      <c r="I56" s="785"/>
      <c r="J56" s="785"/>
      <c r="K56" s="785"/>
      <c r="L56" s="799" t="s">
        <v>203</v>
      </c>
      <c r="O56"/>
      <c r="P56"/>
    </row>
    <row r="57" spans="1:16" ht="13.5" thickBot="1">
      <c r="A57" s="868"/>
      <c r="B57" s="805"/>
      <c r="C57" s="870"/>
      <c r="D57" s="806"/>
      <c r="E57" s="806"/>
      <c r="F57" s="806"/>
      <c r="G57" s="798"/>
      <c r="H57" s="785"/>
      <c r="I57" s="785"/>
      <c r="J57" s="785"/>
      <c r="K57" s="785"/>
      <c r="L57" s="799"/>
      <c r="O57"/>
      <c r="P57"/>
    </row>
    <row r="58" spans="1:16" ht="12.75">
      <c r="A58" s="871" t="s">
        <v>549</v>
      </c>
      <c r="B58" s="803"/>
      <c r="C58" s="201">
        <v>50</v>
      </c>
      <c r="D58" s="804" t="s">
        <v>259</v>
      </c>
      <c r="E58" s="804"/>
      <c r="F58" s="804"/>
      <c r="G58" s="118">
        <v>65</v>
      </c>
      <c r="H58" s="802" t="s">
        <v>259</v>
      </c>
      <c r="I58" s="802"/>
      <c r="J58" s="802"/>
      <c r="K58" s="802"/>
      <c r="L58" s="112">
        <v>80</v>
      </c>
      <c r="O58"/>
      <c r="P58"/>
    </row>
    <row r="59" spans="1:16" ht="13.5" customHeight="1">
      <c r="A59" s="872" t="s">
        <v>344</v>
      </c>
      <c r="B59" s="781"/>
      <c r="C59" s="202">
        <v>35</v>
      </c>
      <c r="D59" s="782" t="s">
        <v>290</v>
      </c>
      <c r="E59" s="782"/>
      <c r="F59" s="782"/>
      <c r="G59" s="119">
        <v>45</v>
      </c>
      <c r="H59" s="776" t="s">
        <v>290</v>
      </c>
      <c r="I59" s="776"/>
      <c r="J59" s="776"/>
      <c r="K59" s="776"/>
      <c r="L59" s="120">
        <v>30</v>
      </c>
      <c r="O59"/>
      <c r="P59"/>
    </row>
    <row r="60" spans="1:16" ht="13.5" customHeight="1">
      <c r="A60" s="872" t="s">
        <v>551</v>
      </c>
      <c r="B60" s="781"/>
      <c r="C60" s="202">
        <v>32</v>
      </c>
      <c r="D60" s="782" t="s">
        <v>552</v>
      </c>
      <c r="E60" s="782"/>
      <c r="F60" s="782"/>
      <c r="G60" s="119">
        <v>56</v>
      </c>
      <c r="H60" s="776" t="s">
        <v>347</v>
      </c>
      <c r="I60" s="776"/>
      <c r="J60" s="776"/>
      <c r="K60" s="776"/>
      <c r="L60" s="122">
        <v>20</v>
      </c>
      <c r="O60"/>
      <c r="P60"/>
    </row>
    <row r="61" spans="1:16" ht="13.5" customHeight="1">
      <c r="A61" s="872" t="s">
        <v>345</v>
      </c>
      <c r="B61" s="781"/>
      <c r="C61" s="202">
        <v>80</v>
      </c>
      <c r="D61" s="782" t="s">
        <v>346</v>
      </c>
      <c r="E61" s="782"/>
      <c r="F61" s="782"/>
      <c r="G61" s="119">
        <v>220</v>
      </c>
      <c r="H61" s="776" t="s">
        <v>348</v>
      </c>
      <c r="I61" s="776"/>
      <c r="J61" s="776"/>
      <c r="K61" s="776"/>
      <c r="L61" s="120">
        <v>90</v>
      </c>
      <c r="O61"/>
      <c r="P61"/>
    </row>
    <row r="62" spans="1:16" ht="13.5" customHeight="1">
      <c r="A62" s="872" t="s">
        <v>450</v>
      </c>
      <c r="B62" s="781"/>
      <c r="C62" s="203">
        <v>15</v>
      </c>
      <c r="D62" s="782" t="s">
        <v>550</v>
      </c>
      <c r="E62" s="782"/>
      <c r="F62" s="782"/>
      <c r="G62" s="121">
        <v>65</v>
      </c>
      <c r="H62" s="776"/>
      <c r="I62" s="776"/>
      <c r="J62" s="776"/>
      <c r="K62" s="776"/>
      <c r="L62" s="122"/>
      <c r="O62"/>
      <c r="P62"/>
    </row>
    <row r="63" spans="1:16" ht="13.5" customHeight="1">
      <c r="A63" s="872" t="s">
        <v>290</v>
      </c>
      <c r="B63" s="781"/>
      <c r="C63" s="203">
        <v>25</v>
      </c>
      <c r="D63" s="782" t="s">
        <v>345</v>
      </c>
      <c r="E63" s="782"/>
      <c r="F63" s="782"/>
      <c r="G63" s="121">
        <v>44</v>
      </c>
      <c r="H63" s="776"/>
      <c r="I63" s="776"/>
      <c r="J63" s="776"/>
      <c r="K63" s="776"/>
      <c r="L63" s="122"/>
      <c r="O63"/>
      <c r="P63"/>
    </row>
    <row r="64" spans="1:16" ht="13.5" customHeight="1">
      <c r="A64" s="872" t="s">
        <v>553</v>
      </c>
      <c r="B64" s="873"/>
      <c r="C64" s="202">
        <v>15</v>
      </c>
      <c r="D64" s="782" t="s">
        <v>347</v>
      </c>
      <c r="E64" s="782"/>
      <c r="F64" s="782"/>
      <c r="G64" s="119">
        <v>10</v>
      </c>
      <c r="H64" s="776"/>
      <c r="I64" s="776"/>
      <c r="J64" s="776"/>
      <c r="K64" s="776"/>
      <c r="L64" s="120"/>
      <c r="O64"/>
      <c r="P64"/>
    </row>
    <row r="65" spans="1:16" ht="13.5" thickBot="1">
      <c r="A65" s="874" t="s">
        <v>346</v>
      </c>
      <c r="B65" s="780"/>
      <c r="C65" s="204">
        <v>171</v>
      </c>
      <c r="D65" s="783" t="s">
        <v>278</v>
      </c>
      <c r="E65" s="783"/>
      <c r="F65" s="783"/>
      <c r="G65" s="123">
        <v>1718</v>
      </c>
      <c r="H65" s="777"/>
      <c r="I65" s="777"/>
      <c r="J65" s="777"/>
      <c r="K65" s="777"/>
      <c r="L65" s="124"/>
      <c r="O65"/>
      <c r="P65"/>
    </row>
    <row r="66" spans="1:16" ht="13.5" thickBot="1">
      <c r="A66" s="877" t="s">
        <v>168</v>
      </c>
      <c r="B66" s="878"/>
      <c r="C66" s="205">
        <f>SUM(C58:C65)</f>
        <v>423</v>
      </c>
      <c r="D66" s="784" t="s">
        <v>168</v>
      </c>
      <c r="E66" s="784"/>
      <c r="F66" s="784"/>
      <c r="G66" s="125">
        <f>SUM(G58:G65)</f>
        <v>2223</v>
      </c>
      <c r="H66" s="778" t="s">
        <v>168</v>
      </c>
      <c r="I66" s="778"/>
      <c r="J66" s="778"/>
      <c r="K66" s="778"/>
      <c r="L66" s="117">
        <f>SUM(L58:L65)</f>
        <v>220</v>
      </c>
      <c r="M66" s="17"/>
      <c r="N66" s="17"/>
      <c r="O66"/>
      <c r="P66"/>
    </row>
    <row r="67" spans="1:14" s="1" customFormat="1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s="1" customFormat="1" ht="13.5" thickBo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s="1" customFormat="1" ht="26.25" customHeight="1" thickBot="1">
      <c r="A69" s="833" t="s">
        <v>106</v>
      </c>
      <c r="B69" s="834"/>
      <c r="C69" s="834"/>
      <c r="D69" s="834"/>
      <c r="E69" s="835"/>
      <c r="F69" s="836" t="s">
        <v>107</v>
      </c>
      <c r="G69" s="837"/>
      <c r="H69" s="837"/>
      <c r="I69" s="837"/>
      <c r="J69" s="837"/>
      <c r="K69" s="837"/>
      <c r="L69" s="838"/>
      <c r="M69" s="19"/>
      <c r="N69" s="19"/>
    </row>
    <row r="70" spans="1:14" s="1" customFormat="1" ht="14.25" customHeight="1" thickBot="1">
      <c r="A70" s="397" t="s">
        <v>231</v>
      </c>
      <c r="B70" s="398" t="s">
        <v>96</v>
      </c>
      <c r="C70" s="839" t="s">
        <v>232</v>
      </c>
      <c r="D70" s="839"/>
      <c r="E70" s="399" t="s">
        <v>97</v>
      </c>
      <c r="F70" s="840" t="s">
        <v>231</v>
      </c>
      <c r="G70" s="841"/>
      <c r="H70" s="398" t="s">
        <v>96</v>
      </c>
      <c r="I70" s="839" t="s">
        <v>232</v>
      </c>
      <c r="J70" s="839"/>
      <c r="K70" s="839"/>
      <c r="L70" s="400" t="s">
        <v>97</v>
      </c>
      <c r="M70" s="19"/>
      <c r="N70" s="19"/>
    </row>
    <row r="71" spans="1:14" s="1" customFormat="1" ht="12.75">
      <c r="A71" s="401" t="s">
        <v>98</v>
      </c>
      <c r="B71" s="402">
        <v>9</v>
      </c>
      <c r="C71" s="842" t="s">
        <v>99</v>
      </c>
      <c r="D71" s="842"/>
      <c r="E71" s="403"/>
      <c r="F71" s="843" t="s">
        <v>98</v>
      </c>
      <c r="G71" s="844"/>
      <c r="H71" s="402">
        <v>36</v>
      </c>
      <c r="I71" s="842" t="s">
        <v>99</v>
      </c>
      <c r="J71" s="844"/>
      <c r="K71" s="844"/>
      <c r="L71" s="403"/>
      <c r="M71" s="19"/>
      <c r="N71" s="19"/>
    </row>
    <row r="72" spans="1:14" s="1" customFormat="1" ht="12.75">
      <c r="A72" s="404" t="s">
        <v>100</v>
      </c>
      <c r="B72" s="405">
        <v>20</v>
      </c>
      <c r="C72" s="845" t="s">
        <v>101</v>
      </c>
      <c r="D72" s="845"/>
      <c r="E72" s="406"/>
      <c r="F72" s="846" t="s">
        <v>102</v>
      </c>
      <c r="G72" s="847"/>
      <c r="H72" s="405">
        <v>61</v>
      </c>
      <c r="I72" s="845" t="s">
        <v>101</v>
      </c>
      <c r="J72" s="847"/>
      <c r="K72" s="847"/>
      <c r="L72" s="406"/>
      <c r="M72" s="19"/>
      <c r="N72" s="19"/>
    </row>
    <row r="73" spans="1:14" s="1" customFormat="1" ht="12.75">
      <c r="A73" s="404" t="s">
        <v>103</v>
      </c>
      <c r="B73" s="405">
        <v>50</v>
      </c>
      <c r="C73" s="845" t="s">
        <v>657</v>
      </c>
      <c r="D73" s="845"/>
      <c r="E73" s="406">
        <v>43</v>
      </c>
      <c r="F73" s="845" t="s">
        <v>104</v>
      </c>
      <c r="G73" s="845"/>
      <c r="H73" s="405"/>
      <c r="I73" s="845" t="s">
        <v>657</v>
      </c>
      <c r="J73" s="847"/>
      <c r="K73" s="847"/>
      <c r="L73" s="406">
        <v>7</v>
      </c>
      <c r="M73" s="19"/>
      <c r="N73" s="19"/>
    </row>
    <row r="74" spans="1:14" s="1" customFormat="1" ht="13.5" thickBot="1">
      <c r="A74" s="407"/>
      <c r="B74" s="408"/>
      <c r="C74" s="848"/>
      <c r="D74" s="848"/>
      <c r="E74" s="409"/>
      <c r="F74" s="849"/>
      <c r="G74" s="850"/>
      <c r="H74" s="408"/>
      <c r="I74" s="848"/>
      <c r="J74" s="850"/>
      <c r="K74" s="850"/>
      <c r="L74" s="409"/>
      <c r="M74" s="19"/>
      <c r="N74" s="19"/>
    </row>
    <row r="75" spans="1:14" s="1" customFormat="1" ht="13.5" thickBot="1">
      <c r="A75" s="410" t="s">
        <v>168</v>
      </c>
      <c r="B75" s="411">
        <f>SUM(B71:B74)</f>
        <v>79</v>
      </c>
      <c r="C75" s="851" t="s">
        <v>168</v>
      </c>
      <c r="D75" s="851"/>
      <c r="E75" s="413">
        <f>SUM(E71:E74)</f>
        <v>43</v>
      </c>
      <c r="F75" s="852" t="s">
        <v>168</v>
      </c>
      <c r="G75" s="853"/>
      <c r="H75" s="412">
        <f>SUM(H71:H74)</f>
        <v>97</v>
      </c>
      <c r="I75" s="851" t="s">
        <v>168</v>
      </c>
      <c r="J75" s="853"/>
      <c r="K75" s="853"/>
      <c r="L75" s="413">
        <f>SUM(L71:L74)</f>
        <v>7</v>
      </c>
      <c r="M75" s="19"/>
      <c r="N75" s="19"/>
    </row>
    <row r="76" spans="1:14" s="1" customFormat="1" ht="13.5" thickBot="1">
      <c r="A76" s="414" t="s">
        <v>105</v>
      </c>
      <c r="B76" s="415">
        <f>B75-E75</f>
        <v>36</v>
      </c>
      <c r="C76" s="19"/>
      <c r="D76" s="19"/>
      <c r="E76" s="19"/>
      <c r="F76" s="854" t="s">
        <v>105</v>
      </c>
      <c r="G76" s="701"/>
      <c r="H76" s="416">
        <f>H75-L75</f>
        <v>90</v>
      </c>
      <c r="I76" s="19"/>
      <c r="J76" s="19"/>
      <c r="K76" s="19"/>
      <c r="L76" s="19"/>
      <c r="M76" s="19"/>
      <c r="N76" s="19"/>
    </row>
    <row r="77" spans="1:14" s="1" customFormat="1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s="1" customFormat="1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2" s="1" customFormat="1" ht="12.75">
      <c r="A79" s="20"/>
      <c r="B79" s="21"/>
      <c r="C79" s="21"/>
      <c r="D79" s="21"/>
      <c r="E79" s="2"/>
      <c r="F79" s="4"/>
      <c r="G79" s="4"/>
      <c r="H79" s="20"/>
      <c r="I79" s="21"/>
      <c r="J79" s="21"/>
      <c r="K79" s="21"/>
      <c r="L79" s="2"/>
    </row>
    <row r="80" spans="1:12" s="1" customFormat="1" ht="13.5" thickBot="1">
      <c r="A80" s="20"/>
      <c r="B80" s="21"/>
      <c r="C80" s="21"/>
      <c r="D80" s="21"/>
      <c r="E80" s="2"/>
      <c r="F80" s="4"/>
      <c r="G80" s="4"/>
      <c r="H80" s="20"/>
      <c r="I80" s="21"/>
      <c r="J80" s="21" t="s">
        <v>307</v>
      </c>
      <c r="K80" s="21"/>
      <c r="L80" s="2"/>
    </row>
    <row r="81" spans="1:15" s="1" customFormat="1" ht="12.75">
      <c r="A81" s="879" t="s">
        <v>227</v>
      </c>
      <c r="B81" s="882" t="s">
        <v>435</v>
      </c>
      <c r="C81" s="885" t="s">
        <v>436</v>
      </c>
      <c r="D81" s="886"/>
      <c r="E81" s="886"/>
      <c r="F81" s="886"/>
      <c r="G81" s="886"/>
      <c r="H81" s="886"/>
      <c r="I81" s="887"/>
      <c r="J81" s="888" t="s">
        <v>437</v>
      </c>
      <c r="K81" s="7"/>
      <c r="L81" s="864" t="s">
        <v>205</v>
      </c>
      <c r="M81" s="865"/>
      <c r="N81" s="59">
        <v>2006</v>
      </c>
      <c r="O81" s="60">
        <v>2007</v>
      </c>
    </row>
    <row r="82" spans="1:15" s="1" customFormat="1" ht="12.75">
      <c r="A82" s="880"/>
      <c r="B82" s="883"/>
      <c r="C82" s="891" t="s">
        <v>228</v>
      </c>
      <c r="D82" s="893" t="s">
        <v>229</v>
      </c>
      <c r="E82" s="894"/>
      <c r="F82" s="894"/>
      <c r="G82" s="894"/>
      <c r="H82" s="894"/>
      <c r="I82" s="895"/>
      <c r="J82" s="889"/>
      <c r="K82" s="7"/>
      <c r="L82" s="63" t="s">
        <v>273</v>
      </c>
      <c r="M82" s="62"/>
      <c r="N82" s="58"/>
      <c r="O82" s="61"/>
    </row>
    <row r="83" spans="1:15" s="1" customFormat="1" ht="13.5" thickBot="1">
      <c r="A83" s="881"/>
      <c r="B83" s="884"/>
      <c r="C83" s="892"/>
      <c r="D83" s="25">
        <v>1</v>
      </c>
      <c r="E83" s="25">
        <v>2</v>
      </c>
      <c r="F83" s="25">
        <v>3</v>
      </c>
      <c r="G83" s="25">
        <v>4</v>
      </c>
      <c r="H83" s="25">
        <v>5</v>
      </c>
      <c r="I83" s="56">
        <v>6</v>
      </c>
      <c r="J83" s="890"/>
      <c r="K83" s="7"/>
      <c r="L83" s="62" t="s">
        <v>206</v>
      </c>
      <c r="M83" s="63"/>
      <c r="N83" s="22">
        <v>0</v>
      </c>
      <c r="O83" s="23">
        <v>0</v>
      </c>
    </row>
    <row r="84" spans="1:15" s="1" customFormat="1" ht="13.5" thickBot="1">
      <c r="A84" s="26">
        <v>22703</v>
      </c>
      <c r="B84" s="27">
        <v>6287</v>
      </c>
      <c r="C84" s="54">
        <v>520</v>
      </c>
      <c r="D84" s="55">
        <v>7</v>
      </c>
      <c r="E84" s="55">
        <v>291</v>
      </c>
      <c r="F84" s="55">
        <v>52</v>
      </c>
      <c r="G84" s="55"/>
      <c r="H84" s="54">
        <v>170</v>
      </c>
      <c r="I84" s="57"/>
      <c r="J84" s="28">
        <f>SUM(A84-B84-C84)</f>
        <v>15896</v>
      </c>
      <c r="K84" s="7"/>
      <c r="L84" s="64" t="s">
        <v>207</v>
      </c>
      <c r="M84" s="65"/>
      <c r="N84" s="52">
        <v>0</v>
      </c>
      <c r="O84" s="53">
        <v>0</v>
      </c>
    </row>
    <row r="85" spans="1:12" s="1" customFormat="1" ht="12.75">
      <c r="A85" s="20"/>
      <c r="B85" s="21"/>
      <c r="C85" s="21"/>
      <c r="D85" s="21"/>
      <c r="E85" s="2"/>
      <c r="F85" s="200"/>
      <c r="G85" s="4"/>
      <c r="H85" s="20"/>
      <c r="I85" s="21"/>
      <c r="J85" s="21"/>
      <c r="K85" s="21"/>
      <c r="L85" s="2"/>
    </row>
    <row r="86" spans="1:12" s="1" customFormat="1" ht="13.5" thickBot="1">
      <c r="A86" s="20"/>
      <c r="B86" s="21"/>
      <c r="C86" s="21"/>
      <c r="D86" s="21"/>
      <c r="E86" s="2"/>
      <c r="F86" s="200"/>
      <c r="G86" s="4"/>
      <c r="H86" s="20"/>
      <c r="I86" s="21"/>
      <c r="J86" s="21"/>
      <c r="K86" s="21"/>
      <c r="L86" s="21" t="s">
        <v>307</v>
      </c>
    </row>
    <row r="87" spans="1:12" s="1" customFormat="1" ht="12.75">
      <c r="A87" s="855" t="s">
        <v>255</v>
      </c>
      <c r="B87" s="857" t="s">
        <v>438</v>
      </c>
      <c r="C87" s="859" t="s">
        <v>439</v>
      </c>
      <c r="D87" s="860"/>
      <c r="E87" s="860"/>
      <c r="F87" s="861"/>
      <c r="G87" s="862" t="s">
        <v>440</v>
      </c>
      <c r="H87" s="896" t="s">
        <v>230</v>
      </c>
      <c r="I87" s="898" t="s">
        <v>441</v>
      </c>
      <c r="J87" s="899"/>
      <c r="K87" s="899"/>
      <c r="L87" s="900"/>
    </row>
    <row r="88" spans="1:12" s="1" customFormat="1" ht="18.75" thickBot="1">
      <c r="A88" s="856"/>
      <c r="B88" s="858"/>
      <c r="C88" s="29" t="s">
        <v>321</v>
      </c>
      <c r="D88" s="30" t="s">
        <v>231</v>
      </c>
      <c r="E88" s="30" t="s">
        <v>232</v>
      </c>
      <c r="F88" s="31" t="s">
        <v>322</v>
      </c>
      <c r="G88" s="863"/>
      <c r="H88" s="897"/>
      <c r="I88" s="174" t="s">
        <v>442</v>
      </c>
      <c r="J88" s="175" t="s">
        <v>231</v>
      </c>
      <c r="K88" s="175" t="s">
        <v>232</v>
      </c>
      <c r="L88" s="176" t="s">
        <v>443</v>
      </c>
    </row>
    <row r="89" spans="1:12" s="1" customFormat="1" ht="12.75">
      <c r="A89" s="32" t="s">
        <v>233</v>
      </c>
      <c r="B89" s="33">
        <v>603</v>
      </c>
      <c r="C89" s="312" t="s">
        <v>258</v>
      </c>
      <c r="D89" s="35" t="s">
        <v>234</v>
      </c>
      <c r="E89" s="35" t="s">
        <v>234</v>
      </c>
      <c r="F89" s="36"/>
      <c r="G89" s="37">
        <v>662</v>
      </c>
      <c r="H89" s="171" t="s">
        <v>234</v>
      </c>
      <c r="I89" s="177" t="s">
        <v>234</v>
      </c>
      <c r="J89" s="178" t="s">
        <v>234</v>
      </c>
      <c r="K89" s="178" t="s">
        <v>234</v>
      </c>
      <c r="L89" s="179" t="s">
        <v>234</v>
      </c>
    </row>
    <row r="90" spans="1:12" s="1" customFormat="1" ht="12.75">
      <c r="A90" s="38" t="s">
        <v>235</v>
      </c>
      <c r="B90" s="39"/>
      <c r="C90" s="40">
        <v>23</v>
      </c>
      <c r="D90" s="41"/>
      <c r="E90" s="41"/>
      <c r="F90" s="42">
        <f>C90+D90-E90</f>
        <v>23</v>
      </c>
      <c r="G90" s="43"/>
      <c r="H90" s="172">
        <f>+G90-F90</f>
        <v>-23</v>
      </c>
      <c r="I90" s="40">
        <v>23</v>
      </c>
      <c r="J90" s="41"/>
      <c r="K90" s="41"/>
      <c r="L90" s="42">
        <f>I90+J90-K90</f>
        <v>23</v>
      </c>
    </row>
    <row r="91" spans="1:12" s="1" customFormat="1" ht="12.75">
      <c r="A91" s="38" t="s">
        <v>236</v>
      </c>
      <c r="B91" s="39"/>
      <c r="C91" s="40">
        <v>9</v>
      </c>
      <c r="D91" s="41">
        <v>70</v>
      </c>
      <c r="E91" s="41">
        <v>43</v>
      </c>
      <c r="F91" s="42">
        <f>C91+D91-E91</f>
        <v>36</v>
      </c>
      <c r="G91" s="43"/>
      <c r="H91" s="172">
        <f>+G91-F91</f>
        <v>-36</v>
      </c>
      <c r="I91" s="40">
        <v>36</v>
      </c>
      <c r="J91" s="41">
        <v>61</v>
      </c>
      <c r="K91" s="41">
        <v>7</v>
      </c>
      <c r="L91" s="42">
        <f>I91+J91-K91</f>
        <v>90</v>
      </c>
    </row>
    <row r="92" spans="1:12" s="1" customFormat="1" ht="12.75">
      <c r="A92" s="38" t="s">
        <v>256</v>
      </c>
      <c r="B92" s="39"/>
      <c r="C92" s="40">
        <v>375</v>
      </c>
      <c r="D92" s="41">
        <v>533</v>
      </c>
      <c r="E92" s="41">
        <v>342</v>
      </c>
      <c r="F92" s="42">
        <f>C92+D92-E92</f>
        <v>566</v>
      </c>
      <c r="G92" s="43"/>
      <c r="H92" s="172">
        <f>+G92-F92</f>
        <v>-566</v>
      </c>
      <c r="I92" s="180">
        <v>566</v>
      </c>
      <c r="J92" s="170">
        <v>520</v>
      </c>
      <c r="K92" s="170">
        <v>170</v>
      </c>
      <c r="L92" s="42">
        <f>I92+J92-K92</f>
        <v>916</v>
      </c>
    </row>
    <row r="93" spans="1:12" s="1" customFormat="1" ht="12.75">
      <c r="A93" s="38" t="s">
        <v>237</v>
      </c>
      <c r="B93" s="39">
        <v>603</v>
      </c>
      <c r="C93" s="50" t="s">
        <v>234</v>
      </c>
      <c r="D93" s="35" t="s">
        <v>234</v>
      </c>
      <c r="E93" s="51" t="s">
        <v>234</v>
      </c>
      <c r="F93" s="42"/>
      <c r="G93" s="43">
        <v>662</v>
      </c>
      <c r="H93" s="50" t="s">
        <v>234</v>
      </c>
      <c r="I93" s="34"/>
      <c r="J93" s="35"/>
      <c r="K93" s="35"/>
      <c r="L93" s="181">
        <v>0</v>
      </c>
    </row>
    <row r="94" spans="1:12" s="1" customFormat="1" ht="13.5" thickBot="1">
      <c r="A94" s="44" t="s">
        <v>238</v>
      </c>
      <c r="B94" s="45">
        <v>203</v>
      </c>
      <c r="C94" s="46">
        <v>194</v>
      </c>
      <c r="D94" s="47">
        <v>185</v>
      </c>
      <c r="E94" s="47">
        <v>244</v>
      </c>
      <c r="F94" s="48">
        <f>C94+D94-E94</f>
        <v>135</v>
      </c>
      <c r="G94" s="49">
        <v>123</v>
      </c>
      <c r="H94" s="173">
        <f>+G94-F94</f>
        <v>-12</v>
      </c>
      <c r="I94" s="46">
        <v>135</v>
      </c>
      <c r="J94" s="47">
        <v>185</v>
      </c>
      <c r="K94" s="47">
        <v>212</v>
      </c>
      <c r="L94" s="48">
        <f>I94+J94-K94</f>
        <v>108</v>
      </c>
    </row>
    <row r="95" spans="1:12" s="1" customFormat="1" ht="12.75">
      <c r="A95" s="20"/>
      <c r="B95" s="21"/>
      <c r="C95" s="21"/>
      <c r="D95" s="21"/>
      <c r="E95" s="2"/>
      <c r="F95" s="200"/>
      <c r="G95" s="4"/>
      <c r="H95" s="20"/>
      <c r="I95" s="21"/>
      <c r="J95" s="21"/>
      <c r="K95" s="21"/>
      <c r="L95" s="2"/>
    </row>
    <row r="96" spans="1:12" s="1" customFormat="1" ht="12.75">
      <c r="A96" s="20"/>
      <c r="B96" s="21"/>
      <c r="C96" s="21"/>
      <c r="D96" s="21"/>
      <c r="E96" s="2"/>
      <c r="F96" s="200"/>
      <c r="G96" s="4"/>
      <c r="H96" s="20"/>
      <c r="I96" s="21"/>
      <c r="J96" s="21"/>
      <c r="K96" s="21"/>
      <c r="L96" s="2"/>
    </row>
    <row r="97" spans="1:12" s="1" customFormat="1" ht="12.75">
      <c r="A97" s="20"/>
      <c r="B97" s="21"/>
      <c r="C97" s="21"/>
      <c r="D97" s="21"/>
      <c r="E97" s="2"/>
      <c r="F97" s="200"/>
      <c r="G97" s="4"/>
      <c r="H97" s="20"/>
      <c r="I97" s="21"/>
      <c r="J97" s="21"/>
      <c r="K97" s="21"/>
      <c r="L97" s="2"/>
    </row>
    <row r="98" spans="1:12" s="1" customFormat="1" ht="12.75">
      <c r="A98" s="20"/>
      <c r="B98" s="21"/>
      <c r="C98" s="21"/>
      <c r="D98" s="21"/>
      <c r="E98" s="2"/>
      <c r="F98" s="200"/>
      <c r="G98" s="4"/>
      <c r="H98" s="20"/>
      <c r="I98" s="21"/>
      <c r="J98" s="21"/>
      <c r="K98" s="21"/>
      <c r="L98" s="2"/>
    </row>
    <row r="99" spans="1:12" s="1" customFormat="1" ht="12.75">
      <c r="A99" s="20"/>
      <c r="B99" s="21"/>
      <c r="C99" s="21"/>
      <c r="D99" s="21"/>
      <c r="E99" s="2"/>
      <c r="F99" s="4"/>
      <c r="G99" s="4"/>
      <c r="H99" s="20"/>
      <c r="I99" s="21"/>
      <c r="J99" s="21"/>
      <c r="K99" s="21"/>
      <c r="L99" s="2"/>
    </row>
    <row r="100" spans="1:12" s="1" customFormat="1" ht="12.75">
      <c r="A100" s="20"/>
      <c r="B100" s="21"/>
      <c r="C100" s="21"/>
      <c r="D100" s="21"/>
      <c r="E100" s="2"/>
      <c r="F100" s="4"/>
      <c r="G100" s="4"/>
      <c r="H100" s="20"/>
      <c r="I100" s="21"/>
      <c r="J100" s="21"/>
      <c r="K100" s="21"/>
      <c r="L100" s="2"/>
    </row>
    <row r="101" spans="8:12" ht="13.5" thickBot="1">
      <c r="H101" s="21" t="s">
        <v>307</v>
      </c>
      <c r="L101" s="21" t="s">
        <v>307</v>
      </c>
    </row>
    <row r="102" spans="1:12" ht="13.5" thickBot="1">
      <c r="A102" s="823" t="s">
        <v>444</v>
      </c>
      <c r="B102" s="824" t="s">
        <v>168</v>
      </c>
      <c r="C102" s="810" t="s">
        <v>239</v>
      </c>
      <c r="D102" s="810"/>
      <c r="E102" s="810"/>
      <c r="F102" s="810"/>
      <c r="G102" s="810"/>
      <c r="H102" s="810"/>
      <c r="I102" s="24"/>
      <c r="J102" s="825" t="s">
        <v>208</v>
      </c>
      <c r="K102" s="825"/>
      <c r="L102" s="825"/>
    </row>
    <row r="103" spans="1:12" ht="13.5" thickBot="1">
      <c r="A103" s="823"/>
      <c r="B103" s="824"/>
      <c r="C103" s="126" t="s">
        <v>240</v>
      </c>
      <c r="D103" s="127" t="s">
        <v>241</v>
      </c>
      <c r="E103" s="127" t="s">
        <v>242</v>
      </c>
      <c r="F103" s="127" t="s">
        <v>243</v>
      </c>
      <c r="G103" s="128" t="s">
        <v>244</v>
      </c>
      <c r="H103" s="129" t="s">
        <v>228</v>
      </c>
      <c r="I103" s="24"/>
      <c r="J103" s="130"/>
      <c r="K103" s="131" t="s">
        <v>209</v>
      </c>
      <c r="L103" s="132" t="s">
        <v>210</v>
      </c>
    </row>
    <row r="104" spans="1:12" ht="12.75">
      <c r="A104" s="133" t="s">
        <v>245</v>
      </c>
      <c r="B104" s="134">
        <v>772</v>
      </c>
      <c r="C104" s="135">
        <v>436</v>
      </c>
      <c r="D104" s="135"/>
      <c r="E104" s="135">
        <v>267</v>
      </c>
      <c r="F104" s="135"/>
      <c r="G104" s="134">
        <v>52</v>
      </c>
      <c r="H104" s="136">
        <f>SUM(C104:G104)</f>
        <v>755</v>
      </c>
      <c r="I104" s="24"/>
      <c r="J104" s="137">
        <v>2007</v>
      </c>
      <c r="K104" s="138">
        <v>9259</v>
      </c>
      <c r="L104" s="139">
        <f>+G30</f>
        <v>9259</v>
      </c>
    </row>
    <row r="105" spans="1:12" ht="13.5" thickBot="1">
      <c r="A105" s="140" t="s">
        <v>246</v>
      </c>
      <c r="B105" s="141">
        <v>1788</v>
      </c>
      <c r="C105" s="142"/>
      <c r="D105" s="142"/>
      <c r="E105" s="142"/>
      <c r="F105" s="142"/>
      <c r="G105" s="141"/>
      <c r="H105" s="143">
        <f>SUM(C105:G105)</f>
        <v>0</v>
      </c>
      <c r="I105" s="24"/>
      <c r="J105" s="144">
        <v>2008</v>
      </c>
      <c r="K105" s="145">
        <f>L30</f>
        <v>9258</v>
      </c>
      <c r="L105" s="146"/>
    </row>
    <row r="106" ht="12.75" customHeight="1"/>
    <row r="107" ht="13.5" thickBot="1">
      <c r="J107" s="208" t="s">
        <v>323</v>
      </c>
    </row>
    <row r="108" spans="1:10" ht="21" customHeight="1" thickBot="1">
      <c r="A108" s="823" t="s">
        <v>211</v>
      </c>
      <c r="B108" s="826" t="s">
        <v>212</v>
      </c>
      <c r="C108" s="826"/>
      <c r="D108" s="826"/>
      <c r="E108" s="827" t="s">
        <v>274</v>
      </c>
      <c r="F108" s="827"/>
      <c r="G108" s="827"/>
      <c r="H108" s="828" t="s">
        <v>213</v>
      </c>
      <c r="I108" s="828"/>
      <c r="J108" s="828"/>
    </row>
    <row r="109" spans="1:10" ht="12.75">
      <c r="A109" s="823"/>
      <c r="B109" s="147">
        <v>2006</v>
      </c>
      <c r="C109" s="147">
        <v>2007</v>
      </c>
      <c r="D109" s="147" t="s">
        <v>214</v>
      </c>
      <c r="E109" s="147">
        <v>2006</v>
      </c>
      <c r="F109" s="147">
        <v>2007</v>
      </c>
      <c r="G109" s="148" t="s">
        <v>214</v>
      </c>
      <c r="H109" s="149">
        <v>2006</v>
      </c>
      <c r="I109" s="147">
        <v>2007</v>
      </c>
      <c r="J109" s="148" t="s">
        <v>214</v>
      </c>
    </row>
    <row r="110" spans="1:10" ht="18.75">
      <c r="A110" s="150" t="s">
        <v>215</v>
      </c>
      <c r="B110" s="151">
        <v>4</v>
      </c>
      <c r="C110" s="151">
        <v>3.65</v>
      </c>
      <c r="D110" s="151">
        <f aca="true" t="shared" si="14" ref="D110:D120">+C110-B110</f>
        <v>-0.3500000000000001</v>
      </c>
      <c r="E110" s="151">
        <v>4</v>
      </c>
      <c r="F110" s="151">
        <v>3</v>
      </c>
      <c r="G110" s="152">
        <f aca="true" t="shared" si="15" ref="G110:G120">+F110-E110</f>
        <v>-1</v>
      </c>
      <c r="H110" s="153">
        <v>20589</v>
      </c>
      <c r="I110" s="154">
        <v>23756</v>
      </c>
      <c r="J110" s="155">
        <f aca="true" t="shared" si="16" ref="J110:J120">+I110-H110</f>
        <v>3167</v>
      </c>
    </row>
    <row r="111" spans="1:10" ht="12.75">
      <c r="A111" s="150" t="s">
        <v>248</v>
      </c>
      <c r="B111" s="151">
        <v>6.9</v>
      </c>
      <c r="C111" s="151">
        <v>6</v>
      </c>
      <c r="D111" s="151">
        <f t="shared" si="14"/>
        <v>-0.9000000000000004</v>
      </c>
      <c r="E111" s="151">
        <v>6</v>
      </c>
      <c r="F111" s="151">
        <v>6</v>
      </c>
      <c r="G111" s="152">
        <f t="shared" si="15"/>
        <v>0</v>
      </c>
      <c r="H111" s="153">
        <v>22295</v>
      </c>
      <c r="I111" s="156">
        <v>25938</v>
      </c>
      <c r="J111" s="155">
        <f t="shared" si="16"/>
        <v>3643</v>
      </c>
    </row>
    <row r="112" spans="1:10" ht="12.75">
      <c r="A112" s="150" t="s">
        <v>216</v>
      </c>
      <c r="B112" s="151">
        <v>8.35</v>
      </c>
      <c r="C112" s="151">
        <v>6.56</v>
      </c>
      <c r="D112" s="151">
        <f t="shared" si="14"/>
        <v>-1.79</v>
      </c>
      <c r="E112" s="151">
        <v>7.75</v>
      </c>
      <c r="F112" s="151">
        <v>6.5</v>
      </c>
      <c r="G112" s="152">
        <f t="shared" si="15"/>
        <v>-1.25</v>
      </c>
      <c r="H112" s="153">
        <v>12698</v>
      </c>
      <c r="I112" s="156">
        <v>15125</v>
      </c>
      <c r="J112" s="155">
        <f t="shared" si="16"/>
        <v>2427</v>
      </c>
    </row>
    <row r="113" spans="1:10" ht="12.75">
      <c r="A113" s="150" t="s">
        <v>217</v>
      </c>
      <c r="B113" s="151"/>
      <c r="C113" s="151"/>
      <c r="D113" s="151">
        <f t="shared" si="14"/>
        <v>0</v>
      </c>
      <c r="E113" s="151"/>
      <c r="F113" s="151"/>
      <c r="G113" s="152">
        <f t="shared" si="15"/>
        <v>0</v>
      </c>
      <c r="H113" s="153"/>
      <c r="I113" s="156"/>
      <c r="J113" s="155">
        <f t="shared" si="16"/>
        <v>0</v>
      </c>
    </row>
    <row r="114" spans="1:10" ht="12.75">
      <c r="A114" s="150" t="s">
        <v>299</v>
      </c>
      <c r="B114" s="151"/>
      <c r="C114" s="151"/>
      <c r="D114" s="151">
        <f t="shared" si="14"/>
        <v>0</v>
      </c>
      <c r="E114" s="151"/>
      <c r="F114" s="151"/>
      <c r="G114" s="152">
        <f t="shared" si="15"/>
        <v>0</v>
      </c>
      <c r="H114" s="153"/>
      <c r="I114" s="156"/>
      <c r="J114" s="155">
        <f t="shared" si="16"/>
        <v>0</v>
      </c>
    </row>
    <row r="115" spans="1:10" ht="12.75">
      <c r="A115" s="150" t="s">
        <v>297</v>
      </c>
      <c r="B115" s="151"/>
      <c r="C115" s="151"/>
      <c r="D115" s="151">
        <f t="shared" si="14"/>
        <v>0</v>
      </c>
      <c r="E115" s="151"/>
      <c r="F115" s="151"/>
      <c r="G115" s="152">
        <f t="shared" si="15"/>
        <v>0</v>
      </c>
      <c r="H115" s="153"/>
      <c r="I115" s="156"/>
      <c r="J115" s="155">
        <f t="shared" si="16"/>
        <v>0</v>
      </c>
    </row>
    <row r="116" spans="1:10" ht="12.75">
      <c r="A116" s="150" t="s">
        <v>325</v>
      </c>
      <c r="B116" s="151">
        <v>5.75</v>
      </c>
      <c r="C116" s="151">
        <v>5.75</v>
      </c>
      <c r="D116" s="151">
        <f t="shared" si="14"/>
        <v>0</v>
      </c>
      <c r="E116" s="151">
        <v>5.75</v>
      </c>
      <c r="F116" s="151">
        <v>5.75</v>
      </c>
      <c r="G116" s="152">
        <f t="shared" si="15"/>
        <v>0</v>
      </c>
      <c r="H116" s="153">
        <v>12583</v>
      </c>
      <c r="I116" s="156">
        <v>14116</v>
      </c>
      <c r="J116" s="155">
        <f t="shared" si="16"/>
        <v>1533</v>
      </c>
    </row>
    <row r="117" spans="1:10" ht="12.75">
      <c r="A117" s="150" t="s">
        <v>219</v>
      </c>
      <c r="B117" s="151">
        <v>12.5</v>
      </c>
      <c r="C117" s="151">
        <v>13.27</v>
      </c>
      <c r="D117" s="151">
        <f t="shared" si="14"/>
        <v>0.7699999999999996</v>
      </c>
      <c r="E117" s="151">
        <v>13</v>
      </c>
      <c r="F117" s="151">
        <v>13.5</v>
      </c>
      <c r="G117" s="152">
        <f t="shared" si="15"/>
        <v>0.5</v>
      </c>
      <c r="H117" s="153">
        <v>13185</v>
      </c>
      <c r="I117" s="156">
        <v>15358</v>
      </c>
      <c r="J117" s="155">
        <f t="shared" si="16"/>
        <v>2173</v>
      </c>
    </row>
    <row r="118" spans="1:10" ht="12.75">
      <c r="A118" s="150" t="s">
        <v>220</v>
      </c>
      <c r="B118" s="151">
        <v>1</v>
      </c>
      <c r="C118" s="151">
        <v>1.5</v>
      </c>
      <c r="D118" s="151">
        <f t="shared" si="14"/>
        <v>0.5</v>
      </c>
      <c r="E118" s="151">
        <v>1</v>
      </c>
      <c r="F118" s="151">
        <v>2</v>
      </c>
      <c r="G118" s="152">
        <f t="shared" si="15"/>
        <v>1</v>
      </c>
      <c r="H118" s="153">
        <v>16923</v>
      </c>
      <c r="I118" s="156">
        <v>17997</v>
      </c>
      <c r="J118" s="155">
        <f t="shared" si="16"/>
        <v>1074</v>
      </c>
    </row>
    <row r="119" spans="1:10" ht="12.75">
      <c r="A119" s="150" t="s">
        <v>221</v>
      </c>
      <c r="B119" s="151">
        <v>7.15</v>
      </c>
      <c r="C119" s="151">
        <v>6.48</v>
      </c>
      <c r="D119" s="151">
        <f t="shared" si="14"/>
        <v>-0.6699999999999999</v>
      </c>
      <c r="E119" s="151">
        <v>8.25</v>
      </c>
      <c r="F119" s="151">
        <v>6.5</v>
      </c>
      <c r="G119" s="152">
        <f t="shared" si="15"/>
        <v>-1.75</v>
      </c>
      <c r="H119" s="153">
        <v>11141</v>
      </c>
      <c r="I119" s="156">
        <v>10662</v>
      </c>
      <c r="J119" s="155">
        <f t="shared" si="16"/>
        <v>-479</v>
      </c>
    </row>
    <row r="120" spans="1:10" ht="13.5" thickBot="1">
      <c r="A120" s="157" t="s">
        <v>168</v>
      </c>
      <c r="B120" s="158">
        <v>45.65</v>
      </c>
      <c r="C120" s="158">
        <v>43.21</v>
      </c>
      <c r="D120" s="158">
        <f t="shared" si="14"/>
        <v>-2.4399999999999977</v>
      </c>
      <c r="E120" s="158">
        <v>45.75</v>
      </c>
      <c r="F120" s="158">
        <v>43.25</v>
      </c>
      <c r="G120" s="159">
        <f t="shared" si="15"/>
        <v>-2.5</v>
      </c>
      <c r="H120" s="160"/>
      <c r="I120" s="161"/>
      <c r="J120" s="162">
        <f t="shared" si="16"/>
        <v>0</v>
      </c>
    </row>
    <row r="121" ht="13.5" thickBot="1"/>
    <row r="122" spans="1:16" ht="12.75">
      <c r="A122" s="829" t="s">
        <v>222</v>
      </c>
      <c r="B122" s="829"/>
      <c r="C122" s="829"/>
      <c r="D122" s="24"/>
      <c r="E122" s="829" t="s">
        <v>223</v>
      </c>
      <c r="F122" s="829"/>
      <c r="G122" s="829"/>
      <c r="H122"/>
      <c r="I122"/>
      <c r="J122"/>
      <c r="K122"/>
      <c r="L122"/>
      <c r="M122"/>
      <c r="N122"/>
      <c r="O122"/>
      <c r="P122"/>
    </row>
    <row r="123" spans="1:16" ht="13.5" thickBot="1">
      <c r="A123" s="130" t="s">
        <v>224</v>
      </c>
      <c r="B123" s="131" t="s">
        <v>225</v>
      </c>
      <c r="C123" s="132" t="s">
        <v>210</v>
      </c>
      <c r="D123" s="24"/>
      <c r="E123" s="130"/>
      <c r="F123" s="832" t="s">
        <v>226</v>
      </c>
      <c r="G123" s="832"/>
      <c r="H123"/>
      <c r="I123"/>
      <c r="J123"/>
      <c r="K123"/>
      <c r="L123"/>
      <c r="M123"/>
      <c r="N123"/>
      <c r="O123"/>
      <c r="P123"/>
    </row>
    <row r="124" spans="1:16" ht="12.75">
      <c r="A124" s="137">
        <v>2007</v>
      </c>
      <c r="B124" s="138">
        <v>47</v>
      </c>
      <c r="C124" s="139">
        <v>44</v>
      </c>
      <c r="D124" s="24"/>
      <c r="E124" s="137">
        <v>2007</v>
      </c>
      <c r="F124" s="830">
        <v>70</v>
      </c>
      <c r="G124" s="830"/>
      <c r="H124"/>
      <c r="I124"/>
      <c r="J124"/>
      <c r="K124"/>
      <c r="L124"/>
      <c r="M124"/>
      <c r="N124"/>
      <c r="O124"/>
      <c r="P124"/>
    </row>
    <row r="125" spans="1:16" ht="13.5" thickBot="1">
      <c r="A125" s="144">
        <v>2008</v>
      </c>
      <c r="B125" s="145">
        <v>47.875</v>
      </c>
      <c r="C125" s="146"/>
      <c r="D125" s="24"/>
      <c r="E125" s="144">
        <v>2008</v>
      </c>
      <c r="F125" s="831">
        <v>70</v>
      </c>
      <c r="G125" s="831"/>
      <c r="H125"/>
      <c r="I125"/>
      <c r="J125"/>
      <c r="K125"/>
      <c r="L125"/>
      <c r="M125"/>
      <c r="N125"/>
      <c r="O125"/>
      <c r="P125"/>
    </row>
  </sheetData>
  <mergeCells count="123">
    <mergeCell ref="F76:G76"/>
    <mergeCell ref="C74:D74"/>
    <mergeCell ref="F74:G74"/>
    <mergeCell ref="I74:K74"/>
    <mergeCell ref="C75:D75"/>
    <mergeCell ref="F75:G75"/>
    <mergeCell ref="I75:K75"/>
    <mergeCell ref="C72:D72"/>
    <mergeCell ref="F72:G72"/>
    <mergeCell ref="I72:K72"/>
    <mergeCell ref="C73:D73"/>
    <mergeCell ref="F73:G73"/>
    <mergeCell ref="I73:K73"/>
    <mergeCell ref="F70:G70"/>
    <mergeCell ref="I70:K70"/>
    <mergeCell ref="C71:D71"/>
    <mergeCell ref="F71:G71"/>
    <mergeCell ref="I71:K71"/>
    <mergeCell ref="F125:G125"/>
    <mergeCell ref="A122:C122"/>
    <mergeCell ref="E122:G122"/>
    <mergeCell ref="F123:G123"/>
    <mergeCell ref="F124:G124"/>
    <mergeCell ref="A108:A109"/>
    <mergeCell ref="B108:D108"/>
    <mergeCell ref="E108:G108"/>
    <mergeCell ref="H108:J108"/>
    <mergeCell ref="A102:A103"/>
    <mergeCell ref="B102:B103"/>
    <mergeCell ref="C102:H102"/>
    <mergeCell ref="J102:L102"/>
    <mergeCell ref="L81:M81"/>
    <mergeCell ref="C82:C83"/>
    <mergeCell ref="D82:I82"/>
    <mergeCell ref="A87:A88"/>
    <mergeCell ref="B87:B88"/>
    <mergeCell ref="C87:F87"/>
    <mergeCell ref="G87:G88"/>
    <mergeCell ref="H87:H88"/>
    <mergeCell ref="I87:L87"/>
    <mergeCell ref="A66:B66"/>
    <mergeCell ref="D66:F66"/>
    <mergeCell ref="H66:K66"/>
    <mergeCell ref="A81:A83"/>
    <mergeCell ref="B81:B83"/>
    <mergeCell ref="C81:I81"/>
    <mergeCell ref="J81:J83"/>
    <mergeCell ref="A69:E69"/>
    <mergeCell ref="F69:L69"/>
    <mergeCell ref="C70:D70"/>
    <mergeCell ref="A64:B64"/>
    <mergeCell ref="D64:F64"/>
    <mergeCell ref="H64:K64"/>
    <mergeCell ref="A65:B65"/>
    <mergeCell ref="D65:F65"/>
    <mergeCell ref="H65:K65"/>
    <mergeCell ref="H56:K57"/>
    <mergeCell ref="L56:L57"/>
    <mergeCell ref="A63:B63"/>
    <mergeCell ref="D63:F63"/>
    <mergeCell ref="H63:K63"/>
    <mergeCell ref="A62:B62"/>
    <mergeCell ref="D62:F62"/>
    <mergeCell ref="H62:K62"/>
    <mergeCell ref="D59:F59"/>
    <mergeCell ref="H59:K59"/>
    <mergeCell ref="A51:B51"/>
    <mergeCell ref="D51:F51"/>
    <mergeCell ref="H51:K51"/>
    <mergeCell ref="A50:B50"/>
    <mergeCell ref="D50:F50"/>
    <mergeCell ref="H50:K50"/>
    <mergeCell ref="A1:N1"/>
    <mergeCell ref="J39:L39"/>
    <mergeCell ref="B40:D40"/>
    <mergeCell ref="E40:G40"/>
    <mergeCell ref="A3:A6"/>
    <mergeCell ref="B3:N3"/>
    <mergeCell ref="M4:N4"/>
    <mergeCell ref="B39:D39"/>
    <mergeCell ref="E39:G39"/>
    <mergeCell ref="B4:D4"/>
    <mergeCell ref="A60:B60"/>
    <mergeCell ref="D60:F60"/>
    <mergeCell ref="H60:K60"/>
    <mergeCell ref="A61:B61"/>
    <mergeCell ref="D61:F61"/>
    <mergeCell ref="H61:K61"/>
    <mergeCell ref="A58:B58"/>
    <mergeCell ref="D58:F58"/>
    <mergeCell ref="H58:K58"/>
    <mergeCell ref="A59:B59"/>
    <mergeCell ref="A56:B57"/>
    <mergeCell ref="C56:C57"/>
    <mergeCell ref="D56:F57"/>
    <mergeCell ref="G56:G57"/>
    <mergeCell ref="A54:B54"/>
    <mergeCell ref="D54:F54"/>
    <mergeCell ref="H54:K54"/>
    <mergeCell ref="A52:B52"/>
    <mergeCell ref="D52:F52"/>
    <mergeCell ref="H52:K52"/>
    <mergeCell ref="A53:B53"/>
    <mergeCell ref="D53:F53"/>
    <mergeCell ref="H53:K53"/>
    <mergeCell ref="A49:B49"/>
    <mergeCell ref="D49:F49"/>
    <mergeCell ref="H49:K49"/>
    <mergeCell ref="A47:B47"/>
    <mergeCell ref="D47:F47"/>
    <mergeCell ref="H47:K47"/>
    <mergeCell ref="A48:B48"/>
    <mergeCell ref="D48:F48"/>
    <mergeCell ref="H48:K48"/>
    <mergeCell ref="E4:G4"/>
    <mergeCell ref="J4:L4"/>
    <mergeCell ref="H4:I4"/>
    <mergeCell ref="A45:B46"/>
    <mergeCell ref="C45:C46"/>
    <mergeCell ref="D45:F46"/>
    <mergeCell ref="G45:G46"/>
    <mergeCell ref="H45:K46"/>
    <mergeCell ref="L45:L46"/>
  </mergeCells>
  <printOptions horizontalCentered="1"/>
  <pageMargins left="0.15748031496062992" right="0.15748031496062992" top="0.76" bottom="0.16" header="0.57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SheetLayoutView="100" workbookViewId="0" topLeftCell="A1">
      <selection activeCell="J28" sqref="J28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875"/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307</v>
      </c>
    </row>
    <row r="3" spans="1:14" ht="24" customHeight="1" thickBot="1">
      <c r="A3" s="876" t="s">
        <v>165</v>
      </c>
      <c r="B3" s="792" t="s">
        <v>412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4" ht="14.25" thickBot="1" thickTop="1">
      <c r="A4" s="876"/>
      <c r="B4" s="790" t="s">
        <v>308</v>
      </c>
      <c r="C4" s="790"/>
      <c r="D4" s="790"/>
      <c r="E4" s="790" t="s">
        <v>417</v>
      </c>
      <c r="F4" s="790"/>
      <c r="G4" s="790"/>
      <c r="H4" s="793" t="s">
        <v>309</v>
      </c>
      <c r="I4" s="793"/>
      <c r="J4" s="790" t="s">
        <v>418</v>
      </c>
      <c r="K4" s="790"/>
      <c r="L4" s="790"/>
      <c r="M4" s="790" t="s">
        <v>419</v>
      </c>
      <c r="N4" s="790"/>
    </row>
    <row r="5" spans="1:14" ht="14.25" thickBot="1" thickTop="1">
      <c r="A5" s="876"/>
      <c r="B5" s="66" t="s">
        <v>166</v>
      </c>
      <c r="C5" s="67" t="s">
        <v>167</v>
      </c>
      <c r="D5" s="68" t="s">
        <v>168</v>
      </c>
      <c r="E5" s="66" t="s">
        <v>166</v>
      </c>
      <c r="F5" s="67" t="s">
        <v>167</v>
      </c>
      <c r="G5" s="68" t="s">
        <v>168</v>
      </c>
      <c r="H5" s="69" t="s">
        <v>168</v>
      </c>
      <c r="I5" s="69" t="s">
        <v>169</v>
      </c>
      <c r="J5" s="70" t="s">
        <v>166</v>
      </c>
      <c r="K5" s="67" t="s">
        <v>167</v>
      </c>
      <c r="L5" s="68" t="s">
        <v>168</v>
      </c>
      <c r="M5" s="69" t="s">
        <v>168</v>
      </c>
      <c r="N5" s="68" t="s">
        <v>169</v>
      </c>
    </row>
    <row r="6" spans="1:14" ht="14.25" thickBot="1" thickTop="1">
      <c r="A6" s="791"/>
      <c r="B6" s="183" t="s">
        <v>170</v>
      </c>
      <c r="C6" s="184" t="s">
        <v>170</v>
      </c>
      <c r="D6" s="185"/>
      <c r="E6" s="183" t="s">
        <v>170</v>
      </c>
      <c r="F6" s="184" t="s">
        <v>170</v>
      </c>
      <c r="G6" s="185"/>
      <c r="H6" s="189" t="s">
        <v>171</v>
      </c>
      <c r="I6" s="189" t="s">
        <v>172</v>
      </c>
      <c r="J6" s="197" t="s">
        <v>170</v>
      </c>
      <c r="K6" s="184" t="s">
        <v>170</v>
      </c>
      <c r="L6" s="185"/>
      <c r="M6" s="189" t="s">
        <v>171</v>
      </c>
      <c r="N6" s="185" t="s">
        <v>172</v>
      </c>
    </row>
    <row r="7" spans="1:14" ht="13.5" customHeight="1">
      <c r="A7" s="274" t="s">
        <v>173</v>
      </c>
      <c r="B7" s="163">
        <v>0</v>
      </c>
      <c r="C7" s="164"/>
      <c r="D7" s="167">
        <f aca="true" t="shared" si="0" ref="D7:D18">SUM(B7:C7)</f>
        <v>0</v>
      </c>
      <c r="E7" s="163">
        <v>0</v>
      </c>
      <c r="F7" s="164"/>
      <c r="G7" s="167">
        <f aca="true" t="shared" si="1" ref="G7:G18">SUM(E7:F7)</f>
        <v>0</v>
      </c>
      <c r="H7" s="191">
        <f aca="true" t="shared" si="2" ref="H7:H38">+G7-D7</f>
        <v>0</v>
      </c>
      <c r="I7" s="195"/>
      <c r="J7" s="163"/>
      <c r="K7" s="164"/>
      <c r="L7" s="167">
        <f aca="true" t="shared" si="3" ref="L7:L18">SUM(J7:K7)</f>
        <v>0</v>
      </c>
      <c r="M7" s="191">
        <f aca="true" t="shared" si="4" ref="M7:M38">+L7-G7</f>
        <v>0</v>
      </c>
      <c r="N7" s="192"/>
    </row>
    <row r="8" spans="1:14" ht="13.5" customHeight="1">
      <c r="A8" s="275" t="s">
        <v>174</v>
      </c>
      <c r="B8" s="14">
        <v>7216</v>
      </c>
      <c r="C8" s="13"/>
      <c r="D8" s="168">
        <f t="shared" si="0"/>
        <v>7216</v>
      </c>
      <c r="E8" s="14">
        <v>11989</v>
      </c>
      <c r="F8" s="13"/>
      <c r="G8" s="168">
        <f t="shared" si="1"/>
        <v>11989</v>
      </c>
      <c r="H8" s="193">
        <f t="shared" si="2"/>
        <v>4773</v>
      </c>
      <c r="I8" s="196">
        <f aca="true" t="shared" si="5" ref="I8:I22">+G8/D8</f>
        <v>1.6614467849223946</v>
      </c>
      <c r="J8" s="14">
        <v>11500</v>
      </c>
      <c r="K8" s="13"/>
      <c r="L8" s="168">
        <f t="shared" si="3"/>
        <v>11500</v>
      </c>
      <c r="M8" s="193">
        <f t="shared" si="4"/>
        <v>-489</v>
      </c>
      <c r="N8" s="194">
        <f aca="true" t="shared" si="6" ref="N8:N22">+L8/G8</f>
        <v>0.9592126115605972</v>
      </c>
    </row>
    <row r="9" spans="1:14" ht="13.5" customHeight="1">
      <c r="A9" s="275" t="s">
        <v>175</v>
      </c>
      <c r="B9" s="14">
        <v>0</v>
      </c>
      <c r="C9" s="13"/>
      <c r="D9" s="168">
        <f t="shared" si="0"/>
        <v>0</v>
      </c>
      <c r="E9" s="14">
        <v>0</v>
      </c>
      <c r="F9" s="13"/>
      <c r="G9" s="168">
        <f t="shared" si="1"/>
        <v>0</v>
      </c>
      <c r="H9" s="193">
        <f t="shared" si="2"/>
        <v>0</v>
      </c>
      <c r="I9" s="196"/>
      <c r="J9" s="14">
        <v>0</v>
      </c>
      <c r="K9" s="13"/>
      <c r="L9" s="168">
        <f t="shared" si="3"/>
        <v>0</v>
      </c>
      <c r="M9" s="193">
        <f t="shared" si="4"/>
        <v>0</v>
      </c>
      <c r="N9" s="194"/>
    </row>
    <row r="10" spans="1:14" ht="13.5" customHeight="1">
      <c r="A10" s="275" t="s">
        <v>176</v>
      </c>
      <c r="B10" s="14">
        <v>0</v>
      </c>
      <c r="C10" s="13"/>
      <c r="D10" s="168">
        <f t="shared" si="0"/>
        <v>0</v>
      </c>
      <c r="E10" s="14">
        <v>0</v>
      </c>
      <c r="F10" s="13"/>
      <c r="G10" s="168">
        <f t="shared" si="1"/>
        <v>0</v>
      </c>
      <c r="H10" s="193">
        <f t="shared" si="2"/>
        <v>0</v>
      </c>
      <c r="I10" s="196"/>
      <c r="J10" s="14">
        <v>0</v>
      </c>
      <c r="K10" s="13"/>
      <c r="L10" s="168">
        <f t="shared" si="3"/>
        <v>0</v>
      </c>
      <c r="M10" s="193">
        <f t="shared" si="4"/>
        <v>0</v>
      </c>
      <c r="N10" s="194"/>
    </row>
    <row r="11" spans="1:14" ht="13.5" customHeight="1">
      <c r="A11" s="275" t="s">
        <v>177</v>
      </c>
      <c r="B11" s="14">
        <v>76</v>
      </c>
      <c r="C11" s="13"/>
      <c r="D11" s="168">
        <f t="shared" si="0"/>
        <v>76</v>
      </c>
      <c r="E11" s="14">
        <v>201</v>
      </c>
      <c r="F11" s="13"/>
      <c r="G11" s="168">
        <f t="shared" si="1"/>
        <v>201</v>
      </c>
      <c r="H11" s="193">
        <f t="shared" si="2"/>
        <v>125</v>
      </c>
      <c r="I11" s="196">
        <f t="shared" si="5"/>
        <v>2.6447368421052633</v>
      </c>
      <c r="J11" s="14">
        <v>80</v>
      </c>
      <c r="K11" s="13"/>
      <c r="L11" s="168">
        <f t="shared" si="3"/>
        <v>80</v>
      </c>
      <c r="M11" s="193">
        <f t="shared" si="4"/>
        <v>-121</v>
      </c>
      <c r="N11" s="194">
        <f t="shared" si="6"/>
        <v>0.39800995024875624</v>
      </c>
    </row>
    <row r="12" spans="1:14" ht="13.5" customHeight="1">
      <c r="A12" s="276" t="s">
        <v>178</v>
      </c>
      <c r="B12" s="14">
        <v>20</v>
      </c>
      <c r="C12" s="13"/>
      <c r="D12" s="168">
        <f t="shared" si="0"/>
        <v>20</v>
      </c>
      <c r="E12" s="14">
        <v>102</v>
      </c>
      <c r="F12" s="13"/>
      <c r="G12" s="168">
        <f t="shared" si="1"/>
        <v>102</v>
      </c>
      <c r="H12" s="193">
        <f t="shared" si="2"/>
        <v>82</v>
      </c>
      <c r="I12" s="196">
        <f t="shared" si="5"/>
        <v>5.1</v>
      </c>
      <c r="J12" s="14">
        <v>20</v>
      </c>
      <c r="K12" s="13"/>
      <c r="L12" s="168">
        <f t="shared" si="3"/>
        <v>20</v>
      </c>
      <c r="M12" s="193">
        <f t="shared" si="4"/>
        <v>-82</v>
      </c>
      <c r="N12" s="194">
        <f t="shared" si="6"/>
        <v>0.19607843137254902</v>
      </c>
    </row>
    <row r="13" spans="1:14" ht="13.5" customHeight="1">
      <c r="A13" s="276" t="s">
        <v>179</v>
      </c>
      <c r="B13" s="14">
        <v>0</v>
      </c>
      <c r="C13" s="13"/>
      <c r="D13" s="168">
        <f t="shared" si="0"/>
        <v>0</v>
      </c>
      <c r="E13" s="14">
        <v>0</v>
      </c>
      <c r="F13" s="13"/>
      <c r="G13" s="168">
        <f t="shared" si="1"/>
        <v>0</v>
      </c>
      <c r="H13" s="193">
        <f t="shared" si="2"/>
        <v>0</v>
      </c>
      <c r="I13" s="196"/>
      <c r="J13" s="14">
        <v>0</v>
      </c>
      <c r="K13" s="13"/>
      <c r="L13" s="168">
        <f t="shared" si="3"/>
        <v>0</v>
      </c>
      <c r="M13" s="193">
        <f t="shared" si="4"/>
        <v>0</v>
      </c>
      <c r="N13" s="194"/>
    </row>
    <row r="14" spans="1:14" ht="23.25" customHeight="1">
      <c r="A14" s="276" t="s">
        <v>180</v>
      </c>
      <c r="B14" s="14">
        <v>0</v>
      </c>
      <c r="C14" s="13"/>
      <c r="D14" s="168">
        <f t="shared" si="0"/>
        <v>0</v>
      </c>
      <c r="E14" s="14">
        <v>0</v>
      </c>
      <c r="F14" s="13"/>
      <c r="G14" s="168">
        <f t="shared" si="1"/>
        <v>0</v>
      </c>
      <c r="H14" s="193">
        <f t="shared" si="2"/>
        <v>0</v>
      </c>
      <c r="I14" s="196"/>
      <c r="J14" s="14">
        <v>0</v>
      </c>
      <c r="K14" s="13"/>
      <c r="L14" s="168">
        <f t="shared" si="3"/>
        <v>0</v>
      </c>
      <c r="M14" s="193">
        <f t="shared" si="4"/>
        <v>0</v>
      </c>
      <c r="N14" s="194"/>
    </row>
    <row r="15" spans="1:14" ht="13.5" customHeight="1">
      <c r="A15" s="275" t="s">
        <v>181</v>
      </c>
      <c r="B15" s="14">
        <v>13538</v>
      </c>
      <c r="C15" s="13"/>
      <c r="D15" s="168">
        <f t="shared" si="0"/>
        <v>13538</v>
      </c>
      <c r="E15" s="14">
        <v>11508</v>
      </c>
      <c r="F15" s="13"/>
      <c r="G15" s="168">
        <f t="shared" si="1"/>
        <v>11508</v>
      </c>
      <c r="H15" s="193">
        <f t="shared" si="2"/>
        <v>-2030</v>
      </c>
      <c r="I15" s="196">
        <f t="shared" si="5"/>
        <v>0.8500517063081696</v>
      </c>
      <c r="J15" s="15">
        <v>9361</v>
      </c>
      <c r="K15" s="279"/>
      <c r="L15" s="168">
        <f t="shared" si="3"/>
        <v>9361</v>
      </c>
      <c r="M15" s="193">
        <f t="shared" si="4"/>
        <v>-2147</v>
      </c>
      <c r="N15" s="194">
        <f t="shared" si="6"/>
        <v>0.8134341327771984</v>
      </c>
    </row>
    <row r="16" spans="1:14" ht="13.5" customHeight="1">
      <c r="A16" s="277" t="s">
        <v>310</v>
      </c>
      <c r="B16" s="14">
        <v>13538</v>
      </c>
      <c r="C16" s="13"/>
      <c r="D16" s="168">
        <f t="shared" si="0"/>
        <v>13538</v>
      </c>
      <c r="E16" s="14">
        <v>1729</v>
      </c>
      <c r="F16" s="13"/>
      <c r="G16" s="168">
        <f t="shared" si="1"/>
        <v>1729</v>
      </c>
      <c r="H16" s="193">
        <f t="shared" si="2"/>
        <v>-11809</v>
      </c>
      <c r="I16" s="196">
        <f t="shared" si="5"/>
        <v>0.12771458117890383</v>
      </c>
      <c r="J16" s="15">
        <v>541</v>
      </c>
      <c r="K16" s="13"/>
      <c r="L16" s="168">
        <f t="shared" si="3"/>
        <v>541</v>
      </c>
      <c r="M16" s="193">
        <f t="shared" si="4"/>
        <v>-1188</v>
      </c>
      <c r="N16" s="194">
        <f t="shared" si="6"/>
        <v>0.31289762868710236</v>
      </c>
    </row>
    <row r="17" spans="1:14" ht="13.5" customHeight="1">
      <c r="A17" s="277" t="s">
        <v>311</v>
      </c>
      <c r="B17" s="14">
        <v>0</v>
      </c>
      <c r="C17" s="13"/>
      <c r="D17" s="168">
        <f t="shared" si="0"/>
        <v>0</v>
      </c>
      <c r="E17" s="14">
        <v>9779</v>
      </c>
      <c r="F17" s="13"/>
      <c r="G17" s="168">
        <f t="shared" si="1"/>
        <v>9779</v>
      </c>
      <c r="H17" s="193">
        <f t="shared" si="2"/>
        <v>9779</v>
      </c>
      <c r="I17" s="196"/>
      <c r="J17" s="15">
        <v>8820</v>
      </c>
      <c r="K17" s="13"/>
      <c r="L17" s="168">
        <f t="shared" si="3"/>
        <v>8820</v>
      </c>
      <c r="M17" s="193">
        <f t="shared" si="4"/>
        <v>-959</v>
      </c>
      <c r="N17" s="194">
        <f t="shared" si="6"/>
        <v>0.901932712956335</v>
      </c>
    </row>
    <row r="18" spans="1:14" ht="13.5" customHeight="1" thickBot="1">
      <c r="A18" s="278" t="s">
        <v>416</v>
      </c>
      <c r="B18" s="165">
        <v>0</v>
      </c>
      <c r="C18" s="166"/>
      <c r="D18" s="168">
        <f t="shared" si="0"/>
        <v>0</v>
      </c>
      <c r="E18" s="165">
        <v>0</v>
      </c>
      <c r="F18" s="166"/>
      <c r="G18" s="168">
        <f t="shared" si="1"/>
        <v>0</v>
      </c>
      <c r="H18" s="271"/>
      <c r="I18" s="273"/>
      <c r="J18" s="169"/>
      <c r="K18" s="166"/>
      <c r="L18" s="168">
        <f t="shared" si="3"/>
        <v>0</v>
      </c>
      <c r="M18" s="271"/>
      <c r="N18" s="272"/>
    </row>
    <row r="19" spans="1:14" ht="13.5" customHeight="1" thickBot="1">
      <c r="A19" s="182" t="s">
        <v>182</v>
      </c>
      <c r="B19" s="186">
        <f aca="true" t="shared" si="7" ref="B19:G19">SUM(B7+B8+B9+B10+B11+B13+B15)</f>
        <v>20830</v>
      </c>
      <c r="C19" s="187">
        <f t="shared" si="7"/>
        <v>0</v>
      </c>
      <c r="D19" s="188">
        <f t="shared" si="7"/>
        <v>20830</v>
      </c>
      <c r="E19" s="186">
        <f t="shared" si="7"/>
        <v>23698</v>
      </c>
      <c r="F19" s="187">
        <f t="shared" si="7"/>
        <v>0</v>
      </c>
      <c r="G19" s="188">
        <f t="shared" si="7"/>
        <v>23698</v>
      </c>
      <c r="H19" s="190">
        <f t="shared" si="2"/>
        <v>2868</v>
      </c>
      <c r="I19" s="108">
        <f t="shared" si="5"/>
        <v>1.1376860297647624</v>
      </c>
      <c r="J19" s="198">
        <f>SUM(J7+J8+J9+J10+J11+J13+J15)</f>
        <v>20941</v>
      </c>
      <c r="K19" s="187">
        <f>SUM(K7+K8+K9+K10+K11+K13+K15)</f>
        <v>0</v>
      </c>
      <c r="L19" s="188">
        <f>SUM(L7+L8+L9+L10+L11+L13+L15)</f>
        <v>20941</v>
      </c>
      <c r="M19" s="190">
        <f t="shared" si="4"/>
        <v>-2757</v>
      </c>
      <c r="N19" s="199">
        <f t="shared" si="6"/>
        <v>0.8836610684445945</v>
      </c>
    </row>
    <row r="20" spans="1:14" ht="13.5" customHeight="1">
      <c r="A20" s="96" t="s">
        <v>183</v>
      </c>
      <c r="B20" s="71">
        <v>3929</v>
      </c>
      <c r="C20" s="72"/>
      <c r="D20" s="73">
        <f aca="true" t="shared" si="8" ref="D20:D37">SUM(B20:C20)</f>
        <v>3929</v>
      </c>
      <c r="E20" s="71">
        <v>4703</v>
      </c>
      <c r="F20" s="72"/>
      <c r="G20" s="97">
        <f aca="true" t="shared" si="9" ref="G20:G37">SUM(E20:F20)</f>
        <v>4703</v>
      </c>
      <c r="H20" s="98">
        <f t="shared" si="2"/>
        <v>774</v>
      </c>
      <c r="I20" s="99">
        <f t="shared" si="5"/>
        <v>1.1969966912700434</v>
      </c>
      <c r="J20" s="76">
        <f>5500-400</f>
        <v>5100</v>
      </c>
      <c r="K20" s="72"/>
      <c r="L20" s="100">
        <f aca="true" t="shared" si="10" ref="L20:L37">SUM(J20:K20)</f>
        <v>5100</v>
      </c>
      <c r="M20" s="98">
        <f t="shared" si="4"/>
        <v>397</v>
      </c>
      <c r="N20" s="101">
        <f t="shared" si="6"/>
        <v>1.0844142036997662</v>
      </c>
    </row>
    <row r="21" spans="1:14" ht="21" customHeight="1">
      <c r="A21" s="82" t="s">
        <v>184</v>
      </c>
      <c r="B21" s="71">
        <v>776</v>
      </c>
      <c r="C21" s="72"/>
      <c r="D21" s="73">
        <f t="shared" si="8"/>
        <v>776</v>
      </c>
      <c r="E21" s="71">
        <v>1333</v>
      </c>
      <c r="F21" s="72"/>
      <c r="G21" s="97">
        <f t="shared" si="9"/>
        <v>1333</v>
      </c>
      <c r="H21" s="74">
        <f t="shared" si="2"/>
        <v>557</v>
      </c>
      <c r="I21" s="75">
        <f t="shared" si="5"/>
        <v>1.717783505154639</v>
      </c>
      <c r="J21" s="76">
        <v>1100</v>
      </c>
      <c r="K21" s="72"/>
      <c r="L21" s="100">
        <f t="shared" si="10"/>
        <v>1100</v>
      </c>
      <c r="M21" s="74">
        <f t="shared" si="4"/>
        <v>-233</v>
      </c>
      <c r="N21" s="77">
        <f t="shared" si="6"/>
        <v>0.8252063015753939</v>
      </c>
    </row>
    <row r="22" spans="1:14" ht="13.5" customHeight="1">
      <c r="A22" s="78" t="s">
        <v>185</v>
      </c>
      <c r="B22" s="79">
        <v>1584</v>
      </c>
      <c r="C22" s="80"/>
      <c r="D22" s="73">
        <f t="shared" si="8"/>
        <v>1584</v>
      </c>
      <c r="E22" s="79">
        <v>1666</v>
      </c>
      <c r="F22" s="80"/>
      <c r="G22" s="97">
        <f t="shared" si="9"/>
        <v>1666</v>
      </c>
      <c r="H22" s="74">
        <f t="shared" si="2"/>
        <v>82</v>
      </c>
      <c r="I22" s="75">
        <f t="shared" si="5"/>
        <v>1.0517676767676767</v>
      </c>
      <c r="J22" s="81">
        <v>2100</v>
      </c>
      <c r="K22" s="80"/>
      <c r="L22" s="100">
        <f t="shared" si="10"/>
        <v>2100</v>
      </c>
      <c r="M22" s="74">
        <f t="shared" si="4"/>
        <v>434</v>
      </c>
      <c r="N22" s="77">
        <f t="shared" si="6"/>
        <v>1.2605042016806722</v>
      </c>
    </row>
    <row r="23" spans="1:14" ht="13.5" customHeight="1">
      <c r="A23" s="82" t="s">
        <v>186</v>
      </c>
      <c r="B23" s="79">
        <v>0</v>
      </c>
      <c r="C23" s="80"/>
      <c r="D23" s="73">
        <f t="shared" si="8"/>
        <v>0</v>
      </c>
      <c r="E23" s="79">
        <v>0</v>
      </c>
      <c r="F23" s="80"/>
      <c r="G23" s="97">
        <f t="shared" si="9"/>
        <v>0</v>
      </c>
      <c r="H23" s="74">
        <f t="shared" si="2"/>
        <v>0</v>
      </c>
      <c r="I23" s="75"/>
      <c r="J23" s="81">
        <v>0</v>
      </c>
      <c r="K23" s="80"/>
      <c r="L23" s="100">
        <f t="shared" si="10"/>
        <v>0</v>
      </c>
      <c r="M23" s="74">
        <f t="shared" si="4"/>
        <v>0</v>
      </c>
      <c r="N23" s="77"/>
    </row>
    <row r="24" spans="1:14" ht="13.5" customHeight="1">
      <c r="A24" s="78" t="s">
        <v>298</v>
      </c>
      <c r="B24" s="79">
        <v>0</v>
      </c>
      <c r="C24" s="80"/>
      <c r="D24" s="73">
        <f t="shared" si="8"/>
        <v>0</v>
      </c>
      <c r="E24" s="79">
        <v>32</v>
      </c>
      <c r="F24" s="80"/>
      <c r="G24" s="97">
        <f t="shared" si="9"/>
        <v>32</v>
      </c>
      <c r="H24" s="74">
        <f t="shared" si="2"/>
        <v>32</v>
      </c>
      <c r="I24" s="75"/>
      <c r="J24" s="81">
        <v>40</v>
      </c>
      <c r="K24" s="80"/>
      <c r="L24" s="100">
        <f t="shared" si="10"/>
        <v>40</v>
      </c>
      <c r="M24" s="74">
        <f t="shared" si="4"/>
        <v>8</v>
      </c>
      <c r="N24" s="77">
        <f aca="true" t="shared" si="11" ref="N24:N38">+L24/G24</f>
        <v>1.25</v>
      </c>
    </row>
    <row r="25" spans="1:14" ht="13.5" customHeight="1">
      <c r="A25" s="78" t="s">
        <v>187</v>
      </c>
      <c r="B25" s="81">
        <v>975</v>
      </c>
      <c r="C25" s="80"/>
      <c r="D25" s="73">
        <f t="shared" si="8"/>
        <v>975</v>
      </c>
      <c r="E25" s="81">
        <v>933</v>
      </c>
      <c r="F25" s="80"/>
      <c r="G25" s="97">
        <f t="shared" si="9"/>
        <v>933</v>
      </c>
      <c r="H25" s="74">
        <f t="shared" si="2"/>
        <v>-42</v>
      </c>
      <c r="I25" s="75">
        <f aca="true" t="shared" si="12" ref="I25:I38">+G25/D25</f>
        <v>0.9569230769230769</v>
      </c>
      <c r="J25" s="81">
        <f>SUM(J26:J27)</f>
        <v>940</v>
      </c>
      <c r="K25" s="80"/>
      <c r="L25" s="100">
        <f t="shared" si="10"/>
        <v>940</v>
      </c>
      <c r="M25" s="74">
        <f t="shared" si="4"/>
        <v>7</v>
      </c>
      <c r="N25" s="77">
        <f t="shared" si="11"/>
        <v>1.007502679528403</v>
      </c>
    </row>
    <row r="26" spans="1:14" ht="13.5" customHeight="1">
      <c r="A26" s="82" t="s">
        <v>188</v>
      </c>
      <c r="B26" s="79">
        <v>121</v>
      </c>
      <c r="C26" s="80"/>
      <c r="D26" s="73">
        <f t="shared" si="8"/>
        <v>121</v>
      </c>
      <c r="E26" s="79">
        <v>242</v>
      </c>
      <c r="F26" s="80"/>
      <c r="G26" s="97">
        <f t="shared" si="9"/>
        <v>242</v>
      </c>
      <c r="H26" s="74">
        <f t="shared" si="2"/>
        <v>121</v>
      </c>
      <c r="I26" s="75">
        <f t="shared" si="12"/>
        <v>2</v>
      </c>
      <c r="J26" s="102">
        <v>140</v>
      </c>
      <c r="K26" s="80"/>
      <c r="L26" s="100">
        <f t="shared" si="10"/>
        <v>140</v>
      </c>
      <c r="M26" s="74">
        <f t="shared" si="4"/>
        <v>-102</v>
      </c>
      <c r="N26" s="77">
        <f t="shared" si="11"/>
        <v>0.5785123966942148</v>
      </c>
    </row>
    <row r="27" spans="1:14" ht="13.5" customHeight="1">
      <c r="A27" s="78" t="s">
        <v>189</v>
      </c>
      <c r="B27" s="79">
        <v>814</v>
      </c>
      <c r="C27" s="80"/>
      <c r="D27" s="73">
        <f t="shared" si="8"/>
        <v>814</v>
      </c>
      <c r="E27" s="79">
        <v>689</v>
      </c>
      <c r="F27" s="80"/>
      <c r="G27" s="97">
        <f t="shared" si="9"/>
        <v>689</v>
      </c>
      <c r="H27" s="74">
        <f t="shared" si="2"/>
        <v>-125</v>
      </c>
      <c r="I27" s="75">
        <f t="shared" si="12"/>
        <v>0.8464373464373465</v>
      </c>
      <c r="J27" s="102">
        <v>800</v>
      </c>
      <c r="K27" s="80"/>
      <c r="L27" s="100">
        <f t="shared" si="10"/>
        <v>800</v>
      </c>
      <c r="M27" s="74">
        <f t="shared" si="4"/>
        <v>111</v>
      </c>
      <c r="N27" s="77">
        <f t="shared" si="11"/>
        <v>1.1611030478955007</v>
      </c>
    </row>
    <row r="28" spans="1:14" ht="13.5" customHeight="1">
      <c r="A28" s="103" t="s">
        <v>190</v>
      </c>
      <c r="B28" s="81">
        <v>13710</v>
      </c>
      <c r="C28" s="80"/>
      <c r="D28" s="73">
        <f t="shared" si="8"/>
        <v>13710</v>
      </c>
      <c r="E28" s="81">
        <v>15196</v>
      </c>
      <c r="F28" s="80"/>
      <c r="G28" s="97">
        <f t="shared" si="9"/>
        <v>15196</v>
      </c>
      <c r="H28" s="74">
        <f t="shared" si="2"/>
        <v>1486</v>
      </c>
      <c r="I28" s="75">
        <f t="shared" si="12"/>
        <v>1.1083880379285194</v>
      </c>
      <c r="J28" s="81">
        <f>J29+J32</f>
        <v>16400</v>
      </c>
      <c r="K28" s="80"/>
      <c r="L28" s="100">
        <f t="shared" si="10"/>
        <v>16400</v>
      </c>
      <c r="M28" s="74">
        <f t="shared" si="4"/>
        <v>1204</v>
      </c>
      <c r="N28" s="77">
        <f t="shared" si="11"/>
        <v>1.0792313766780732</v>
      </c>
    </row>
    <row r="29" spans="1:14" ht="13.5" customHeight="1">
      <c r="A29" s="82" t="s">
        <v>191</v>
      </c>
      <c r="B29" s="79">
        <v>10002</v>
      </c>
      <c r="C29" s="80"/>
      <c r="D29" s="73">
        <f t="shared" si="8"/>
        <v>10002</v>
      </c>
      <c r="E29" s="79">
        <v>11059</v>
      </c>
      <c r="F29" s="80"/>
      <c r="G29" s="97">
        <f t="shared" si="9"/>
        <v>11059</v>
      </c>
      <c r="H29" s="74">
        <f t="shared" si="2"/>
        <v>1057</v>
      </c>
      <c r="I29" s="75">
        <f t="shared" si="12"/>
        <v>1.1056788642271547</v>
      </c>
      <c r="J29" s="102">
        <f>J30+J31</f>
        <v>11681</v>
      </c>
      <c r="K29" s="104"/>
      <c r="L29" s="100">
        <f t="shared" si="10"/>
        <v>11681</v>
      </c>
      <c r="M29" s="74">
        <f t="shared" si="4"/>
        <v>622</v>
      </c>
      <c r="N29" s="77">
        <f t="shared" si="11"/>
        <v>1.056243783343883</v>
      </c>
    </row>
    <row r="30" spans="1:14" ht="13.5" customHeight="1">
      <c r="A30" s="103" t="s">
        <v>192</v>
      </c>
      <c r="B30" s="79">
        <v>9914</v>
      </c>
      <c r="C30" s="80"/>
      <c r="D30" s="73">
        <f t="shared" si="8"/>
        <v>9914</v>
      </c>
      <c r="E30" s="79">
        <v>11020</v>
      </c>
      <c r="F30" s="80"/>
      <c r="G30" s="97">
        <f t="shared" si="9"/>
        <v>11020</v>
      </c>
      <c r="H30" s="74">
        <f t="shared" si="2"/>
        <v>1106</v>
      </c>
      <c r="I30" s="75">
        <f t="shared" si="12"/>
        <v>1.1115594109340328</v>
      </c>
      <c r="J30" s="81">
        <f>11800-219</f>
        <v>11581</v>
      </c>
      <c r="K30" s="80"/>
      <c r="L30" s="100">
        <f t="shared" si="10"/>
        <v>11581</v>
      </c>
      <c r="M30" s="74">
        <f t="shared" si="4"/>
        <v>561</v>
      </c>
      <c r="N30" s="77">
        <f t="shared" si="11"/>
        <v>1.050907441016334</v>
      </c>
    </row>
    <row r="31" spans="1:14" ht="13.5" customHeight="1">
      <c r="A31" s="82" t="s">
        <v>193</v>
      </c>
      <c r="B31" s="79">
        <v>88</v>
      </c>
      <c r="C31" s="80"/>
      <c r="D31" s="73">
        <f t="shared" si="8"/>
        <v>88</v>
      </c>
      <c r="E31" s="79">
        <v>39</v>
      </c>
      <c r="F31" s="80"/>
      <c r="G31" s="97">
        <f t="shared" si="9"/>
        <v>39</v>
      </c>
      <c r="H31" s="74">
        <f t="shared" si="2"/>
        <v>-49</v>
      </c>
      <c r="I31" s="75">
        <f t="shared" si="12"/>
        <v>0.4431818181818182</v>
      </c>
      <c r="J31" s="81">
        <v>100</v>
      </c>
      <c r="K31" s="80"/>
      <c r="L31" s="100">
        <f t="shared" si="10"/>
        <v>100</v>
      </c>
      <c r="M31" s="74">
        <f t="shared" si="4"/>
        <v>61</v>
      </c>
      <c r="N31" s="77">
        <f t="shared" si="11"/>
        <v>2.5641025641025643</v>
      </c>
    </row>
    <row r="32" spans="1:14" ht="13.5" customHeight="1">
      <c r="A32" s="82" t="s">
        <v>194</v>
      </c>
      <c r="B32" s="79">
        <v>3708</v>
      </c>
      <c r="C32" s="80"/>
      <c r="D32" s="73">
        <f t="shared" si="8"/>
        <v>3708</v>
      </c>
      <c r="E32" s="79">
        <v>4137</v>
      </c>
      <c r="F32" s="80"/>
      <c r="G32" s="97">
        <f t="shared" si="9"/>
        <v>4137</v>
      </c>
      <c r="H32" s="74">
        <f t="shared" si="2"/>
        <v>429</v>
      </c>
      <c r="I32" s="75">
        <f t="shared" si="12"/>
        <v>1.1156957928802589</v>
      </c>
      <c r="J32" s="81">
        <f>4800-81</f>
        <v>4719</v>
      </c>
      <c r="K32" s="80"/>
      <c r="L32" s="100">
        <f t="shared" si="10"/>
        <v>4719</v>
      </c>
      <c r="M32" s="74">
        <f t="shared" si="4"/>
        <v>582</v>
      </c>
      <c r="N32" s="77">
        <f t="shared" si="11"/>
        <v>1.1406816533720088</v>
      </c>
    </row>
    <row r="33" spans="1:14" ht="13.5" customHeight="1">
      <c r="A33" s="103" t="s">
        <v>195</v>
      </c>
      <c r="B33" s="79">
        <v>1</v>
      </c>
      <c r="C33" s="80"/>
      <c r="D33" s="73">
        <f t="shared" si="8"/>
        <v>1</v>
      </c>
      <c r="E33" s="79">
        <v>2</v>
      </c>
      <c r="F33" s="80"/>
      <c r="G33" s="97">
        <f t="shared" si="9"/>
        <v>2</v>
      </c>
      <c r="H33" s="74">
        <f t="shared" si="2"/>
        <v>1</v>
      </c>
      <c r="I33" s="75">
        <f t="shared" si="12"/>
        <v>2</v>
      </c>
      <c r="J33" s="81">
        <v>1</v>
      </c>
      <c r="K33" s="80"/>
      <c r="L33" s="100">
        <f t="shared" si="10"/>
        <v>1</v>
      </c>
      <c r="M33" s="74">
        <f t="shared" si="4"/>
        <v>-1</v>
      </c>
      <c r="N33" s="77">
        <f t="shared" si="11"/>
        <v>0.5</v>
      </c>
    </row>
    <row r="34" spans="1:14" ht="13.5" customHeight="1">
      <c r="A34" s="103" t="s">
        <v>196</v>
      </c>
      <c r="B34" s="79">
        <v>144</v>
      </c>
      <c r="C34" s="80"/>
      <c r="D34" s="73">
        <f t="shared" si="8"/>
        <v>144</v>
      </c>
      <c r="E34" s="79">
        <v>688</v>
      </c>
      <c r="F34" s="80"/>
      <c r="G34" s="97">
        <f t="shared" si="9"/>
        <v>688</v>
      </c>
      <c r="H34" s="74">
        <f t="shared" si="2"/>
        <v>544</v>
      </c>
      <c r="I34" s="75">
        <f t="shared" si="12"/>
        <v>4.777777777777778</v>
      </c>
      <c r="J34" s="81">
        <v>150</v>
      </c>
      <c r="K34" s="80"/>
      <c r="L34" s="100">
        <f t="shared" si="10"/>
        <v>150</v>
      </c>
      <c r="M34" s="74">
        <f t="shared" si="4"/>
        <v>-538</v>
      </c>
      <c r="N34" s="77">
        <f t="shared" si="11"/>
        <v>0.2180232558139535</v>
      </c>
    </row>
    <row r="35" spans="1:14" ht="13.5" customHeight="1">
      <c r="A35" s="82" t="s">
        <v>197</v>
      </c>
      <c r="B35" s="79">
        <v>487</v>
      </c>
      <c r="C35" s="80"/>
      <c r="D35" s="73">
        <f t="shared" si="8"/>
        <v>487</v>
      </c>
      <c r="E35" s="79">
        <v>478</v>
      </c>
      <c r="F35" s="80"/>
      <c r="G35" s="97">
        <f t="shared" si="9"/>
        <v>478</v>
      </c>
      <c r="H35" s="74">
        <f t="shared" si="2"/>
        <v>-9</v>
      </c>
      <c r="I35" s="75">
        <f t="shared" si="12"/>
        <v>0.9815195071868583</v>
      </c>
      <c r="J35" s="102">
        <v>494</v>
      </c>
      <c r="K35" s="80"/>
      <c r="L35" s="100">
        <f t="shared" si="10"/>
        <v>494</v>
      </c>
      <c r="M35" s="74">
        <f t="shared" si="4"/>
        <v>16</v>
      </c>
      <c r="N35" s="77">
        <f t="shared" si="11"/>
        <v>1.0334728033472804</v>
      </c>
    </row>
    <row r="36" spans="1:14" ht="22.5" customHeight="1">
      <c r="A36" s="82" t="s">
        <v>198</v>
      </c>
      <c r="B36" s="79">
        <v>487</v>
      </c>
      <c r="C36" s="80"/>
      <c r="D36" s="73">
        <f t="shared" si="8"/>
        <v>487</v>
      </c>
      <c r="E36" s="79">
        <v>478</v>
      </c>
      <c r="F36" s="80"/>
      <c r="G36" s="97">
        <f t="shared" si="9"/>
        <v>478</v>
      </c>
      <c r="H36" s="74">
        <f t="shared" si="2"/>
        <v>-9</v>
      </c>
      <c r="I36" s="75">
        <f t="shared" si="12"/>
        <v>0.9815195071868583</v>
      </c>
      <c r="J36" s="102">
        <v>494</v>
      </c>
      <c r="K36" s="80"/>
      <c r="L36" s="100">
        <f t="shared" si="10"/>
        <v>494</v>
      </c>
      <c r="M36" s="74">
        <f t="shared" si="4"/>
        <v>16</v>
      </c>
      <c r="N36" s="77">
        <f t="shared" si="11"/>
        <v>1.0334728033472804</v>
      </c>
    </row>
    <row r="37" spans="1:14" ht="13.5" customHeight="1" thickBot="1">
      <c r="A37" s="105" t="s">
        <v>199</v>
      </c>
      <c r="B37" s="83">
        <v>0</v>
      </c>
      <c r="C37" s="84"/>
      <c r="D37" s="73">
        <f t="shared" si="8"/>
        <v>0</v>
      </c>
      <c r="E37" s="83">
        <v>0</v>
      </c>
      <c r="F37" s="84"/>
      <c r="G37" s="97">
        <f t="shared" si="9"/>
        <v>0</v>
      </c>
      <c r="H37" s="85">
        <f t="shared" si="2"/>
        <v>0</v>
      </c>
      <c r="I37" s="86"/>
      <c r="J37" s="106">
        <v>0</v>
      </c>
      <c r="K37" s="84"/>
      <c r="L37" s="100">
        <f t="shared" si="10"/>
        <v>0</v>
      </c>
      <c r="M37" s="85">
        <f t="shared" si="4"/>
        <v>0</v>
      </c>
      <c r="N37" s="87"/>
    </row>
    <row r="38" spans="1:14" ht="13.5" customHeight="1" thickBot="1">
      <c r="A38" s="88" t="s">
        <v>200</v>
      </c>
      <c r="B38" s="89">
        <f aca="true" t="shared" si="13" ref="B38:G38">SUM(B20+B22+B23+B24+B25+B28+B33+B34+B35+B37)</f>
        <v>20830</v>
      </c>
      <c r="C38" s="90">
        <f t="shared" si="13"/>
        <v>0</v>
      </c>
      <c r="D38" s="91">
        <f t="shared" si="13"/>
        <v>20830</v>
      </c>
      <c r="E38" s="89">
        <f t="shared" si="13"/>
        <v>23698</v>
      </c>
      <c r="F38" s="90">
        <f t="shared" si="13"/>
        <v>0</v>
      </c>
      <c r="G38" s="91">
        <f t="shared" si="13"/>
        <v>23698</v>
      </c>
      <c r="H38" s="92">
        <f t="shared" si="2"/>
        <v>2868</v>
      </c>
      <c r="I38" s="93">
        <f t="shared" si="12"/>
        <v>1.1376860297647624</v>
      </c>
      <c r="J38" s="94">
        <f>SUM(J20+J22+J23+J24+J25+J28+J33+J34+J35+J37)</f>
        <v>25225</v>
      </c>
      <c r="K38" s="90">
        <f>SUM(K20+K22+K23+K24+K25+K28+K33+K34+K35+K37)</f>
        <v>0</v>
      </c>
      <c r="L38" s="91">
        <f>SUM(L20+L22+L23+L24+L25+L28+L33+L34+L35+L37)</f>
        <v>25225</v>
      </c>
      <c r="M38" s="92">
        <f t="shared" si="4"/>
        <v>1527</v>
      </c>
      <c r="N38" s="95">
        <f t="shared" si="11"/>
        <v>1.0644358173685544</v>
      </c>
    </row>
    <row r="39" spans="1:14" ht="13.5" customHeight="1" thickBot="1">
      <c r="A39" s="88" t="s">
        <v>201</v>
      </c>
      <c r="B39" s="787">
        <f>+D19-D38</f>
        <v>0</v>
      </c>
      <c r="C39" s="787"/>
      <c r="D39" s="787"/>
      <c r="E39" s="787">
        <f>+G19-G38</f>
        <v>0</v>
      </c>
      <c r="F39" s="787"/>
      <c r="G39" s="787">
        <v>-50784</v>
      </c>
      <c r="H39" s="107"/>
      <c r="I39" s="108"/>
      <c r="J39" s="789">
        <f>+L19-L38</f>
        <v>-4284</v>
      </c>
      <c r="K39" s="789"/>
      <c r="L39" s="789">
        <v>0</v>
      </c>
      <c r="M39" s="92"/>
      <c r="N39" s="95"/>
    </row>
    <row r="40" spans="1:16" ht="20.25" customHeight="1" thickBot="1">
      <c r="A40" s="109" t="s">
        <v>202</v>
      </c>
      <c r="B40" s="787"/>
      <c r="C40" s="787"/>
      <c r="D40" s="787"/>
      <c r="E40" s="787"/>
      <c r="F40" s="787"/>
      <c r="G40" s="787"/>
      <c r="H40"/>
      <c r="I40"/>
      <c r="J40"/>
      <c r="K40"/>
      <c r="L40"/>
      <c r="M40"/>
      <c r="N40"/>
      <c r="O40"/>
      <c r="P40"/>
    </row>
    <row r="41" spans="2:8" ht="14.25" customHeight="1" thickBot="1">
      <c r="B41" s="7"/>
      <c r="C41" s="7"/>
      <c r="D41" s="16"/>
      <c r="E41" s="7"/>
      <c r="F41" s="7"/>
      <c r="G41" s="7"/>
      <c r="H41" s="7"/>
    </row>
    <row r="42" spans="1:16" ht="13.5" thickBot="1">
      <c r="A42" s="805" t="s">
        <v>312</v>
      </c>
      <c r="B42" s="805"/>
      <c r="C42" s="799" t="s">
        <v>203</v>
      </c>
      <c r="D42" s="805" t="s">
        <v>420</v>
      </c>
      <c r="E42" s="805"/>
      <c r="F42" s="805"/>
      <c r="G42" s="799" t="s">
        <v>203</v>
      </c>
      <c r="H42" s="785" t="s">
        <v>421</v>
      </c>
      <c r="I42" s="785"/>
      <c r="J42" s="785"/>
      <c r="K42" s="785"/>
      <c r="L42" s="799" t="s">
        <v>203</v>
      </c>
      <c r="O42"/>
      <c r="P42"/>
    </row>
    <row r="43" spans="1:16" ht="13.5" thickBot="1">
      <c r="A43" s="805"/>
      <c r="B43" s="805"/>
      <c r="C43" s="799"/>
      <c r="D43" s="805"/>
      <c r="E43" s="805"/>
      <c r="F43" s="805"/>
      <c r="G43" s="799"/>
      <c r="H43" s="785"/>
      <c r="I43" s="785"/>
      <c r="J43" s="785"/>
      <c r="K43" s="785"/>
      <c r="L43" s="799"/>
      <c r="O43"/>
      <c r="P43"/>
    </row>
    <row r="44" spans="1:16" ht="12.75">
      <c r="A44" s="794" t="s">
        <v>365</v>
      </c>
      <c r="B44" s="794"/>
      <c r="C44" s="110">
        <v>52</v>
      </c>
      <c r="D44" s="795" t="s">
        <v>366</v>
      </c>
      <c r="E44" s="795"/>
      <c r="F44" s="795"/>
      <c r="G44" s="111">
        <v>167</v>
      </c>
      <c r="H44" s="802" t="s">
        <v>371</v>
      </c>
      <c r="I44" s="802"/>
      <c r="J44" s="802"/>
      <c r="K44" s="802"/>
      <c r="L44" s="112">
        <v>126</v>
      </c>
      <c r="O44"/>
      <c r="P44"/>
    </row>
    <row r="45" spans="1:16" ht="12.75">
      <c r="A45" s="797" t="s">
        <v>367</v>
      </c>
      <c r="B45" s="797"/>
      <c r="C45" s="113">
        <v>108</v>
      </c>
      <c r="D45" s="795" t="s">
        <v>368</v>
      </c>
      <c r="E45" s="795"/>
      <c r="F45" s="795"/>
      <c r="G45" s="114">
        <v>71</v>
      </c>
      <c r="H45" s="802" t="s">
        <v>369</v>
      </c>
      <c r="I45" s="802"/>
      <c r="J45" s="802"/>
      <c r="K45" s="802"/>
      <c r="L45" s="112">
        <v>151</v>
      </c>
      <c r="O45"/>
      <c r="P45"/>
    </row>
    <row r="46" spans="1:16" ht="12.75">
      <c r="A46" s="797" t="s">
        <v>277</v>
      </c>
      <c r="B46" s="797"/>
      <c r="C46" s="113">
        <v>60</v>
      </c>
      <c r="D46" s="795" t="s">
        <v>458</v>
      </c>
      <c r="E46" s="795"/>
      <c r="F46" s="795"/>
      <c r="G46" s="114">
        <v>265</v>
      </c>
      <c r="H46" s="802" t="s">
        <v>375</v>
      </c>
      <c r="I46" s="802"/>
      <c r="J46" s="802"/>
      <c r="K46" s="802"/>
      <c r="L46" s="112">
        <v>50</v>
      </c>
      <c r="O46"/>
      <c r="P46"/>
    </row>
    <row r="47" spans="1:16" ht="12.75">
      <c r="A47" s="797" t="s">
        <v>370</v>
      </c>
      <c r="B47" s="797"/>
      <c r="C47" s="115">
        <v>119</v>
      </c>
      <c r="D47" s="797" t="s">
        <v>371</v>
      </c>
      <c r="E47" s="797"/>
      <c r="F47" s="797"/>
      <c r="G47" s="116">
        <v>119</v>
      </c>
      <c r="H47" s="776" t="s">
        <v>367</v>
      </c>
      <c r="I47" s="776"/>
      <c r="J47" s="776"/>
      <c r="K47" s="776"/>
      <c r="L47" s="112">
        <v>150</v>
      </c>
      <c r="O47"/>
      <c r="P47"/>
    </row>
    <row r="48" spans="1:16" ht="12.75">
      <c r="A48" s="797"/>
      <c r="B48" s="797"/>
      <c r="C48" s="115"/>
      <c r="D48" s="797"/>
      <c r="E48" s="797"/>
      <c r="F48" s="797"/>
      <c r="G48" s="116"/>
      <c r="H48" s="776" t="s">
        <v>611</v>
      </c>
      <c r="I48" s="776"/>
      <c r="J48" s="776"/>
      <c r="K48" s="776"/>
      <c r="L48" s="112">
        <v>164</v>
      </c>
      <c r="O48"/>
      <c r="P48"/>
    </row>
    <row r="49" spans="1:16" ht="12.75">
      <c r="A49" s="797"/>
      <c r="B49" s="797"/>
      <c r="C49" s="115"/>
      <c r="D49" s="797"/>
      <c r="E49" s="797"/>
      <c r="F49" s="797"/>
      <c r="G49" s="116"/>
      <c r="H49" s="776"/>
      <c r="I49" s="776"/>
      <c r="J49" s="776"/>
      <c r="K49" s="776"/>
      <c r="L49" s="112"/>
      <c r="O49"/>
      <c r="P49"/>
    </row>
    <row r="50" spans="1:16" ht="13.5" thickBot="1">
      <c r="A50" s="800"/>
      <c r="B50" s="800"/>
      <c r="C50" s="115"/>
      <c r="D50" s="801"/>
      <c r="E50" s="801"/>
      <c r="F50" s="801"/>
      <c r="G50" s="116"/>
      <c r="H50" s="802"/>
      <c r="I50" s="802"/>
      <c r="J50" s="802"/>
      <c r="K50" s="802"/>
      <c r="L50" s="112"/>
      <c r="O50"/>
      <c r="P50"/>
    </row>
    <row r="51" spans="1:16" ht="13.5" thickBot="1">
      <c r="A51" s="811"/>
      <c r="B51" s="811"/>
      <c r="C51" s="117">
        <f>SUM(C44:C50)</f>
        <v>339</v>
      </c>
      <c r="D51" s="812" t="s">
        <v>168</v>
      </c>
      <c r="E51" s="812"/>
      <c r="F51" s="812"/>
      <c r="G51" s="117">
        <f>SUM(G44:G50)</f>
        <v>622</v>
      </c>
      <c r="H51" s="778" t="s">
        <v>168</v>
      </c>
      <c r="I51" s="778"/>
      <c r="J51" s="778"/>
      <c r="K51" s="778"/>
      <c r="L51" s="117">
        <f>SUM(L44:L50)</f>
        <v>641</v>
      </c>
      <c r="M51" s="17"/>
      <c r="N51" s="17"/>
      <c r="O51"/>
      <c r="P51"/>
    </row>
    <row r="52" spans="1:16" s="1" customFormat="1" ht="13.5" customHeight="1" thickBot="1">
      <c r="A52" s="18"/>
      <c r="B52" s="5"/>
      <c r="C52" s="5"/>
      <c r="D52" s="5"/>
      <c r="E52" s="5"/>
      <c r="F52" s="5"/>
      <c r="G52" s="5"/>
      <c r="H52" s="6"/>
      <c r="I52" s="3"/>
      <c r="J52" s="3"/>
      <c r="K52" s="3"/>
      <c r="L52" s="3"/>
      <c r="M52" s="3"/>
      <c r="N52" s="3"/>
      <c r="O52" s="3"/>
      <c r="P52" s="3"/>
    </row>
    <row r="53" spans="1:16" ht="13.5" thickBot="1">
      <c r="A53" s="866" t="s">
        <v>429</v>
      </c>
      <c r="B53" s="867"/>
      <c r="C53" s="869" t="s">
        <v>203</v>
      </c>
      <c r="D53" s="806" t="s">
        <v>430</v>
      </c>
      <c r="E53" s="806"/>
      <c r="F53" s="806"/>
      <c r="G53" s="798" t="s">
        <v>203</v>
      </c>
      <c r="H53" s="785" t="s">
        <v>431</v>
      </c>
      <c r="I53" s="785"/>
      <c r="J53" s="785"/>
      <c r="K53" s="785"/>
      <c r="L53" s="799" t="s">
        <v>203</v>
      </c>
      <c r="O53"/>
      <c r="P53"/>
    </row>
    <row r="54" spans="1:16" ht="13.5" thickBot="1">
      <c r="A54" s="868"/>
      <c r="B54" s="805"/>
      <c r="C54" s="870"/>
      <c r="D54" s="806"/>
      <c r="E54" s="806"/>
      <c r="F54" s="806"/>
      <c r="G54" s="798"/>
      <c r="H54" s="785"/>
      <c r="I54" s="785"/>
      <c r="J54" s="785"/>
      <c r="K54" s="785"/>
      <c r="L54" s="799"/>
      <c r="O54"/>
      <c r="P54"/>
    </row>
    <row r="55" spans="1:16" ht="12.75">
      <c r="A55" s="871" t="s">
        <v>372</v>
      </c>
      <c r="B55" s="803"/>
      <c r="C55" s="201">
        <v>50</v>
      </c>
      <c r="D55" s="804" t="s">
        <v>254</v>
      </c>
      <c r="E55" s="804"/>
      <c r="F55" s="804"/>
      <c r="G55" s="118">
        <v>242</v>
      </c>
      <c r="H55" s="776"/>
      <c r="I55" s="776"/>
      <c r="J55" s="776"/>
      <c r="K55" s="776"/>
      <c r="L55" s="112"/>
      <c r="O55"/>
      <c r="P55"/>
    </row>
    <row r="56" spans="1:16" ht="13.5" customHeight="1">
      <c r="A56" s="872" t="s">
        <v>254</v>
      </c>
      <c r="B56" s="781"/>
      <c r="C56" s="202">
        <v>71</v>
      </c>
      <c r="D56" s="782"/>
      <c r="E56" s="782"/>
      <c r="F56" s="782"/>
      <c r="G56" s="119"/>
      <c r="H56" s="802" t="s">
        <v>254</v>
      </c>
      <c r="I56" s="802"/>
      <c r="J56" s="802"/>
      <c r="K56" s="802"/>
      <c r="L56" s="120">
        <v>140</v>
      </c>
      <c r="O56"/>
      <c r="P56"/>
    </row>
    <row r="57" spans="1:16" ht="13.5" customHeight="1">
      <c r="A57" s="872"/>
      <c r="B57" s="781"/>
      <c r="C57" s="202"/>
      <c r="D57" s="782"/>
      <c r="E57" s="782"/>
      <c r="F57" s="782"/>
      <c r="G57" s="119"/>
      <c r="H57" s="776"/>
      <c r="I57" s="776"/>
      <c r="J57" s="776"/>
      <c r="K57" s="776"/>
      <c r="L57" s="120" t="s">
        <v>258</v>
      </c>
      <c r="O57"/>
      <c r="P57"/>
    </row>
    <row r="58" spans="1:16" ht="13.5" customHeight="1">
      <c r="A58" s="872"/>
      <c r="B58" s="781"/>
      <c r="C58" s="202"/>
      <c r="D58" s="782"/>
      <c r="E58" s="782"/>
      <c r="F58" s="782"/>
      <c r="G58" s="119"/>
      <c r="H58" s="776"/>
      <c r="I58" s="776"/>
      <c r="J58" s="776"/>
      <c r="K58" s="776"/>
      <c r="L58" s="120"/>
      <c r="O58"/>
      <c r="P58"/>
    </row>
    <row r="59" spans="1:16" ht="13.5" customHeight="1">
      <c r="A59" s="872"/>
      <c r="B59" s="781"/>
      <c r="C59" s="203"/>
      <c r="D59" s="782"/>
      <c r="E59" s="782"/>
      <c r="F59" s="782"/>
      <c r="G59" s="121"/>
      <c r="H59" s="776"/>
      <c r="I59" s="776"/>
      <c r="J59" s="776"/>
      <c r="K59" s="776"/>
      <c r="L59" s="122"/>
      <c r="O59"/>
      <c r="P59"/>
    </row>
    <row r="60" spans="1:16" ht="13.5" customHeight="1">
      <c r="A60" s="872"/>
      <c r="B60" s="781"/>
      <c r="C60" s="203"/>
      <c r="D60" s="782"/>
      <c r="E60" s="782"/>
      <c r="F60" s="782"/>
      <c r="G60" s="121"/>
      <c r="H60" s="776"/>
      <c r="I60" s="776"/>
      <c r="J60" s="776"/>
      <c r="K60" s="776"/>
      <c r="L60" s="122"/>
      <c r="O60"/>
      <c r="P60"/>
    </row>
    <row r="61" spans="1:16" ht="13.5" customHeight="1">
      <c r="A61" s="872"/>
      <c r="B61" s="873"/>
      <c r="C61" s="202"/>
      <c r="D61" s="782"/>
      <c r="E61" s="782"/>
      <c r="F61" s="782"/>
      <c r="G61" s="119"/>
      <c r="H61" s="776"/>
      <c r="I61" s="776"/>
      <c r="J61" s="776"/>
      <c r="K61" s="776"/>
      <c r="L61" s="120"/>
      <c r="O61"/>
      <c r="P61"/>
    </row>
    <row r="62" spans="1:16" ht="13.5" thickBot="1">
      <c r="A62" s="874"/>
      <c r="B62" s="780"/>
      <c r="C62" s="204"/>
      <c r="D62" s="783"/>
      <c r="E62" s="783"/>
      <c r="F62" s="783"/>
      <c r="G62" s="123"/>
      <c r="H62" s="777"/>
      <c r="I62" s="777"/>
      <c r="J62" s="777"/>
      <c r="K62" s="777"/>
      <c r="L62" s="124"/>
      <c r="O62"/>
      <c r="P62"/>
    </row>
    <row r="63" spans="1:16" ht="13.5" thickBot="1">
      <c r="A63" s="877" t="s">
        <v>168</v>
      </c>
      <c r="B63" s="878"/>
      <c r="C63" s="205">
        <f>SUM(C55:C62)</f>
        <v>121</v>
      </c>
      <c r="D63" s="784" t="s">
        <v>168</v>
      </c>
      <c r="E63" s="784"/>
      <c r="F63" s="784"/>
      <c r="G63" s="125">
        <f>SUM(G55:G62)</f>
        <v>242</v>
      </c>
      <c r="H63" s="778" t="s">
        <v>168</v>
      </c>
      <c r="I63" s="778"/>
      <c r="J63" s="778"/>
      <c r="K63" s="778"/>
      <c r="L63" s="117">
        <f>SUM(L55:L62)</f>
        <v>140</v>
      </c>
      <c r="M63" s="17"/>
      <c r="N63" s="17"/>
      <c r="O63"/>
      <c r="P63"/>
    </row>
    <row r="64" spans="1:14" s="1" customFormat="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1" customFormat="1" ht="13.5" thickBo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s="1" customFormat="1" ht="26.25" customHeight="1" thickBot="1">
      <c r="A66" s="833" t="s">
        <v>106</v>
      </c>
      <c r="B66" s="834"/>
      <c r="C66" s="834"/>
      <c r="D66" s="834"/>
      <c r="E66" s="835"/>
      <c r="F66" s="836" t="s">
        <v>107</v>
      </c>
      <c r="G66" s="837"/>
      <c r="H66" s="837"/>
      <c r="I66" s="837"/>
      <c r="J66" s="837"/>
      <c r="K66" s="837"/>
      <c r="L66" s="838"/>
      <c r="M66" s="19"/>
      <c r="N66" s="19"/>
    </row>
    <row r="67" spans="1:14" s="1" customFormat="1" ht="14.25" customHeight="1" thickBot="1">
      <c r="A67" s="397" t="s">
        <v>231</v>
      </c>
      <c r="B67" s="398" t="s">
        <v>96</v>
      </c>
      <c r="C67" s="839" t="s">
        <v>232</v>
      </c>
      <c r="D67" s="839"/>
      <c r="E67" s="399" t="s">
        <v>97</v>
      </c>
      <c r="F67" s="840" t="s">
        <v>231</v>
      </c>
      <c r="G67" s="841"/>
      <c r="H67" s="398" t="s">
        <v>96</v>
      </c>
      <c r="I67" s="839" t="s">
        <v>232</v>
      </c>
      <c r="J67" s="839"/>
      <c r="K67" s="839"/>
      <c r="L67" s="400" t="s">
        <v>97</v>
      </c>
      <c r="M67" s="19"/>
      <c r="N67" s="19"/>
    </row>
    <row r="68" spans="1:14" s="1" customFormat="1" ht="12.75">
      <c r="A68" s="401" t="s">
        <v>98</v>
      </c>
      <c r="B68" s="402">
        <v>7</v>
      </c>
      <c r="C68" s="842" t="s">
        <v>99</v>
      </c>
      <c r="D68" s="842"/>
      <c r="E68" s="403"/>
      <c r="F68" s="843" t="s">
        <v>98</v>
      </c>
      <c r="G68" s="844"/>
      <c r="H68" s="402">
        <v>7</v>
      </c>
      <c r="I68" s="842" t="s">
        <v>99</v>
      </c>
      <c r="J68" s="844"/>
      <c r="K68" s="844"/>
      <c r="L68" s="403"/>
      <c r="M68" s="19"/>
      <c r="N68" s="19"/>
    </row>
    <row r="69" spans="1:14" s="1" customFormat="1" ht="12.75">
      <c r="A69" s="404" t="s">
        <v>100</v>
      </c>
      <c r="B69" s="405"/>
      <c r="C69" s="845" t="s">
        <v>101</v>
      </c>
      <c r="D69" s="845"/>
      <c r="E69" s="406">
        <v>80</v>
      </c>
      <c r="F69" s="846" t="s">
        <v>102</v>
      </c>
      <c r="G69" s="847"/>
      <c r="H69" s="405"/>
      <c r="I69" s="845" t="s">
        <v>101</v>
      </c>
      <c r="J69" s="847"/>
      <c r="K69" s="847"/>
      <c r="L69" s="406">
        <v>7</v>
      </c>
      <c r="M69" s="19"/>
      <c r="N69" s="19"/>
    </row>
    <row r="70" spans="1:14" s="1" customFormat="1" ht="12.75">
      <c r="A70" s="404" t="s">
        <v>103</v>
      </c>
      <c r="B70" s="405">
        <v>80</v>
      </c>
      <c r="C70" s="845"/>
      <c r="D70" s="845"/>
      <c r="E70" s="406"/>
      <c r="F70" s="845" t="s">
        <v>104</v>
      </c>
      <c r="G70" s="845"/>
      <c r="H70" s="405"/>
      <c r="I70" s="845"/>
      <c r="J70" s="847"/>
      <c r="K70" s="847"/>
      <c r="L70" s="406"/>
      <c r="M70" s="19"/>
      <c r="N70" s="19"/>
    </row>
    <row r="71" spans="1:14" s="1" customFormat="1" ht="13.5" thickBot="1">
      <c r="A71" s="407"/>
      <c r="B71" s="408"/>
      <c r="C71" s="848"/>
      <c r="D71" s="848"/>
      <c r="E71" s="409"/>
      <c r="F71" s="849"/>
      <c r="G71" s="850"/>
      <c r="H71" s="408"/>
      <c r="I71" s="848"/>
      <c r="J71" s="850"/>
      <c r="K71" s="850"/>
      <c r="L71" s="409"/>
      <c r="M71" s="19"/>
      <c r="N71" s="19"/>
    </row>
    <row r="72" spans="1:14" s="1" customFormat="1" ht="13.5" thickBot="1">
      <c r="A72" s="410" t="s">
        <v>168</v>
      </c>
      <c r="B72" s="411">
        <f>SUM(B68:B71)</f>
        <v>87</v>
      </c>
      <c r="C72" s="851" t="s">
        <v>168</v>
      </c>
      <c r="D72" s="851"/>
      <c r="E72" s="413">
        <f>SUM(E68:E71)</f>
        <v>80</v>
      </c>
      <c r="F72" s="852" t="s">
        <v>168</v>
      </c>
      <c r="G72" s="853"/>
      <c r="H72" s="412">
        <f>SUM(H68:H71)</f>
        <v>7</v>
      </c>
      <c r="I72" s="851" t="s">
        <v>168</v>
      </c>
      <c r="J72" s="853"/>
      <c r="K72" s="853"/>
      <c r="L72" s="413">
        <f>SUM(L68:L71)</f>
        <v>7</v>
      </c>
      <c r="M72" s="19"/>
      <c r="N72" s="19"/>
    </row>
    <row r="73" spans="1:14" s="1" customFormat="1" ht="13.5" thickBot="1">
      <c r="A73" s="414" t="s">
        <v>105</v>
      </c>
      <c r="B73" s="415">
        <f>B72-E72</f>
        <v>7</v>
      </c>
      <c r="C73" s="19"/>
      <c r="D73" s="19"/>
      <c r="E73" s="19"/>
      <c r="F73" s="854" t="s">
        <v>105</v>
      </c>
      <c r="G73" s="701"/>
      <c r="H73" s="416">
        <f>H72-L72</f>
        <v>0</v>
      </c>
      <c r="I73" s="19"/>
      <c r="J73" s="19"/>
      <c r="K73" s="19"/>
      <c r="L73" s="19"/>
      <c r="M73" s="19"/>
      <c r="N73" s="19"/>
    </row>
    <row r="74" spans="1:14" s="1" customFormat="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s="1" customFormat="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2" s="1" customFormat="1" ht="12.75">
      <c r="A76" s="20"/>
      <c r="B76" s="21"/>
      <c r="C76" s="21"/>
      <c r="D76" s="21"/>
      <c r="E76" s="2"/>
      <c r="F76" s="4"/>
      <c r="G76" s="4"/>
      <c r="H76" s="20"/>
      <c r="I76" s="21"/>
      <c r="J76" s="21"/>
      <c r="K76" s="21"/>
      <c r="L76" s="2"/>
    </row>
    <row r="77" spans="1:12" s="1" customFormat="1" ht="13.5" thickBot="1">
      <c r="A77" s="20"/>
      <c r="B77" s="21"/>
      <c r="C77" s="21"/>
      <c r="D77" s="21"/>
      <c r="E77" s="2"/>
      <c r="F77" s="4"/>
      <c r="G77" s="4"/>
      <c r="H77" s="20"/>
      <c r="I77" s="21"/>
      <c r="J77" s="21" t="s">
        <v>307</v>
      </c>
      <c r="K77" s="21"/>
      <c r="L77" s="2"/>
    </row>
    <row r="78" spans="1:15" s="1" customFormat="1" ht="12.75">
      <c r="A78" s="879" t="s">
        <v>227</v>
      </c>
      <c r="B78" s="882" t="s">
        <v>435</v>
      </c>
      <c r="C78" s="885" t="s">
        <v>436</v>
      </c>
      <c r="D78" s="886"/>
      <c r="E78" s="886"/>
      <c r="F78" s="886"/>
      <c r="G78" s="886"/>
      <c r="H78" s="886"/>
      <c r="I78" s="887"/>
      <c r="J78" s="888" t="s">
        <v>437</v>
      </c>
      <c r="K78" s="7"/>
      <c r="L78" s="864" t="s">
        <v>205</v>
      </c>
      <c r="M78" s="865"/>
      <c r="N78" s="59">
        <v>2006</v>
      </c>
      <c r="O78" s="60">
        <v>2007</v>
      </c>
    </row>
    <row r="79" spans="1:15" s="1" customFormat="1" ht="12.75">
      <c r="A79" s="880"/>
      <c r="B79" s="883"/>
      <c r="C79" s="891" t="s">
        <v>228</v>
      </c>
      <c r="D79" s="893" t="s">
        <v>229</v>
      </c>
      <c r="E79" s="894"/>
      <c r="F79" s="894"/>
      <c r="G79" s="894"/>
      <c r="H79" s="894"/>
      <c r="I79" s="895"/>
      <c r="J79" s="889"/>
      <c r="K79" s="7"/>
      <c r="L79" s="63" t="s">
        <v>273</v>
      </c>
      <c r="M79" s="62"/>
      <c r="N79" s="58"/>
      <c r="O79" s="61"/>
    </row>
    <row r="80" spans="1:15" s="1" customFormat="1" ht="13.5" thickBot="1">
      <c r="A80" s="881"/>
      <c r="B80" s="884"/>
      <c r="C80" s="892"/>
      <c r="D80" s="25">
        <v>1</v>
      </c>
      <c r="E80" s="25">
        <v>2</v>
      </c>
      <c r="F80" s="25">
        <v>3</v>
      </c>
      <c r="G80" s="25">
        <v>4</v>
      </c>
      <c r="H80" s="25">
        <v>5</v>
      </c>
      <c r="I80" s="56">
        <v>6</v>
      </c>
      <c r="J80" s="890"/>
      <c r="K80" s="7"/>
      <c r="L80" s="62" t="s">
        <v>206</v>
      </c>
      <c r="M80" s="63"/>
      <c r="N80" s="22">
        <v>0</v>
      </c>
      <c r="O80" s="23">
        <v>0</v>
      </c>
    </row>
    <row r="81" spans="1:15" s="1" customFormat="1" ht="13.5" thickBot="1">
      <c r="A81" s="26">
        <v>17788</v>
      </c>
      <c r="B81" s="27">
        <v>7292</v>
      </c>
      <c r="C81" s="54">
        <f>SUM(D81:I81)</f>
        <v>494</v>
      </c>
      <c r="D81" s="55">
        <v>223</v>
      </c>
      <c r="E81" s="55">
        <v>119</v>
      </c>
      <c r="F81" s="55">
        <v>28</v>
      </c>
      <c r="G81" s="55">
        <v>0</v>
      </c>
      <c r="H81" s="54">
        <v>124</v>
      </c>
      <c r="I81" s="57"/>
      <c r="J81" s="28">
        <f>SUM(A81-B81-C81)</f>
        <v>10002</v>
      </c>
      <c r="K81" s="7"/>
      <c r="L81" s="64" t="s">
        <v>207</v>
      </c>
      <c r="M81" s="65"/>
      <c r="N81" s="52">
        <v>0</v>
      </c>
      <c r="O81" s="53">
        <v>0</v>
      </c>
    </row>
    <row r="82" spans="1:12" s="1" customFormat="1" ht="12.75">
      <c r="A82" s="20"/>
      <c r="B82" s="21"/>
      <c r="C82" s="21"/>
      <c r="D82" s="21"/>
      <c r="E82" s="2"/>
      <c r="F82" s="200"/>
      <c r="G82" s="4"/>
      <c r="H82" s="20"/>
      <c r="I82" s="21"/>
      <c r="J82" s="21"/>
      <c r="K82" s="21"/>
      <c r="L82" s="2"/>
    </row>
    <row r="83" spans="1:12" s="1" customFormat="1" ht="13.5" thickBot="1">
      <c r="A83" s="20"/>
      <c r="B83" s="21"/>
      <c r="C83" s="21"/>
      <c r="D83" s="21"/>
      <c r="E83" s="2"/>
      <c r="F83" s="200"/>
      <c r="G83" s="4"/>
      <c r="H83" s="20"/>
      <c r="I83" s="21"/>
      <c r="J83" s="21"/>
      <c r="K83" s="21"/>
      <c r="L83" s="21" t="s">
        <v>307</v>
      </c>
    </row>
    <row r="84" spans="1:12" s="1" customFormat="1" ht="12.75">
      <c r="A84" s="855" t="s">
        <v>255</v>
      </c>
      <c r="B84" s="857" t="s">
        <v>438</v>
      </c>
      <c r="C84" s="859" t="s">
        <v>439</v>
      </c>
      <c r="D84" s="860"/>
      <c r="E84" s="860"/>
      <c r="F84" s="861"/>
      <c r="G84" s="862" t="s">
        <v>440</v>
      </c>
      <c r="H84" s="896" t="s">
        <v>230</v>
      </c>
      <c r="I84" s="898" t="s">
        <v>441</v>
      </c>
      <c r="J84" s="899"/>
      <c r="K84" s="899"/>
      <c r="L84" s="900"/>
    </row>
    <row r="85" spans="1:12" s="1" customFormat="1" ht="18.75" thickBot="1">
      <c r="A85" s="856"/>
      <c r="B85" s="858"/>
      <c r="C85" s="29" t="s">
        <v>321</v>
      </c>
      <c r="D85" s="30" t="s">
        <v>231</v>
      </c>
      <c r="E85" s="30" t="s">
        <v>232</v>
      </c>
      <c r="F85" s="31" t="s">
        <v>322</v>
      </c>
      <c r="G85" s="863"/>
      <c r="H85" s="897"/>
      <c r="I85" s="174" t="s">
        <v>442</v>
      </c>
      <c r="J85" s="175" t="s">
        <v>231</v>
      </c>
      <c r="K85" s="175" t="s">
        <v>232</v>
      </c>
      <c r="L85" s="176" t="s">
        <v>443</v>
      </c>
    </row>
    <row r="86" spans="1:12" s="1" customFormat="1" ht="12.75">
      <c r="A86" s="32" t="s">
        <v>233</v>
      </c>
      <c r="B86" s="33">
        <v>1154</v>
      </c>
      <c r="C86" s="34" t="s">
        <v>234</v>
      </c>
      <c r="D86" s="35" t="s">
        <v>234</v>
      </c>
      <c r="E86" s="35" t="s">
        <v>234</v>
      </c>
      <c r="F86" s="36"/>
      <c r="G86" s="37">
        <v>1579</v>
      </c>
      <c r="H86" s="171" t="s">
        <v>234</v>
      </c>
      <c r="I86" s="177" t="s">
        <v>234</v>
      </c>
      <c r="J86" s="178" t="s">
        <v>234</v>
      </c>
      <c r="K86" s="178" t="s">
        <v>234</v>
      </c>
      <c r="L86" s="179" t="s">
        <v>234</v>
      </c>
    </row>
    <row r="87" spans="1:12" s="1" customFormat="1" ht="12.75">
      <c r="A87" s="38" t="s">
        <v>235</v>
      </c>
      <c r="B87" s="39">
        <v>0</v>
      </c>
      <c r="C87" s="40"/>
      <c r="D87" s="41"/>
      <c r="E87" s="41"/>
      <c r="F87" s="42">
        <f>C87+D87-E87</f>
        <v>0</v>
      </c>
      <c r="G87" s="43">
        <v>0</v>
      </c>
      <c r="H87" s="172">
        <f>+G87-F87</f>
        <v>0</v>
      </c>
      <c r="I87" s="40">
        <v>0</v>
      </c>
      <c r="J87" s="41"/>
      <c r="K87" s="41"/>
      <c r="L87" s="42">
        <f>I87+J87-K87</f>
        <v>0</v>
      </c>
    </row>
    <row r="88" spans="1:12" s="1" customFormat="1" ht="12.75">
      <c r="A88" s="38" t="s">
        <v>236</v>
      </c>
      <c r="B88" s="39">
        <v>0</v>
      </c>
      <c r="C88" s="40">
        <v>7</v>
      </c>
      <c r="D88" s="41">
        <v>80</v>
      </c>
      <c r="E88" s="41">
        <v>80</v>
      </c>
      <c r="F88" s="42">
        <v>7</v>
      </c>
      <c r="G88" s="43">
        <v>7</v>
      </c>
      <c r="H88" s="172">
        <f>+G88-F88</f>
        <v>0</v>
      </c>
      <c r="I88" s="40">
        <v>7</v>
      </c>
      <c r="J88" s="41"/>
      <c r="K88" s="41">
        <v>7</v>
      </c>
      <c r="L88" s="42">
        <f>I88+J88-K88</f>
        <v>0</v>
      </c>
    </row>
    <row r="89" spans="1:12" s="1" customFormat="1" ht="12.75">
      <c r="A89" s="38" t="s">
        <v>256</v>
      </c>
      <c r="B89" s="39">
        <v>453</v>
      </c>
      <c r="C89" s="40">
        <v>292</v>
      </c>
      <c r="D89" s="41">
        <v>478</v>
      </c>
      <c r="E89" s="41">
        <v>623</v>
      </c>
      <c r="F89" s="42">
        <v>147</v>
      </c>
      <c r="G89" s="43">
        <v>147</v>
      </c>
      <c r="H89" s="172">
        <f>+G89-F89</f>
        <v>0</v>
      </c>
      <c r="I89" s="180">
        <v>147</v>
      </c>
      <c r="J89" s="170">
        <v>494</v>
      </c>
      <c r="K89" s="170">
        <v>641</v>
      </c>
      <c r="L89" s="42">
        <f>I89+J89-K89</f>
        <v>0</v>
      </c>
    </row>
    <row r="90" spans="1:12" s="1" customFormat="1" ht="12.75">
      <c r="A90" s="38" t="s">
        <v>237</v>
      </c>
      <c r="B90" s="39">
        <v>701</v>
      </c>
      <c r="C90" s="50" t="s">
        <v>234</v>
      </c>
      <c r="D90" s="35" t="s">
        <v>234</v>
      </c>
      <c r="E90" s="51" t="s">
        <v>234</v>
      </c>
      <c r="F90" s="42"/>
      <c r="G90" s="43">
        <v>1425</v>
      </c>
      <c r="H90" s="50" t="s">
        <v>234</v>
      </c>
      <c r="I90" s="34"/>
      <c r="J90" s="35"/>
      <c r="K90" s="35"/>
      <c r="L90" s="181">
        <v>0</v>
      </c>
    </row>
    <row r="91" spans="1:12" s="1" customFormat="1" ht="13.5" thickBot="1">
      <c r="A91" s="44" t="s">
        <v>238</v>
      </c>
      <c r="B91" s="45">
        <v>5</v>
      </c>
      <c r="C91" s="46">
        <v>5</v>
      </c>
      <c r="D91" s="47">
        <v>221</v>
      </c>
      <c r="E91" s="47">
        <v>204</v>
      </c>
      <c r="F91" s="48">
        <f>C91+D91-E91</f>
        <v>22</v>
      </c>
      <c r="G91" s="49">
        <v>28</v>
      </c>
      <c r="H91" s="173">
        <f>+G91-F91</f>
        <v>6</v>
      </c>
      <c r="I91" s="46">
        <v>22</v>
      </c>
      <c r="J91" s="47">
        <v>221</v>
      </c>
      <c r="K91" s="47">
        <v>243</v>
      </c>
      <c r="L91" s="48">
        <f>I91+J91-K91</f>
        <v>0</v>
      </c>
    </row>
    <row r="92" spans="1:12" s="1" customFormat="1" ht="12.75">
      <c r="A92" s="20"/>
      <c r="B92" s="21"/>
      <c r="C92" s="21"/>
      <c r="D92" s="21"/>
      <c r="E92" s="2"/>
      <c r="F92" s="200"/>
      <c r="G92" s="4"/>
      <c r="H92" s="20"/>
      <c r="I92" s="21"/>
      <c r="J92" s="21"/>
      <c r="K92" s="21"/>
      <c r="L92" s="2"/>
    </row>
    <row r="93" spans="1:12" s="1" customFormat="1" ht="12.75">
      <c r="A93" s="20"/>
      <c r="B93" s="21"/>
      <c r="C93" s="21"/>
      <c r="D93" s="21"/>
      <c r="E93" s="2"/>
      <c r="F93" s="200"/>
      <c r="G93" s="4"/>
      <c r="H93" s="20"/>
      <c r="I93" s="21"/>
      <c r="J93" s="21"/>
      <c r="K93" s="21"/>
      <c r="L93" s="2"/>
    </row>
    <row r="94" spans="1:12" s="1" customFormat="1" ht="12.75">
      <c r="A94" s="20"/>
      <c r="B94" s="21"/>
      <c r="C94" s="21"/>
      <c r="D94" s="21"/>
      <c r="E94" s="2"/>
      <c r="F94" s="200"/>
      <c r="G94" s="4"/>
      <c r="H94" s="20"/>
      <c r="I94" s="21"/>
      <c r="J94" s="21"/>
      <c r="K94" s="21"/>
      <c r="L94" s="2"/>
    </row>
    <row r="95" spans="1:12" s="1" customFormat="1" ht="12.75">
      <c r="A95" s="20"/>
      <c r="B95" s="21"/>
      <c r="C95" s="21"/>
      <c r="D95" s="21"/>
      <c r="E95" s="2"/>
      <c r="F95" s="200"/>
      <c r="G95" s="4"/>
      <c r="H95" s="20"/>
      <c r="I95" s="21"/>
      <c r="J95" s="21"/>
      <c r="K95" s="21"/>
      <c r="L95" s="2"/>
    </row>
    <row r="96" spans="1:12" s="1" customFormat="1" ht="12.75">
      <c r="A96" s="20"/>
      <c r="B96" s="21"/>
      <c r="C96" s="21"/>
      <c r="D96" s="21"/>
      <c r="E96" s="2"/>
      <c r="F96" s="200"/>
      <c r="G96" s="4"/>
      <c r="H96" s="20"/>
      <c r="I96" s="21"/>
      <c r="J96" s="21"/>
      <c r="K96" s="21"/>
      <c r="L96" s="2"/>
    </row>
    <row r="97" spans="1:12" s="1" customFormat="1" ht="12.75">
      <c r="A97" s="20"/>
      <c r="B97" s="21"/>
      <c r="C97" s="21"/>
      <c r="D97" s="21"/>
      <c r="E97" s="2"/>
      <c r="F97" s="4"/>
      <c r="G97" s="4"/>
      <c r="H97" s="20"/>
      <c r="I97" s="21"/>
      <c r="J97" s="21"/>
      <c r="K97" s="21"/>
      <c r="L97" s="2"/>
    </row>
    <row r="98" spans="1:12" s="1" customFormat="1" ht="12.75">
      <c r="A98" s="20"/>
      <c r="B98" s="21"/>
      <c r="C98" s="21"/>
      <c r="D98" s="21"/>
      <c r="E98" s="2"/>
      <c r="F98" s="4"/>
      <c r="G98" s="4"/>
      <c r="H98" s="20"/>
      <c r="I98" s="21"/>
      <c r="J98" s="21"/>
      <c r="K98" s="21"/>
      <c r="L98" s="2"/>
    </row>
    <row r="99" spans="8:12" ht="13.5" thickBot="1">
      <c r="H99" s="21" t="s">
        <v>307</v>
      </c>
      <c r="L99" s="21" t="s">
        <v>307</v>
      </c>
    </row>
    <row r="100" spans="1:12" ht="13.5" thickBot="1">
      <c r="A100" s="823" t="s">
        <v>444</v>
      </c>
      <c r="B100" s="824" t="s">
        <v>168</v>
      </c>
      <c r="C100" s="810" t="s">
        <v>239</v>
      </c>
      <c r="D100" s="810"/>
      <c r="E100" s="810"/>
      <c r="F100" s="810"/>
      <c r="G100" s="810"/>
      <c r="H100" s="810"/>
      <c r="I100" s="24"/>
      <c r="J100" s="825" t="s">
        <v>208</v>
      </c>
      <c r="K100" s="825"/>
      <c r="L100" s="825"/>
    </row>
    <row r="101" spans="1:12" ht="13.5" thickBot="1">
      <c r="A101" s="823"/>
      <c r="B101" s="824"/>
      <c r="C101" s="126" t="s">
        <v>240</v>
      </c>
      <c r="D101" s="127" t="s">
        <v>241</v>
      </c>
      <c r="E101" s="127" t="s">
        <v>242</v>
      </c>
      <c r="F101" s="127" t="s">
        <v>243</v>
      </c>
      <c r="G101" s="128" t="s">
        <v>244</v>
      </c>
      <c r="H101" s="129" t="s">
        <v>228</v>
      </c>
      <c r="I101" s="24"/>
      <c r="J101" s="130"/>
      <c r="K101" s="131" t="s">
        <v>209</v>
      </c>
      <c r="L101" s="132" t="s">
        <v>210</v>
      </c>
    </row>
    <row r="102" spans="1:12" ht="12.75">
      <c r="A102" s="133" t="s">
        <v>245</v>
      </c>
      <c r="B102" s="134">
        <v>529</v>
      </c>
      <c r="C102" s="135">
        <v>529</v>
      </c>
      <c r="D102" s="135"/>
      <c r="E102" s="135"/>
      <c r="F102" s="135"/>
      <c r="G102" s="134"/>
      <c r="H102" s="136">
        <f>SUM(C102:G102)</f>
        <v>529</v>
      </c>
      <c r="I102" s="24"/>
      <c r="J102" s="137">
        <v>2007</v>
      </c>
      <c r="K102" s="138">
        <v>11020</v>
      </c>
      <c r="L102" s="139">
        <f>+G30</f>
        <v>11020</v>
      </c>
    </row>
    <row r="103" spans="1:12" ht="13.5" thickBot="1">
      <c r="A103" s="140" t="s">
        <v>246</v>
      </c>
      <c r="B103" s="141">
        <v>2137</v>
      </c>
      <c r="C103" s="142">
        <v>2134</v>
      </c>
      <c r="D103" s="142"/>
      <c r="E103" s="142"/>
      <c r="F103" s="142"/>
      <c r="G103" s="141">
        <v>3</v>
      </c>
      <c r="H103" s="143">
        <f>SUM(C103:G103)</f>
        <v>2137</v>
      </c>
      <c r="I103" s="24"/>
      <c r="J103" s="144">
        <v>2008</v>
      </c>
      <c r="K103" s="145">
        <f>L30</f>
        <v>11581</v>
      </c>
      <c r="L103" s="146"/>
    </row>
    <row r="104" ht="12.75" customHeight="1"/>
    <row r="105" ht="13.5" thickBot="1">
      <c r="J105" s="208" t="s">
        <v>323</v>
      </c>
    </row>
    <row r="106" spans="1:10" ht="21" customHeight="1" thickBot="1">
      <c r="A106" s="823" t="s">
        <v>211</v>
      </c>
      <c r="B106" s="826" t="s">
        <v>212</v>
      </c>
      <c r="C106" s="826"/>
      <c r="D106" s="826"/>
      <c r="E106" s="827" t="s">
        <v>274</v>
      </c>
      <c r="F106" s="827"/>
      <c r="G106" s="827"/>
      <c r="H106" s="828" t="s">
        <v>213</v>
      </c>
      <c r="I106" s="828"/>
      <c r="J106" s="828"/>
    </row>
    <row r="107" spans="1:10" ht="12.75">
      <c r="A107" s="823"/>
      <c r="B107" s="147">
        <v>2006</v>
      </c>
      <c r="C107" s="147">
        <v>2007</v>
      </c>
      <c r="D107" s="147" t="s">
        <v>214</v>
      </c>
      <c r="E107" s="147">
        <v>2006</v>
      </c>
      <c r="F107" s="147">
        <v>2007</v>
      </c>
      <c r="G107" s="148" t="s">
        <v>214</v>
      </c>
      <c r="H107" s="149">
        <v>2006</v>
      </c>
      <c r="I107" s="147">
        <v>2007</v>
      </c>
      <c r="J107" s="148" t="s">
        <v>214</v>
      </c>
    </row>
    <row r="108" spans="1:10" ht="18.75">
      <c r="A108" s="150" t="s">
        <v>215</v>
      </c>
      <c r="B108" s="151">
        <v>4.98</v>
      </c>
      <c r="C108" s="151">
        <v>4.74</v>
      </c>
      <c r="D108" s="151">
        <f aca="true" t="shared" si="14" ref="D108:D118">+C108-B108</f>
        <v>-0.2400000000000002</v>
      </c>
      <c r="E108" s="151">
        <v>4.75</v>
      </c>
      <c r="F108" s="151">
        <v>4.75</v>
      </c>
      <c r="G108" s="152">
        <f aca="true" t="shared" si="15" ref="G108:G118">+F108-E108</f>
        <v>0</v>
      </c>
      <c r="H108" s="153">
        <v>20739</v>
      </c>
      <c r="I108" s="154">
        <v>25269</v>
      </c>
      <c r="J108" s="155">
        <f aca="true" t="shared" si="16" ref="J108:J118">+I108-H108</f>
        <v>4530</v>
      </c>
    </row>
    <row r="109" spans="1:10" ht="12.75">
      <c r="A109" s="150" t="s">
        <v>248</v>
      </c>
      <c r="B109" s="151">
        <v>7</v>
      </c>
      <c r="C109" s="151">
        <v>9.42</v>
      </c>
      <c r="D109" s="151">
        <f t="shared" si="14"/>
        <v>2.42</v>
      </c>
      <c r="E109" s="151">
        <v>7</v>
      </c>
      <c r="F109" s="151">
        <v>9.25</v>
      </c>
      <c r="G109" s="152">
        <f t="shared" si="15"/>
        <v>2.25</v>
      </c>
      <c r="H109" s="153">
        <v>21244</v>
      </c>
      <c r="I109" s="156">
        <v>24214</v>
      </c>
      <c r="J109" s="155">
        <f t="shared" si="16"/>
        <v>2970</v>
      </c>
    </row>
    <row r="110" spans="1:10" ht="12.75">
      <c r="A110" s="150" t="s">
        <v>216</v>
      </c>
      <c r="B110" s="151">
        <v>1</v>
      </c>
      <c r="C110" s="151">
        <v>9.75</v>
      </c>
      <c r="D110" s="151">
        <f t="shared" si="14"/>
        <v>8.75</v>
      </c>
      <c r="E110" s="151">
        <v>1</v>
      </c>
      <c r="F110" s="151">
        <v>10</v>
      </c>
      <c r="G110" s="152">
        <f t="shared" si="15"/>
        <v>9</v>
      </c>
      <c r="H110" s="153">
        <v>16608</v>
      </c>
      <c r="I110" s="156">
        <v>16588</v>
      </c>
      <c r="J110" s="155">
        <f t="shared" si="16"/>
        <v>-20</v>
      </c>
    </row>
    <row r="111" spans="1:10" ht="12.75">
      <c r="A111" s="150" t="s">
        <v>217</v>
      </c>
      <c r="B111" s="151">
        <v>0</v>
      </c>
      <c r="C111" s="151">
        <v>0</v>
      </c>
      <c r="D111" s="151">
        <f t="shared" si="14"/>
        <v>0</v>
      </c>
      <c r="E111" s="151">
        <v>0</v>
      </c>
      <c r="F111" s="151">
        <v>0</v>
      </c>
      <c r="G111" s="152">
        <f t="shared" si="15"/>
        <v>0</v>
      </c>
      <c r="H111" s="153">
        <v>0</v>
      </c>
      <c r="I111" s="156">
        <v>0</v>
      </c>
      <c r="J111" s="155">
        <f t="shared" si="16"/>
        <v>0</v>
      </c>
    </row>
    <row r="112" spans="1:10" ht="12.75">
      <c r="A112" s="150" t="s">
        <v>299</v>
      </c>
      <c r="B112" s="151">
        <v>0</v>
      </c>
      <c r="C112" s="151">
        <v>0</v>
      </c>
      <c r="D112" s="151">
        <f t="shared" si="14"/>
        <v>0</v>
      </c>
      <c r="E112" s="151">
        <v>0</v>
      </c>
      <c r="F112" s="151">
        <v>0</v>
      </c>
      <c r="G112" s="152">
        <f t="shared" si="15"/>
        <v>0</v>
      </c>
      <c r="H112" s="153">
        <v>0</v>
      </c>
      <c r="I112" s="156">
        <v>0</v>
      </c>
      <c r="J112" s="155">
        <f t="shared" si="16"/>
        <v>0</v>
      </c>
    </row>
    <row r="113" spans="1:10" ht="12.75">
      <c r="A113" s="150" t="s">
        <v>297</v>
      </c>
      <c r="B113" s="151">
        <v>0</v>
      </c>
      <c r="C113" s="151">
        <v>0</v>
      </c>
      <c r="D113" s="151">
        <f t="shared" si="14"/>
        <v>0</v>
      </c>
      <c r="E113" s="151">
        <v>0</v>
      </c>
      <c r="F113" s="151">
        <v>0</v>
      </c>
      <c r="G113" s="152">
        <f t="shared" si="15"/>
        <v>0</v>
      </c>
      <c r="H113" s="153">
        <v>0</v>
      </c>
      <c r="I113" s="156">
        <v>0</v>
      </c>
      <c r="J113" s="155">
        <f t="shared" si="16"/>
        <v>0</v>
      </c>
    </row>
    <row r="114" spans="1:10" ht="12.75">
      <c r="A114" s="150" t="s">
        <v>325</v>
      </c>
      <c r="B114" s="151">
        <v>8</v>
      </c>
      <c r="C114" s="151">
        <v>7.82</v>
      </c>
      <c r="D114" s="151">
        <f t="shared" si="14"/>
        <v>-0.17999999999999972</v>
      </c>
      <c r="E114" s="151">
        <v>8</v>
      </c>
      <c r="F114" s="151">
        <v>7</v>
      </c>
      <c r="G114" s="152">
        <f t="shared" si="15"/>
        <v>-1</v>
      </c>
      <c r="H114" s="153">
        <v>13194</v>
      </c>
      <c r="I114" s="156">
        <v>14270</v>
      </c>
      <c r="J114" s="155">
        <f t="shared" si="16"/>
        <v>1076</v>
      </c>
    </row>
    <row r="115" spans="1:10" ht="12.75">
      <c r="A115" s="150" t="s">
        <v>219</v>
      </c>
      <c r="B115" s="151">
        <v>8.85</v>
      </c>
      <c r="C115" s="151">
        <v>8.92</v>
      </c>
      <c r="D115" s="151">
        <f t="shared" si="14"/>
        <v>0.07000000000000028</v>
      </c>
      <c r="E115" s="151">
        <v>8</v>
      </c>
      <c r="F115" s="151">
        <v>10</v>
      </c>
      <c r="G115" s="152">
        <f t="shared" si="15"/>
        <v>2</v>
      </c>
      <c r="H115" s="153">
        <v>14044</v>
      </c>
      <c r="I115" s="156">
        <v>16332</v>
      </c>
      <c r="J115" s="155">
        <f t="shared" si="16"/>
        <v>2288</v>
      </c>
    </row>
    <row r="116" spans="1:10" ht="12.75">
      <c r="A116" s="150" t="s">
        <v>220</v>
      </c>
      <c r="B116" s="151">
        <v>3.44</v>
      </c>
      <c r="C116" s="151">
        <v>2.42</v>
      </c>
      <c r="D116" s="151">
        <f t="shared" si="14"/>
        <v>-1.02</v>
      </c>
      <c r="E116" s="151">
        <v>3.7</v>
      </c>
      <c r="F116" s="151">
        <v>2.25</v>
      </c>
      <c r="G116" s="152">
        <f t="shared" si="15"/>
        <v>-1.4500000000000002</v>
      </c>
      <c r="H116" s="153">
        <v>20078</v>
      </c>
      <c r="I116" s="156">
        <v>18168</v>
      </c>
      <c r="J116" s="155">
        <f t="shared" si="16"/>
        <v>-1910</v>
      </c>
    </row>
    <row r="117" spans="1:10" ht="12.75">
      <c r="A117" s="150" t="s">
        <v>221</v>
      </c>
      <c r="B117" s="151">
        <v>22.51</v>
      </c>
      <c r="C117" s="151">
        <v>22.63</v>
      </c>
      <c r="D117" s="151">
        <f t="shared" si="14"/>
        <v>0.11999999999999744</v>
      </c>
      <c r="E117" s="151">
        <v>2.68</v>
      </c>
      <c r="F117" s="151">
        <v>21.88</v>
      </c>
      <c r="G117" s="152">
        <f t="shared" si="15"/>
        <v>19.2</v>
      </c>
      <c r="H117" s="153">
        <v>11121</v>
      </c>
      <c r="I117" s="156">
        <v>11703</v>
      </c>
      <c r="J117" s="155">
        <f t="shared" si="16"/>
        <v>582</v>
      </c>
    </row>
    <row r="118" spans="1:10" ht="13.5" thickBot="1">
      <c r="A118" s="157" t="s">
        <v>168</v>
      </c>
      <c r="B118" s="158">
        <v>52.33</v>
      </c>
      <c r="C118" s="158">
        <v>53.47</v>
      </c>
      <c r="D118" s="158">
        <f t="shared" si="14"/>
        <v>1.1400000000000006</v>
      </c>
      <c r="E118" s="158">
        <v>52.43</v>
      </c>
      <c r="F118" s="158">
        <v>53.13</v>
      </c>
      <c r="G118" s="159">
        <f t="shared" si="15"/>
        <v>0.7000000000000028</v>
      </c>
      <c r="H118" s="160">
        <v>15022</v>
      </c>
      <c r="I118" s="161">
        <v>17174</v>
      </c>
      <c r="J118" s="162">
        <f t="shared" si="16"/>
        <v>2152</v>
      </c>
    </row>
    <row r="119" ht="13.5" thickBot="1">
      <c r="H119" s="8" t="s">
        <v>164</v>
      </c>
    </row>
    <row r="120" spans="1:16" ht="12.75">
      <c r="A120" s="829" t="s">
        <v>222</v>
      </c>
      <c r="B120" s="829"/>
      <c r="C120" s="829"/>
      <c r="D120" s="24"/>
      <c r="E120" s="829" t="s">
        <v>223</v>
      </c>
      <c r="F120" s="829"/>
      <c r="G120" s="829"/>
      <c r="H120"/>
      <c r="I120"/>
      <c r="J120"/>
      <c r="K120"/>
      <c r="L120"/>
      <c r="M120"/>
      <c r="N120"/>
      <c r="O120"/>
      <c r="P120"/>
    </row>
    <row r="121" spans="1:16" ht="13.5" thickBot="1">
      <c r="A121" s="130" t="s">
        <v>224</v>
      </c>
      <c r="B121" s="131" t="s">
        <v>225</v>
      </c>
      <c r="C121" s="132" t="s">
        <v>210</v>
      </c>
      <c r="D121" s="24"/>
      <c r="E121" s="130"/>
      <c r="F121" s="832" t="s">
        <v>226</v>
      </c>
      <c r="G121" s="832"/>
      <c r="H121"/>
      <c r="I121"/>
      <c r="J121"/>
      <c r="K121"/>
      <c r="L121"/>
      <c r="M121"/>
      <c r="N121"/>
      <c r="O121"/>
      <c r="P121"/>
    </row>
    <row r="122" spans="1:16" ht="12.75">
      <c r="A122" s="137">
        <v>2007</v>
      </c>
      <c r="B122" s="138">
        <v>53</v>
      </c>
      <c r="C122" s="139">
        <v>53</v>
      </c>
      <c r="D122" s="24"/>
      <c r="E122" s="137">
        <v>2007</v>
      </c>
      <c r="F122" s="830">
        <v>100</v>
      </c>
      <c r="G122" s="830"/>
      <c r="H122"/>
      <c r="I122"/>
      <c r="J122"/>
      <c r="K122"/>
      <c r="L122"/>
      <c r="M122"/>
      <c r="N122"/>
      <c r="O122"/>
      <c r="P122"/>
    </row>
    <row r="123" spans="1:16" ht="13.5" thickBot="1">
      <c r="A123" s="144">
        <v>2008</v>
      </c>
      <c r="B123" s="145">
        <v>54</v>
      </c>
      <c r="C123" s="146"/>
      <c r="D123" s="24"/>
      <c r="E123" s="144">
        <v>2008</v>
      </c>
      <c r="F123" s="831">
        <v>90</v>
      </c>
      <c r="G123" s="831"/>
      <c r="H123"/>
      <c r="I123"/>
      <c r="J123"/>
      <c r="K123"/>
      <c r="L123"/>
      <c r="M123"/>
      <c r="N123"/>
      <c r="O123"/>
      <c r="P123"/>
    </row>
  </sheetData>
  <mergeCells count="123">
    <mergeCell ref="H57:K57"/>
    <mergeCell ref="C72:D72"/>
    <mergeCell ref="F72:G72"/>
    <mergeCell ref="I72:K72"/>
    <mergeCell ref="C68:D68"/>
    <mergeCell ref="F68:G68"/>
    <mergeCell ref="I68:K68"/>
    <mergeCell ref="C69:D69"/>
    <mergeCell ref="F69:G69"/>
    <mergeCell ref="I69:K69"/>
    <mergeCell ref="F73:G73"/>
    <mergeCell ref="C70:D70"/>
    <mergeCell ref="F70:G70"/>
    <mergeCell ref="I70:K70"/>
    <mergeCell ref="C71:D71"/>
    <mergeCell ref="F71:G71"/>
    <mergeCell ref="I71:K71"/>
    <mergeCell ref="A66:E66"/>
    <mergeCell ref="F66:L66"/>
    <mergeCell ref="C67:D67"/>
    <mergeCell ref="F67:G67"/>
    <mergeCell ref="I67:K67"/>
    <mergeCell ref="F123:G123"/>
    <mergeCell ref="A120:C120"/>
    <mergeCell ref="E120:G120"/>
    <mergeCell ref="F121:G121"/>
    <mergeCell ref="F122:G122"/>
    <mergeCell ref="A106:A107"/>
    <mergeCell ref="B106:D106"/>
    <mergeCell ref="E106:G106"/>
    <mergeCell ref="H106:J106"/>
    <mergeCell ref="H84:H85"/>
    <mergeCell ref="I84:L84"/>
    <mergeCell ref="B100:B101"/>
    <mergeCell ref="C100:H100"/>
    <mergeCell ref="J100:L100"/>
    <mergeCell ref="A84:A85"/>
    <mergeCell ref="B84:B85"/>
    <mergeCell ref="C84:F84"/>
    <mergeCell ref="G84:G85"/>
    <mergeCell ref="J78:J80"/>
    <mergeCell ref="L78:M78"/>
    <mergeCell ref="C79:C80"/>
    <mergeCell ref="D79:I79"/>
    <mergeCell ref="L53:L54"/>
    <mergeCell ref="A63:B63"/>
    <mergeCell ref="D63:F63"/>
    <mergeCell ref="H63:K63"/>
    <mergeCell ref="A59:B59"/>
    <mergeCell ref="D59:F59"/>
    <mergeCell ref="H59:K59"/>
    <mergeCell ref="A60:B60"/>
    <mergeCell ref="D60:F60"/>
    <mergeCell ref="H60:K60"/>
    <mergeCell ref="A51:B51"/>
    <mergeCell ref="D51:F51"/>
    <mergeCell ref="H51:K51"/>
    <mergeCell ref="A53:B54"/>
    <mergeCell ref="C53:C54"/>
    <mergeCell ref="D53:F54"/>
    <mergeCell ref="G53:G54"/>
    <mergeCell ref="H53:K54"/>
    <mergeCell ref="D42:F43"/>
    <mergeCell ref="G42:G43"/>
    <mergeCell ref="H42:K43"/>
    <mergeCell ref="L42:L43"/>
    <mergeCell ref="A1:N1"/>
    <mergeCell ref="J39:L39"/>
    <mergeCell ref="B40:D40"/>
    <mergeCell ref="E40:G40"/>
    <mergeCell ref="B39:D39"/>
    <mergeCell ref="E39:G39"/>
    <mergeCell ref="B4:D4"/>
    <mergeCell ref="E4:G4"/>
    <mergeCell ref="J4:L4"/>
    <mergeCell ref="A3:A6"/>
    <mergeCell ref="D58:F58"/>
    <mergeCell ref="A78:A80"/>
    <mergeCell ref="B78:B80"/>
    <mergeCell ref="C78:I78"/>
    <mergeCell ref="A61:B61"/>
    <mergeCell ref="D61:F61"/>
    <mergeCell ref="H61:K61"/>
    <mergeCell ref="A62:B62"/>
    <mergeCell ref="D62:F62"/>
    <mergeCell ref="H62:K62"/>
    <mergeCell ref="H58:K58"/>
    <mergeCell ref="A55:B55"/>
    <mergeCell ref="D55:F55"/>
    <mergeCell ref="H55:K55"/>
    <mergeCell ref="A56:B56"/>
    <mergeCell ref="D56:F56"/>
    <mergeCell ref="H56:K56"/>
    <mergeCell ref="A57:B57"/>
    <mergeCell ref="D57:F57"/>
    <mergeCell ref="A58:B58"/>
    <mergeCell ref="A49:B49"/>
    <mergeCell ref="D49:F49"/>
    <mergeCell ref="H49:K49"/>
    <mergeCell ref="A50:B50"/>
    <mergeCell ref="D50:F50"/>
    <mergeCell ref="H50:K50"/>
    <mergeCell ref="A47:B47"/>
    <mergeCell ref="D47:F47"/>
    <mergeCell ref="H47:K47"/>
    <mergeCell ref="A48:B48"/>
    <mergeCell ref="D48:F48"/>
    <mergeCell ref="H48:K48"/>
    <mergeCell ref="D45:F45"/>
    <mergeCell ref="H45:K45"/>
    <mergeCell ref="A46:B46"/>
    <mergeCell ref="D46:F46"/>
    <mergeCell ref="H46:K46"/>
    <mergeCell ref="B3:N3"/>
    <mergeCell ref="H4:I4"/>
    <mergeCell ref="M4:N4"/>
    <mergeCell ref="A100:A101"/>
    <mergeCell ref="A44:B44"/>
    <mergeCell ref="D44:F44"/>
    <mergeCell ref="H44:K44"/>
    <mergeCell ref="A42:B43"/>
    <mergeCell ref="C42:C43"/>
    <mergeCell ref="A45:B45"/>
  </mergeCells>
  <printOptions horizontalCentered="1"/>
  <pageMargins left="0.15748031496062992" right="0.15748031496062992" top="0.76" bottom="0.16" header="0.57" footer="0.15748031496062992"/>
  <pageSetup fitToHeight="2" horizontalDpi="600" verticalDpi="600" orientation="portrait" paperSize="9" scale="49" r:id="rId1"/>
  <headerFooter alignWithMargins="0">
    <oddFooter>&amp;C&amp;P</oddFooter>
  </headerFooter>
  <rowBreaks count="1" manualBreakCount="1">
    <brk id="7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SheetLayoutView="100" workbookViewId="0" topLeftCell="A1">
      <selection activeCell="J21" sqref="J21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875"/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307</v>
      </c>
    </row>
    <row r="3" spans="1:14" ht="24" customHeight="1" thickBot="1">
      <c r="A3" s="876" t="s">
        <v>165</v>
      </c>
      <c r="B3" s="792" t="s">
        <v>80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4" ht="14.25" thickBot="1" thickTop="1">
      <c r="A4" s="876"/>
      <c r="B4" s="790" t="s">
        <v>308</v>
      </c>
      <c r="C4" s="790"/>
      <c r="D4" s="790"/>
      <c r="E4" s="790" t="s">
        <v>417</v>
      </c>
      <c r="F4" s="790"/>
      <c r="G4" s="790"/>
      <c r="H4" s="793" t="s">
        <v>309</v>
      </c>
      <c r="I4" s="793"/>
      <c r="J4" s="790" t="s">
        <v>418</v>
      </c>
      <c r="K4" s="790"/>
      <c r="L4" s="790"/>
      <c r="M4" s="790" t="s">
        <v>419</v>
      </c>
      <c r="N4" s="790"/>
    </row>
    <row r="5" spans="1:14" ht="14.25" thickBot="1" thickTop="1">
      <c r="A5" s="876"/>
      <c r="B5" s="66" t="s">
        <v>166</v>
      </c>
      <c r="C5" s="67" t="s">
        <v>167</v>
      </c>
      <c r="D5" s="68" t="s">
        <v>168</v>
      </c>
      <c r="E5" s="66" t="s">
        <v>166</v>
      </c>
      <c r="F5" s="67" t="s">
        <v>167</v>
      </c>
      <c r="G5" s="68" t="s">
        <v>168</v>
      </c>
      <c r="H5" s="69" t="s">
        <v>168</v>
      </c>
      <c r="I5" s="69" t="s">
        <v>169</v>
      </c>
      <c r="J5" s="70" t="s">
        <v>166</v>
      </c>
      <c r="K5" s="67" t="s">
        <v>167</v>
      </c>
      <c r="L5" s="68" t="s">
        <v>168</v>
      </c>
      <c r="M5" s="69" t="s">
        <v>168</v>
      </c>
      <c r="N5" s="68" t="s">
        <v>169</v>
      </c>
    </row>
    <row r="6" spans="1:14" ht="14.25" thickBot="1" thickTop="1">
      <c r="A6" s="791"/>
      <c r="B6" s="183" t="s">
        <v>170</v>
      </c>
      <c r="C6" s="184" t="s">
        <v>170</v>
      </c>
      <c r="D6" s="185"/>
      <c r="E6" s="183" t="s">
        <v>170</v>
      </c>
      <c r="F6" s="184" t="s">
        <v>170</v>
      </c>
      <c r="G6" s="185"/>
      <c r="H6" s="189" t="s">
        <v>171</v>
      </c>
      <c r="I6" s="189" t="s">
        <v>172</v>
      </c>
      <c r="J6" s="197" t="s">
        <v>170</v>
      </c>
      <c r="K6" s="184" t="s">
        <v>170</v>
      </c>
      <c r="L6" s="185"/>
      <c r="M6" s="189" t="s">
        <v>171</v>
      </c>
      <c r="N6" s="185" t="s">
        <v>172</v>
      </c>
    </row>
    <row r="7" spans="1:14" ht="13.5" customHeight="1">
      <c r="A7" s="274" t="s">
        <v>173</v>
      </c>
      <c r="B7" s="163">
        <v>0</v>
      </c>
      <c r="C7" s="164">
        <v>0</v>
      </c>
      <c r="D7" s="167">
        <f aca="true" t="shared" si="0" ref="D7:D18">SUM(B7:C7)</f>
        <v>0</v>
      </c>
      <c r="E7" s="163">
        <v>0</v>
      </c>
      <c r="F7" s="164">
        <v>0</v>
      </c>
      <c r="G7" s="167">
        <f aca="true" t="shared" si="1" ref="G7:G18">SUM(E7:F7)</f>
        <v>0</v>
      </c>
      <c r="H7" s="191">
        <f aca="true" t="shared" si="2" ref="H7:H38">+G7-D7</f>
        <v>0</v>
      </c>
      <c r="I7" s="195"/>
      <c r="J7" s="163">
        <v>0</v>
      </c>
      <c r="K7" s="164">
        <v>0</v>
      </c>
      <c r="L7" s="167">
        <f aca="true" t="shared" si="3" ref="L7:L18">SUM(J7:K7)</f>
        <v>0</v>
      </c>
      <c r="M7" s="191">
        <f aca="true" t="shared" si="4" ref="M7:M38">+L7-G7</f>
        <v>0</v>
      </c>
      <c r="N7" s="192"/>
    </row>
    <row r="8" spans="1:14" ht="13.5" customHeight="1">
      <c r="A8" s="275" t="s">
        <v>174</v>
      </c>
      <c r="B8" s="14">
        <v>15566</v>
      </c>
      <c r="C8" s="13">
        <v>0</v>
      </c>
      <c r="D8" s="168">
        <f t="shared" si="0"/>
        <v>15566</v>
      </c>
      <c r="E8" s="14">
        <v>23647</v>
      </c>
      <c r="F8" s="13">
        <v>0</v>
      </c>
      <c r="G8" s="168">
        <f t="shared" si="1"/>
        <v>23647</v>
      </c>
      <c r="H8" s="193">
        <f t="shared" si="2"/>
        <v>8081</v>
      </c>
      <c r="I8" s="196">
        <f aca="true" t="shared" si="5" ref="I8:I22">+G8/D8</f>
        <v>1.5191442888346396</v>
      </c>
      <c r="J8" s="14">
        <f>24270+1000</f>
        <v>25270</v>
      </c>
      <c r="K8" s="13">
        <v>0</v>
      </c>
      <c r="L8" s="168">
        <f t="shared" si="3"/>
        <v>25270</v>
      </c>
      <c r="M8" s="193">
        <f t="shared" si="4"/>
        <v>1623</v>
      </c>
      <c r="N8" s="194">
        <f aca="true" t="shared" si="6" ref="N8:N22">+L8/G8</f>
        <v>1.0686344990907937</v>
      </c>
    </row>
    <row r="9" spans="1:14" ht="13.5" customHeight="1">
      <c r="A9" s="275" t="s">
        <v>175</v>
      </c>
      <c r="B9" s="14">
        <v>0</v>
      </c>
      <c r="C9" s="13">
        <v>0</v>
      </c>
      <c r="D9" s="168">
        <f t="shared" si="0"/>
        <v>0</v>
      </c>
      <c r="E9" s="14">
        <v>0</v>
      </c>
      <c r="F9" s="13">
        <v>0</v>
      </c>
      <c r="G9" s="168">
        <f t="shared" si="1"/>
        <v>0</v>
      </c>
      <c r="H9" s="193">
        <f t="shared" si="2"/>
        <v>0</v>
      </c>
      <c r="I9" s="196"/>
      <c r="J9" s="14">
        <v>0</v>
      </c>
      <c r="K9" s="13">
        <v>0</v>
      </c>
      <c r="L9" s="168">
        <f t="shared" si="3"/>
        <v>0</v>
      </c>
      <c r="M9" s="193">
        <f t="shared" si="4"/>
        <v>0</v>
      </c>
      <c r="N9" s="194"/>
    </row>
    <row r="10" spans="1:14" ht="13.5" customHeight="1">
      <c r="A10" s="275" t="s">
        <v>176</v>
      </c>
      <c r="B10" s="14">
        <v>0</v>
      </c>
      <c r="C10" s="13">
        <v>0</v>
      </c>
      <c r="D10" s="168">
        <f t="shared" si="0"/>
        <v>0</v>
      </c>
      <c r="E10" s="14">
        <v>0</v>
      </c>
      <c r="F10" s="13">
        <v>0</v>
      </c>
      <c r="G10" s="168">
        <f t="shared" si="1"/>
        <v>0</v>
      </c>
      <c r="H10" s="193">
        <f t="shared" si="2"/>
        <v>0</v>
      </c>
      <c r="I10" s="196"/>
      <c r="J10" s="14">
        <v>0</v>
      </c>
      <c r="K10" s="13">
        <v>0</v>
      </c>
      <c r="L10" s="168">
        <f t="shared" si="3"/>
        <v>0</v>
      </c>
      <c r="M10" s="193">
        <f t="shared" si="4"/>
        <v>0</v>
      </c>
      <c r="N10" s="194"/>
    </row>
    <row r="11" spans="1:14" ht="13.5" customHeight="1">
      <c r="A11" s="275" t="s">
        <v>177</v>
      </c>
      <c r="B11" s="14">
        <v>91</v>
      </c>
      <c r="C11" s="13">
        <v>0</v>
      </c>
      <c r="D11" s="168">
        <f t="shared" si="0"/>
        <v>91</v>
      </c>
      <c r="E11" s="14">
        <v>111</v>
      </c>
      <c r="F11" s="13">
        <v>0</v>
      </c>
      <c r="G11" s="168">
        <f t="shared" si="1"/>
        <v>111</v>
      </c>
      <c r="H11" s="193">
        <f t="shared" si="2"/>
        <v>20</v>
      </c>
      <c r="I11" s="196">
        <f t="shared" si="5"/>
        <v>1.2197802197802199</v>
      </c>
      <c r="J11" s="14">
        <v>60</v>
      </c>
      <c r="K11" s="13">
        <v>0</v>
      </c>
      <c r="L11" s="168">
        <f t="shared" si="3"/>
        <v>60</v>
      </c>
      <c r="M11" s="193">
        <f t="shared" si="4"/>
        <v>-51</v>
      </c>
      <c r="N11" s="194">
        <f t="shared" si="6"/>
        <v>0.5405405405405406</v>
      </c>
    </row>
    <row r="12" spans="1:14" ht="13.5" customHeight="1">
      <c r="A12" s="276" t="s">
        <v>178</v>
      </c>
      <c r="B12" s="14">
        <v>73</v>
      </c>
      <c r="C12" s="13">
        <v>0</v>
      </c>
      <c r="D12" s="168">
        <f t="shared" si="0"/>
        <v>73</v>
      </c>
      <c r="E12" s="14">
        <v>100</v>
      </c>
      <c r="F12" s="13">
        <v>0</v>
      </c>
      <c r="G12" s="168">
        <f t="shared" si="1"/>
        <v>100</v>
      </c>
      <c r="H12" s="193">
        <f t="shared" si="2"/>
        <v>27</v>
      </c>
      <c r="I12" s="196">
        <f t="shared" si="5"/>
        <v>1.36986301369863</v>
      </c>
      <c r="J12" s="14">
        <v>50</v>
      </c>
      <c r="K12" s="13">
        <v>0</v>
      </c>
      <c r="L12" s="168">
        <f t="shared" si="3"/>
        <v>50</v>
      </c>
      <c r="M12" s="193">
        <f t="shared" si="4"/>
        <v>-50</v>
      </c>
      <c r="N12" s="194">
        <f t="shared" si="6"/>
        <v>0.5</v>
      </c>
    </row>
    <row r="13" spans="1:14" ht="13.5" customHeight="1">
      <c r="A13" s="276" t="s">
        <v>179</v>
      </c>
      <c r="B13" s="14">
        <v>0</v>
      </c>
      <c r="C13" s="13">
        <v>0</v>
      </c>
      <c r="D13" s="168">
        <f t="shared" si="0"/>
        <v>0</v>
      </c>
      <c r="E13" s="14">
        <v>0</v>
      </c>
      <c r="F13" s="13">
        <v>0</v>
      </c>
      <c r="G13" s="168">
        <f t="shared" si="1"/>
        <v>0</v>
      </c>
      <c r="H13" s="193">
        <f t="shared" si="2"/>
        <v>0</v>
      </c>
      <c r="I13" s="196"/>
      <c r="J13" s="14">
        <v>0</v>
      </c>
      <c r="K13" s="13">
        <v>0</v>
      </c>
      <c r="L13" s="168">
        <f t="shared" si="3"/>
        <v>0</v>
      </c>
      <c r="M13" s="193">
        <f t="shared" si="4"/>
        <v>0</v>
      </c>
      <c r="N13" s="194"/>
    </row>
    <row r="14" spans="1:14" ht="23.25" customHeight="1">
      <c r="A14" s="276" t="s">
        <v>180</v>
      </c>
      <c r="B14" s="14">
        <v>0</v>
      </c>
      <c r="C14" s="13">
        <v>0</v>
      </c>
      <c r="D14" s="168">
        <f t="shared" si="0"/>
        <v>0</v>
      </c>
      <c r="E14" s="14">
        <v>0</v>
      </c>
      <c r="F14" s="13">
        <v>0</v>
      </c>
      <c r="G14" s="168">
        <f t="shared" si="1"/>
        <v>0</v>
      </c>
      <c r="H14" s="193">
        <f t="shared" si="2"/>
        <v>0</v>
      </c>
      <c r="I14" s="196"/>
      <c r="J14" s="14">
        <v>0</v>
      </c>
      <c r="K14" s="13">
        <v>0</v>
      </c>
      <c r="L14" s="168">
        <f t="shared" si="3"/>
        <v>0</v>
      </c>
      <c r="M14" s="193">
        <f t="shared" si="4"/>
        <v>0</v>
      </c>
      <c r="N14" s="194"/>
    </row>
    <row r="15" spans="1:14" ht="13.5" customHeight="1">
      <c r="A15" s="275" t="s">
        <v>181</v>
      </c>
      <c r="B15" s="14">
        <v>21857</v>
      </c>
      <c r="C15" s="13">
        <v>0</v>
      </c>
      <c r="D15" s="168">
        <f t="shared" si="0"/>
        <v>21857</v>
      </c>
      <c r="E15" s="14">
        <v>22030</v>
      </c>
      <c r="F15" s="13">
        <v>0</v>
      </c>
      <c r="G15" s="168">
        <f t="shared" si="1"/>
        <v>22030</v>
      </c>
      <c r="H15" s="193">
        <f t="shared" si="2"/>
        <v>173</v>
      </c>
      <c r="I15" s="196">
        <f t="shared" si="5"/>
        <v>1.0079150844123164</v>
      </c>
      <c r="J15" s="15">
        <v>17358</v>
      </c>
      <c r="K15" s="279">
        <v>0</v>
      </c>
      <c r="L15" s="168">
        <f t="shared" si="3"/>
        <v>17358</v>
      </c>
      <c r="M15" s="193">
        <f t="shared" si="4"/>
        <v>-4672</v>
      </c>
      <c r="N15" s="194">
        <f t="shared" si="6"/>
        <v>0.7879255560599183</v>
      </c>
    </row>
    <row r="16" spans="1:14" ht="13.5" customHeight="1">
      <c r="A16" s="277" t="s">
        <v>310</v>
      </c>
      <c r="B16" s="14">
        <v>21857</v>
      </c>
      <c r="C16" s="13">
        <v>0</v>
      </c>
      <c r="D16" s="168">
        <f t="shared" si="0"/>
        <v>21857</v>
      </c>
      <c r="E16" s="14">
        <v>1317</v>
      </c>
      <c r="F16" s="13">
        <v>0</v>
      </c>
      <c r="G16" s="168">
        <f t="shared" si="1"/>
        <v>1317</v>
      </c>
      <c r="H16" s="193">
        <f t="shared" si="2"/>
        <v>-20540</v>
      </c>
      <c r="I16" s="196">
        <f t="shared" si="5"/>
        <v>0.06025529578624697</v>
      </c>
      <c r="J16" s="15">
        <v>905</v>
      </c>
      <c r="K16" s="13">
        <v>0</v>
      </c>
      <c r="L16" s="168">
        <f t="shared" si="3"/>
        <v>905</v>
      </c>
      <c r="M16" s="193">
        <f t="shared" si="4"/>
        <v>-412</v>
      </c>
      <c r="N16" s="194">
        <f t="shared" si="6"/>
        <v>0.6871678056188307</v>
      </c>
    </row>
    <row r="17" spans="1:14" ht="13.5" customHeight="1">
      <c r="A17" s="277" t="s">
        <v>311</v>
      </c>
      <c r="B17" s="14">
        <v>0</v>
      </c>
      <c r="C17" s="13">
        <v>0</v>
      </c>
      <c r="D17" s="168">
        <f t="shared" si="0"/>
        <v>0</v>
      </c>
      <c r="E17" s="14">
        <v>20694</v>
      </c>
      <c r="F17" s="13">
        <v>0</v>
      </c>
      <c r="G17" s="168">
        <f t="shared" si="1"/>
        <v>20694</v>
      </c>
      <c r="H17" s="193">
        <f t="shared" si="2"/>
        <v>20694</v>
      </c>
      <c r="I17" s="196"/>
      <c r="J17" s="15">
        <v>16453</v>
      </c>
      <c r="K17" s="13">
        <v>0</v>
      </c>
      <c r="L17" s="168">
        <f t="shared" si="3"/>
        <v>16453</v>
      </c>
      <c r="M17" s="193">
        <f t="shared" si="4"/>
        <v>-4241</v>
      </c>
      <c r="N17" s="194">
        <f t="shared" si="6"/>
        <v>0.7950613704455398</v>
      </c>
    </row>
    <row r="18" spans="1:14" ht="13.5" customHeight="1" thickBot="1">
      <c r="A18" s="278" t="s">
        <v>594</v>
      </c>
      <c r="B18" s="165">
        <v>0</v>
      </c>
      <c r="C18" s="166">
        <v>0</v>
      </c>
      <c r="D18" s="168">
        <f t="shared" si="0"/>
        <v>0</v>
      </c>
      <c r="E18" s="165">
        <v>19</v>
      </c>
      <c r="F18" s="166">
        <v>0</v>
      </c>
      <c r="G18" s="168">
        <f t="shared" si="1"/>
        <v>19</v>
      </c>
      <c r="H18" s="271"/>
      <c r="I18" s="273"/>
      <c r="J18" s="169">
        <v>0</v>
      </c>
      <c r="K18" s="166">
        <v>0</v>
      </c>
      <c r="L18" s="168">
        <f t="shared" si="3"/>
        <v>0</v>
      </c>
      <c r="M18" s="271"/>
      <c r="N18" s="272"/>
    </row>
    <row r="19" spans="1:14" ht="13.5" customHeight="1" thickBot="1">
      <c r="A19" s="182" t="s">
        <v>182</v>
      </c>
      <c r="B19" s="186">
        <f aca="true" t="shared" si="7" ref="B19:G19">SUM(B7+B8+B9+B10+B11+B13+B15)</f>
        <v>37514</v>
      </c>
      <c r="C19" s="187">
        <f t="shared" si="7"/>
        <v>0</v>
      </c>
      <c r="D19" s="188">
        <f t="shared" si="7"/>
        <v>37514</v>
      </c>
      <c r="E19" s="186">
        <f t="shared" si="7"/>
        <v>45788</v>
      </c>
      <c r="F19" s="187">
        <f t="shared" si="7"/>
        <v>0</v>
      </c>
      <c r="G19" s="188">
        <f t="shared" si="7"/>
        <v>45788</v>
      </c>
      <c r="H19" s="190">
        <f t="shared" si="2"/>
        <v>8274</v>
      </c>
      <c r="I19" s="108">
        <f t="shared" si="5"/>
        <v>1.2205576584741697</v>
      </c>
      <c r="J19" s="198">
        <f>SUM(J7+J8+J9+J10+J11+J13+J15)</f>
        <v>42688</v>
      </c>
      <c r="K19" s="187">
        <f>SUM(K7+K8+K9+K10+K11+K13+K15)</f>
        <v>0</v>
      </c>
      <c r="L19" s="188">
        <f>SUM(L7+L8+L9+L10+L11+L13+L15)</f>
        <v>42688</v>
      </c>
      <c r="M19" s="190">
        <f t="shared" si="4"/>
        <v>-3100</v>
      </c>
      <c r="N19" s="199">
        <f t="shared" si="6"/>
        <v>0.9322966716170176</v>
      </c>
    </row>
    <row r="20" spans="1:14" ht="13.5" customHeight="1">
      <c r="A20" s="96" t="s">
        <v>183</v>
      </c>
      <c r="B20" s="71">
        <v>6200</v>
      </c>
      <c r="C20" s="72">
        <v>0</v>
      </c>
      <c r="D20" s="73">
        <f aca="true" t="shared" si="8" ref="D20:D37">SUM(B20:C20)</f>
        <v>6200</v>
      </c>
      <c r="E20" s="71">
        <v>9614</v>
      </c>
      <c r="F20" s="72">
        <v>0</v>
      </c>
      <c r="G20" s="97">
        <f aca="true" t="shared" si="9" ref="G20:G37">SUM(E20:F20)</f>
        <v>9614</v>
      </c>
      <c r="H20" s="98">
        <f t="shared" si="2"/>
        <v>3414</v>
      </c>
      <c r="I20" s="99">
        <f t="shared" si="5"/>
        <v>1.5506451612903225</v>
      </c>
      <c r="J20" s="76">
        <f>6820-95</f>
        <v>6725</v>
      </c>
      <c r="K20" s="72">
        <v>0</v>
      </c>
      <c r="L20" s="100">
        <f aca="true" t="shared" si="10" ref="L20:L37">SUM(J20:K20)</f>
        <v>6725</v>
      </c>
      <c r="M20" s="98">
        <f t="shared" si="4"/>
        <v>-2889</v>
      </c>
      <c r="N20" s="101">
        <f t="shared" si="6"/>
        <v>0.6995007281048471</v>
      </c>
    </row>
    <row r="21" spans="1:14" ht="21" customHeight="1">
      <c r="A21" s="82" t="s">
        <v>184</v>
      </c>
      <c r="B21" s="71">
        <v>723</v>
      </c>
      <c r="C21" s="72">
        <v>0</v>
      </c>
      <c r="D21" s="73">
        <f t="shared" si="8"/>
        <v>723</v>
      </c>
      <c r="E21" s="71">
        <v>3520</v>
      </c>
      <c r="F21" s="72">
        <v>0</v>
      </c>
      <c r="G21" s="97">
        <f t="shared" si="9"/>
        <v>3520</v>
      </c>
      <c r="H21" s="74">
        <f t="shared" si="2"/>
        <v>2797</v>
      </c>
      <c r="I21" s="75">
        <f t="shared" si="5"/>
        <v>4.868603042876901</v>
      </c>
      <c r="J21" s="76">
        <f>800-95</f>
        <v>705</v>
      </c>
      <c r="K21" s="72">
        <v>0</v>
      </c>
      <c r="L21" s="100">
        <f t="shared" si="10"/>
        <v>705</v>
      </c>
      <c r="M21" s="74">
        <f t="shared" si="4"/>
        <v>-2815</v>
      </c>
      <c r="N21" s="77">
        <f t="shared" si="6"/>
        <v>0.2002840909090909</v>
      </c>
    </row>
    <row r="22" spans="1:14" ht="13.5" customHeight="1">
      <c r="A22" s="78" t="s">
        <v>185</v>
      </c>
      <c r="B22" s="79">
        <v>3210</v>
      </c>
      <c r="C22" s="80">
        <v>0</v>
      </c>
      <c r="D22" s="73">
        <f t="shared" si="8"/>
        <v>3210</v>
      </c>
      <c r="E22" s="79">
        <v>3068</v>
      </c>
      <c r="F22" s="80">
        <v>0</v>
      </c>
      <c r="G22" s="97">
        <f t="shared" si="9"/>
        <v>3068</v>
      </c>
      <c r="H22" s="74">
        <f t="shared" si="2"/>
        <v>-142</v>
      </c>
      <c r="I22" s="75">
        <f t="shared" si="5"/>
        <v>0.9557632398753894</v>
      </c>
      <c r="J22" s="81">
        <v>3500</v>
      </c>
      <c r="K22" s="80">
        <v>0</v>
      </c>
      <c r="L22" s="100">
        <f t="shared" si="10"/>
        <v>3500</v>
      </c>
      <c r="M22" s="74">
        <f t="shared" si="4"/>
        <v>432</v>
      </c>
      <c r="N22" s="77">
        <f t="shared" si="6"/>
        <v>1.1408083441981747</v>
      </c>
    </row>
    <row r="23" spans="1:14" ht="13.5" customHeight="1">
      <c r="A23" s="82" t="s">
        <v>186</v>
      </c>
      <c r="B23" s="79">
        <v>0</v>
      </c>
      <c r="C23" s="80">
        <v>0</v>
      </c>
      <c r="D23" s="73">
        <f t="shared" si="8"/>
        <v>0</v>
      </c>
      <c r="E23" s="79">
        <v>0</v>
      </c>
      <c r="F23" s="80">
        <v>0</v>
      </c>
      <c r="G23" s="97">
        <f t="shared" si="9"/>
        <v>0</v>
      </c>
      <c r="H23" s="74">
        <f t="shared" si="2"/>
        <v>0</v>
      </c>
      <c r="I23" s="75"/>
      <c r="J23" s="81">
        <v>0</v>
      </c>
      <c r="K23" s="80">
        <v>0</v>
      </c>
      <c r="L23" s="100">
        <f t="shared" si="10"/>
        <v>0</v>
      </c>
      <c r="M23" s="74">
        <f t="shared" si="4"/>
        <v>0</v>
      </c>
      <c r="N23" s="77"/>
    </row>
    <row r="24" spans="1:14" ht="13.5" customHeight="1">
      <c r="A24" s="78" t="s">
        <v>298</v>
      </c>
      <c r="B24" s="79">
        <v>18</v>
      </c>
      <c r="C24" s="80">
        <v>0</v>
      </c>
      <c r="D24" s="73">
        <f t="shared" si="8"/>
        <v>18</v>
      </c>
      <c r="E24" s="79">
        <v>32</v>
      </c>
      <c r="F24" s="80">
        <v>0</v>
      </c>
      <c r="G24" s="97">
        <f t="shared" si="9"/>
        <v>32</v>
      </c>
      <c r="H24" s="74">
        <f t="shared" si="2"/>
        <v>14</v>
      </c>
      <c r="I24" s="75">
        <f aca="true" t="shared" si="11" ref="I24:I38">+G24/D24</f>
        <v>1.7777777777777777</v>
      </c>
      <c r="J24" s="81">
        <v>35</v>
      </c>
      <c r="K24" s="80">
        <v>0</v>
      </c>
      <c r="L24" s="100">
        <f t="shared" si="10"/>
        <v>35</v>
      </c>
      <c r="M24" s="74">
        <f t="shared" si="4"/>
        <v>3</v>
      </c>
      <c r="N24" s="77">
        <f aca="true" t="shared" si="12" ref="N24:N38">+L24/G24</f>
        <v>1.09375</v>
      </c>
    </row>
    <row r="25" spans="1:14" ht="13.5" customHeight="1">
      <c r="A25" s="78" t="s">
        <v>187</v>
      </c>
      <c r="B25" s="81">
        <v>3406</v>
      </c>
      <c r="C25" s="80">
        <v>0</v>
      </c>
      <c r="D25" s="73">
        <f t="shared" si="8"/>
        <v>3406</v>
      </c>
      <c r="E25" s="81">
        <v>4877</v>
      </c>
      <c r="F25" s="80">
        <v>0</v>
      </c>
      <c r="G25" s="97">
        <f t="shared" si="9"/>
        <v>4877</v>
      </c>
      <c r="H25" s="74">
        <f t="shared" si="2"/>
        <v>1471</v>
      </c>
      <c r="I25" s="75">
        <f t="shared" si="11"/>
        <v>1.4318849089841457</v>
      </c>
      <c r="J25" s="81">
        <v>4300</v>
      </c>
      <c r="K25" s="80">
        <v>0</v>
      </c>
      <c r="L25" s="100">
        <f t="shared" si="10"/>
        <v>4300</v>
      </c>
      <c r="M25" s="74">
        <f t="shared" si="4"/>
        <v>-577</v>
      </c>
      <c r="N25" s="77">
        <f t="shared" si="12"/>
        <v>0.8816895632561</v>
      </c>
    </row>
    <row r="26" spans="1:14" ht="13.5" customHeight="1">
      <c r="A26" s="82" t="s">
        <v>188</v>
      </c>
      <c r="B26" s="79">
        <v>2584</v>
      </c>
      <c r="C26" s="80">
        <v>0</v>
      </c>
      <c r="D26" s="73">
        <f t="shared" si="8"/>
        <v>2584</v>
      </c>
      <c r="E26" s="79">
        <v>4087</v>
      </c>
      <c r="F26" s="80">
        <v>0</v>
      </c>
      <c r="G26" s="97">
        <f t="shared" si="9"/>
        <v>4087</v>
      </c>
      <c r="H26" s="74">
        <f t="shared" si="2"/>
        <v>1503</v>
      </c>
      <c r="I26" s="75">
        <f t="shared" si="11"/>
        <v>1.581656346749226</v>
      </c>
      <c r="J26" s="102">
        <v>2500</v>
      </c>
      <c r="K26" s="80">
        <v>0</v>
      </c>
      <c r="L26" s="100">
        <f t="shared" si="10"/>
        <v>2500</v>
      </c>
      <c r="M26" s="74">
        <f t="shared" si="4"/>
        <v>-1587</v>
      </c>
      <c r="N26" s="77">
        <f t="shared" si="12"/>
        <v>0.611695620259359</v>
      </c>
    </row>
    <row r="27" spans="1:14" ht="13.5" customHeight="1">
      <c r="A27" s="78" t="s">
        <v>189</v>
      </c>
      <c r="B27" s="79">
        <v>822</v>
      </c>
      <c r="C27" s="80">
        <v>0</v>
      </c>
      <c r="D27" s="73">
        <f t="shared" si="8"/>
        <v>822</v>
      </c>
      <c r="E27" s="79">
        <v>790</v>
      </c>
      <c r="F27" s="80">
        <v>0</v>
      </c>
      <c r="G27" s="97">
        <f t="shared" si="9"/>
        <v>790</v>
      </c>
      <c r="H27" s="74">
        <f t="shared" si="2"/>
        <v>-32</v>
      </c>
      <c r="I27" s="75">
        <f t="shared" si="11"/>
        <v>0.9610705596107056</v>
      </c>
      <c r="J27" s="102">
        <v>800</v>
      </c>
      <c r="K27" s="80">
        <v>0</v>
      </c>
      <c r="L27" s="100">
        <f t="shared" si="10"/>
        <v>800</v>
      </c>
      <c r="M27" s="74">
        <f t="shared" si="4"/>
        <v>10</v>
      </c>
      <c r="N27" s="77">
        <f t="shared" si="12"/>
        <v>1.0126582278481013</v>
      </c>
    </row>
    <row r="28" spans="1:14" ht="13.5" customHeight="1">
      <c r="A28" s="103" t="s">
        <v>190</v>
      </c>
      <c r="B28" s="81">
        <v>23355</v>
      </c>
      <c r="C28" s="80">
        <v>0</v>
      </c>
      <c r="D28" s="73">
        <f t="shared" si="8"/>
        <v>23355</v>
      </c>
      <c r="E28" s="81">
        <v>26662</v>
      </c>
      <c r="F28" s="80">
        <v>0</v>
      </c>
      <c r="G28" s="97">
        <f t="shared" si="9"/>
        <v>26662</v>
      </c>
      <c r="H28" s="74">
        <f t="shared" si="2"/>
        <v>3307</v>
      </c>
      <c r="I28" s="75">
        <f t="shared" si="11"/>
        <v>1.1415970884178976</v>
      </c>
      <c r="J28" s="81">
        <v>27023</v>
      </c>
      <c r="K28" s="80">
        <v>0</v>
      </c>
      <c r="L28" s="100">
        <f t="shared" si="10"/>
        <v>27023</v>
      </c>
      <c r="M28" s="74">
        <f t="shared" si="4"/>
        <v>361</v>
      </c>
      <c r="N28" s="77">
        <f t="shared" si="12"/>
        <v>1.0135398694771585</v>
      </c>
    </row>
    <row r="29" spans="1:14" ht="13.5" customHeight="1">
      <c r="A29" s="82" t="s">
        <v>191</v>
      </c>
      <c r="B29" s="79">
        <v>17050</v>
      </c>
      <c r="C29" s="80">
        <v>0</v>
      </c>
      <c r="D29" s="73">
        <f t="shared" si="8"/>
        <v>17050</v>
      </c>
      <c r="E29" s="79">
        <v>19475</v>
      </c>
      <c r="F29" s="80">
        <v>0</v>
      </c>
      <c r="G29" s="97">
        <f t="shared" si="9"/>
        <v>19475</v>
      </c>
      <c r="H29" s="74">
        <f t="shared" si="2"/>
        <v>2425</v>
      </c>
      <c r="I29" s="75">
        <f t="shared" si="11"/>
        <v>1.1422287390029326</v>
      </c>
      <c r="J29" s="102">
        <v>19725</v>
      </c>
      <c r="K29" s="104">
        <v>0</v>
      </c>
      <c r="L29" s="100">
        <f t="shared" si="10"/>
        <v>19725</v>
      </c>
      <c r="M29" s="74">
        <f t="shared" si="4"/>
        <v>250</v>
      </c>
      <c r="N29" s="77">
        <f t="shared" si="12"/>
        <v>1.012836970474968</v>
      </c>
    </row>
    <row r="30" spans="1:14" ht="13.5" customHeight="1">
      <c r="A30" s="103" t="s">
        <v>192</v>
      </c>
      <c r="B30" s="79">
        <v>17050</v>
      </c>
      <c r="C30" s="80">
        <v>0</v>
      </c>
      <c r="D30" s="73">
        <f t="shared" si="8"/>
        <v>17050</v>
      </c>
      <c r="E30" s="79">
        <v>19475</v>
      </c>
      <c r="F30" s="80">
        <v>0</v>
      </c>
      <c r="G30" s="97">
        <f t="shared" si="9"/>
        <v>19475</v>
      </c>
      <c r="H30" s="74">
        <f t="shared" si="2"/>
        <v>2425</v>
      </c>
      <c r="I30" s="75">
        <f t="shared" si="11"/>
        <v>1.1422287390029326</v>
      </c>
      <c r="J30" s="81">
        <v>19725</v>
      </c>
      <c r="K30" s="80">
        <v>0</v>
      </c>
      <c r="L30" s="100">
        <f t="shared" si="10"/>
        <v>19725</v>
      </c>
      <c r="M30" s="74">
        <f t="shared" si="4"/>
        <v>250</v>
      </c>
      <c r="N30" s="77">
        <f t="shared" si="12"/>
        <v>1.012836970474968</v>
      </c>
    </row>
    <row r="31" spans="1:14" ht="13.5" customHeight="1">
      <c r="A31" s="82" t="s">
        <v>193</v>
      </c>
      <c r="B31" s="79">
        <v>0</v>
      </c>
      <c r="C31" s="80">
        <v>0</v>
      </c>
      <c r="D31" s="73">
        <f t="shared" si="8"/>
        <v>0</v>
      </c>
      <c r="E31" s="79">
        <v>0</v>
      </c>
      <c r="F31" s="80">
        <v>0</v>
      </c>
      <c r="G31" s="97">
        <f t="shared" si="9"/>
        <v>0</v>
      </c>
      <c r="H31" s="74">
        <f t="shared" si="2"/>
        <v>0</v>
      </c>
      <c r="I31" s="75"/>
      <c r="J31" s="81">
        <v>0</v>
      </c>
      <c r="K31" s="80">
        <v>0</v>
      </c>
      <c r="L31" s="100">
        <f t="shared" si="10"/>
        <v>0</v>
      </c>
      <c r="M31" s="74">
        <f t="shared" si="4"/>
        <v>0</v>
      </c>
      <c r="N31" s="77"/>
    </row>
    <row r="32" spans="1:14" ht="13.5" customHeight="1">
      <c r="A32" s="82" t="s">
        <v>194</v>
      </c>
      <c r="B32" s="79">
        <v>6305</v>
      </c>
      <c r="C32" s="80">
        <v>0</v>
      </c>
      <c r="D32" s="73">
        <f t="shared" si="8"/>
        <v>6305</v>
      </c>
      <c r="E32" s="79">
        <v>7187</v>
      </c>
      <c r="F32" s="80">
        <v>0</v>
      </c>
      <c r="G32" s="97">
        <f t="shared" si="9"/>
        <v>7187</v>
      </c>
      <c r="H32" s="74">
        <f t="shared" si="2"/>
        <v>882</v>
      </c>
      <c r="I32" s="75">
        <f t="shared" si="11"/>
        <v>1.139888977002379</v>
      </c>
      <c r="J32" s="81">
        <v>7298</v>
      </c>
      <c r="K32" s="80">
        <v>0</v>
      </c>
      <c r="L32" s="100">
        <f t="shared" si="10"/>
        <v>7298</v>
      </c>
      <c r="M32" s="74">
        <f t="shared" si="4"/>
        <v>111</v>
      </c>
      <c r="N32" s="77">
        <f t="shared" si="12"/>
        <v>1.0154445526645333</v>
      </c>
    </row>
    <row r="33" spans="1:14" ht="13.5" customHeight="1">
      <c r="A33" s="103" t="s">
        <v>195</v>
      </c>
      <c r="B33" s="79">
        <v>0</v>
      </c>
      <c r="C33" s="80">
        <v>0</v>
      </c>
      <c r="D33" s="73">
        <f t="shared" si="8"/>
        <v>0</v>
      </c>
      <c r="E33" s="79">
        <v>0</v>
      </c>
      <c r="F33" s="80">
        <v>0</v>
      </c>
      <c r="G33" s="97">
        <f t="shared" si="9"/>
        <v>0</v>
      </c>
      <c r="H33" s="74">
        <f t="shared" si="2"/>
        <v>0</v>
      </c>
      <c r="I33" s="75"/>
      <c r="J33" s="81">
        <v>0</v>
      </c>
      <c r="K33" s="80">
        <v>0</v>
      </c>
      <c r="L33" s="100">
        <f t="shared" si="10"/>
        <v>0</v>
      </c>
      <c r="M33" s="74">
        <f t="shared" si="4"/>
        <v>0</v>
      </c>
      <c r="N33" s="77"/>
    </row>
    <row r="34" spans="1:14" ht="13.5" customHeight="1">
      <c r="A34" s="103" t="s">
        <v>196</v>
      </c>
      <c r="B34" s="79">
        <v>171</v>
      </c>
      <c r="C34" s="80">
        <v>0</v>
      </c>
      <c r="D34" s="73">
        <f t="shared" si="8"/>
        <v>171</v>
      </c>
      <c r="E34" s="79">
        <v>193</v>
      </c>
      <c r="F34" s="80">
        <v>0</v>
      </c>
      <c r="G34" s="97">
        <f t="shared" si="9"/>
        <v>193</v>
      </c>
      <c r="H34" s="74">
        <f t="shared" si="2"/>
        <v>22</v>
      </c>
      <c r="I34" s="75">
        <f t="shared" si="11"/>
        <v>1.128654970760234</v>
      </c>
      <c r="J34" s="81">
        <v>200</v>
      </c>
      <c r="K34" s="80">
        <v>0</v>
      </c>
      <c r="L34" s="100">
        <f t="shared" si="10"/>
        <v>200</v>
      </c>
      <c r="M34" s="74">
        <f t="shared" si="4"/>
        <v>7</v>
      </c>
      <c r="N34" s="77">
        <f t="shared" si="12"/>
        <v>1.0362694300518134</v>
      </c>
    </row>
    <row r="35" spans="1:14" ht="13.5" customHeight="1">
      <c r="A35" s="82" t="s">
        <v>197</v>
      </c>
      <c r="B35" s="79">
        <v>1097</v>
      </c>
      <c r="C35" s="80">
        <v>0</v>
      </c>
      <c r="D35" s="73">
        <f t="shared" si="8"/>
        <v>1097</v>
      </c>
      <c r="E35" s="79">
        <v>1201</v>
      </c>
      <c r="F35" s="80">
        <v>0</v>
      </c>
      <c r="G35" s="97">
        <f t="shared" si="9"/>
        <v>1201</v>
      </c>
      <c r="H35" s="74">
        <f t="shared" si="2"/>
        <v>104</v>
      </c>
      <c r="I35" s="75">
        <f t="shared" si="11"/>
        <v>1.0948040109389243</v>
      </c>
      <c r="J35" s="102">
        <v>1145</v>
      </c>
      <c r="K35" s="80">
        <v>0</v>
      </c>
      <c r="L35" s="100">
        <f t="shared" si="10"/>
        <v>1145</v>
      </c>
      <c r="M35" s="74">
        <f t="shared" si="4"/>
        <v>-56</v>
      </c>
      <c r="N35" s="77">
        <f t="shared" si="12"/>
        <v>0.9533721898417985</v>
      </c>
    </row>
    <row r="36" spans="1:14" ht="22.5" customHeight="1">
      <c r="A36" s="82" t="s">
        <v>198</v>
      </c>
      <c r="B36" s="79">
        <v>1097</v>
      </c>
      <c r="C36" s="80">
        <v>0</v>
      </c>
      <c r="D36" s="73">
        <f t="shared" si="8"/>
        <v>1097</v>
      </c>
      <c r="E36" s="79">
        <v>1201</v>
      </c>
      <c r="F36" s="80">
        <v>0</v>
      </c>
      <c r="G36" s="97">
        <f t="shared" si="9"/>
        <v>1201</v>
      </c>
      <c r="H36" s="74">
        <f t="shared" si="2"/>
        <v>104</v>
      </c>
      <c r="I36" s="75">
        <f t="shared" si="11"/>
        <v>1.0948040109389243</v>
      </c>
      <c r="J36" s="102">
        <v>1145</v>
      </c>
      <c r="K36" s="80">
        <v>0</v>
      </c>
      <c r="L36" s="100">
        <f t="shared" si="10"/>
        <v>1145</v>
      </c>
      <c r="M36" s="74">
        <f t="shared" si="4"/>
        <v>-56</v>
      </c>
      <c r="N36" s="77">
        <f t="shared" si="12"/>
        <v>0.9533721898417985</v>
      </c>
    </row>
    <row r="37" spans="1:14" ht="13.5" customHeight="1" thickBot="1">
      <c r="A37" s="105" t="s">
        <v>199</v>
      </c>
      <c r="B37" s="83">
        <v>0</v>
      </c>
      <c r="C37" s="84">
        <v>0</v>
      </c>
      <c r="D37" s="73">
        <f t="shared" si="8"/>
        <v>0</v>
      </c>
      <c r="E37" s="83">
        <v>0</v>
      </c>
      <c r="F37" s="84">
        <v>0</v>
      </c>
      <c r="G37" s="97">
        <f t="shared" si="9"/>
        <v>0</v>
      </c>
      <c r="H37" s="85">
        <f t="shared" si="2"/>
        <v>0</v>
      </c>
      <c r="I37" s="86"/>
      <c r="J37" s="106">
        <v>0</v>
      </c>
      <c r="K37" s="84">
        <v>0</v>
      </c>
      <c r="L37" s="100">
        <f t="shared" si="10"/>
        <v>0</v>
      </c>
      <c r="M37" s="85">
        <f t="shared" si="4"/>
        <v>0</v>
      </c>
      <c r="N37" s="87"/>
    </row>
    <row r="38" spans="1:14" ht="13.5" customHeight="1" thickBot="1">
      <c r="A38" s="88" t="s">
        <v>200</v>
      </c>
      <c r="B38" s="89">
        <f aca="true" t="shared" si="13" ref="B38:G38">SUM(B20+B22+B23+B24+B25+B28+B33+B34+B35+B37)</f>
        <v>37457</v>
      </c>
      <c r="C38" s="90">
        <f t="shared" si="13"/>
        <v>0</v>
      </c>
      <c r="D38" s="91">
        <f t="shared" si="13"/>
        <v>37457</v>
      </c>
      <c r="E38" s="89">
        <f t="shared" si="13"/>
        <v>45647</v>
      </c>
      <c r="F38" s="90">
        <f t="shared" si="13"/>
        <v>0</v>
      </c>
      <c r="G38" s="91">
        <f t="shared" si="13"/>
        <v>45647</v>
      </c>
      <c r="H38" s="92">
        <f t="shared" si="2"/>
        <v>8190</v>
      </c>
      <c r="I38" s="93">
        <f t="shared" si="11"/>
        <v>1.2186507194916838</v>
      </c>
      <c r="J38" s="94">
        <f>SUM(J20+J22+J23+J24+J25+J28+J33+J34+J35+J37)</f>
        <v>42928</v>
      </c>
      <c r="K38" s="90">
        <f>SUM(K20+K22+K23+K24+K25+K28+K33+K34+K35+K37)</f>
        <v>0</v>
      </c>
      <c r="L38" s="91">
        <f>SUM(L20+L22+L23+L24+L25+L28+L33+L34+L35+L37)</f>
        <v>42928</v>
      </c>
      <c r="M38" s="92">
        <f t="shared" si="4"/>
        <v>-2719</v>
      </c>
      <c r="N38" s="95">
        <f t="shared" si="12"/>
        <v>0.940434201590466</v>
      </c>
    </row>
    <row r="39" spans="1:14" ht="13.5" customHeight="1" thickBot="1">
      <c r="A39" s="88" t="s">
        <v>201</v>
      </c>
      <c r="B39" s="787">
        <f>+D19-D38</f>
        <v>57</v>
      </c>
      <c r="C39" s="787"/>
      <c r="D39" s="787"/>
      <c r="E39" s="787">
        <f>+G19-G38</f>
        <v>141</v>
      </c>
      <c r="F39" s="787"/>
      <c r="G39" s="787">
        <v>-50784</v>
      </c>
      <c r="H39" s="107"/>
      <c r="I39" s="108"/>
      <c r="J39" s="789">
        <f>+L19-L38</f>
        <v>-240</v>
      </c>
      <c r="K39" s="789"/>
      <c r="L39" s="789">
        <v>0</v>
      </c>
      <c r="M39" s="92"/>
      <c r="N39" s="95"/>
    </row>
    <row r="40" spans="1:16" ht="20.25" customHeight="1" thickBot="1">
      <c r="A40" s="109" t="s">
        <v>202</v>
      </c>
      <c r="B40" s="787"/>
      <c r="C40" s="787"/>
      <c r="D40" s="787"/>
      <c r="E40" s="787"/>
      <c r="F40" s="787"/>
      <c r="G40" s="787"/>
      <c r="H40"/>
      <c r="I40"/>
      <c r="J40"/>
      <c r="K40"/>
      <c r="L40"/>
      <c r="M40"/>
      <c r="N40"/>
      <c r="O40"/>
      <c r="P40"/>
    </row>
    <row r="41" spans="2:13" ht="14.25" customHeight="1" thickBot="1">
      <c r="B41" s="7"/>
      <c r="C41" s="7"/>
      <c r="D41" s="16"/>
      <c r="E41" s="7"/>
      <c r="F41" s="7"/>
      <c r="G41" s="7"/>
      <c r="H41" s="7"/>
      <c r="M41" s="16"/>
    </row>
    <row r="42" spans="1:16" ht="13.5" thickBot="1">
      <c r="A42" s="805" t="s">
        <v>312</v>
      </c>
      <c r="B42" s="805"/>
      <c r="C42" s="799" t="s">
        <v>203</v>
      </c>
      <c r="D42" s="805" t="s">
        <v>420</v>
      </c>
      <c r="E42" s="805"/>
      <c r="F42" s="805"/>
      <c r="G42" s="799" t="s">
        <v>203</v>
      </c>
      <c r="H42" s="785" t="s">
        <v>421</v>
      </c>
      <c r="I42" s="785"/>
      <c r="J42" s="785"/>
      <c r="K42" s="785"/>
      <c r="L42" s="799" t="s">
        <v>203</v>
      </c>
      <c r="O42"/>
      <c r="P42"/>
    </row>
    <row r="43" spans="1:16" ht="13.5" thickBot="1">
      <c r="A43" s="805"/>
      <c r="B43" s="805"/>
      <c r="C43" s="799"/>
      <c r="D43" s="805"/>
      <c r="E43" s="805"/>
      <c r="F43" s="805"/>
      <c r="G43" s="799"/>
      <c r="H43" s="785"/>
      <c r="I43" s="785"/>
      <c r="J43" s="785"/>
      <c r="K43" s="785"/>
      <c r="L43" s="799"/>
      <c r="O43"/>
      <c r="P43"/>
    </row>
    <row r="44" spans="1:16" ht="12.75">
      <c r="A44" s="794" t="s">
        <v>257</v>
      </c>
      <c r="B44" s="794"/>
      <c r="C44" s="110">
        <v>71</v>
      </c>
      <c r="D44" s="795" t="s">
        <v>251</v>
      </c>
      <c r="E44" s="795"/>
      <c r="F44" s="795"/>
      <c r="G44" s="111">
        <v>400</v>
      </c>
      <c r="H44" s="802" t="s">
        <v>251</v>
      </c>
      <c r="I44" s="802"/>
      <c r="J44" s="802"/>
      <c r="K44" s="802"/>
      <c r="L44" s="112">
        <v>400</v>
      </c>
      <c r="O44"/>
      <c r="P44"/>
    </row>
    <row r="45" spans="1:16" ht="12.75">
      <c r="A45" s="797" t="s">
        <v>352</v>
      </c>
      <c r="B45" s="797"/>
      <c r="C45" s="113">
        <v>484</v>
      </c>
      <c r="D45" s="795" t="s">
        <v>595</v>
      </c>
      <c r="E45" s="795"/>
      <c r="F45" s="795"/>
      <c r="G45" s="114">
        <v>60</v>
      </c>
      <c r="H45" s="802" t="s">
        <v>596</v>
      </c>
      <c r="I45" s="802"/>
      <c r="J45" s="802"/>
      <c r="K45" s="802"/>
      <c r="L45" s="112">
        <v>58</v>
      </c>
      <c r="O45"/>
      <c r="P45"/>
    </row>
    <row r="46" spans="1:16" ht="12.75">
      <c r="A46" s="797" t="s">
        <v>597</v>
      </c>
      <c r="B46" s="797"/>
      <c r="C46" s="113">
        <v>130</v>
      </c>
      <c r="D46" s="795" t="s">
        <v>598</v>
      </c>
      <c r="E46" s="795"/>
      <c r="F46" s="795"/>
      <c r="G46" s="114">
        <v>45</v>
      </c>
      <c r="H46" s="802" t="s">
        <v>599</v>
      </c>
      <c r="I46" s="802"/>
      <c r="J46" s="802"/>
      <c r="K46" s="802"/>
      <c r="L46" s="112">
        <v>150</v>
      </c>
      <c r="O46"/>
      <c r="P46"/>
    </row>
    <row r="47" spans="1:16" ht="12.75">
      <c r="A47" s="797" t="s">
        <v>600</v>
      </c>
      <c r="B47" s="797"/>
      <c r="C47" s="115">
        <v>520</v>
      </c>
      <c r="D47" s="797" t="s">
        <v>353</v>
      </c>
      <c r="E47" s="797"/>
      <c r="F47" s="797"/>
      <c r="G47" s="116">
        <v>115</v>
      </c>
      <c r="H47" s="776" t="s">
        <v>601</v>
      </c>
      <c r="I47" s="776"/>
      <c r="J47" s="776"/>
      <c r="K47" s="776"/>
      <c r="L47" s="112">
        <v>400</v>
      </c>
      <c r="O47"/>
      <c r="P47"/>
    </row>
    <row r="48" spans="1:16" ht="12.75">
      <c r="A48" s="797"/>
      <c r="B48" s="797"/>
      <c r="C48" s="115"/>
      <c r="D48" s="797" t="s">
        <v>354</v>
      </c>
      <c r="E48" s="797"/>
      <c r="F48" s="797"/>
      <c r="G48" s="116">
        <v>220</v>
      </c>
      <c r="H48" s="776"/>
      <c r="I48" s="776"/>
      <c r="J48" s="776"/>
      <c r="K48" s="776"/>
      <c r="L48" s="112"/>
      <c r="O48"/>
      <c r="P48"/>
    </row>
    <row r="49" spans="1:16" ht="12.75">
      <c r="A49" s="797"/>
      <c r="B49" s="797"/>
      <c r="C49" s="115"/>
      <c r="D49" s="797" t="s">
        <v>250</v>
      </c>
      <c r="E49" s="797"/>
      <c r="F49" s="797"/>
      <c r="G49" s="116">
        <v>544</v>
      </c>
      <c r="H49" s="776" t="s">
        <v>250</v>
      </c>
      <c r="I49" s="776"/>
      <c r="J49" s="776"/>
      <c r="K49" s="776"/>
      <c r="L49" s="112">
        <v>572</v>
      </c>
      <c r="O49"/>
      <c r="P49"/>
    </row>
    <row r="50" spans="1:16" ht="13.5" thickBot="1">
      <c r="A50" s="800"/>
      <c r="B50" s="800"/>
      <c r="C50" s="115"/>
      <c r="D50" s="801"/>
      <c r="E50" s="801"/>
      <c r="F50" s="801"/>
      <c r="G50" s="116"/>
      <c r="H50" s="802"/>
      <c r="I50" s="802"/>
      <c r="J50" s="802"/>
      <c r="K50" s="802"/>
      <c r="L50" s="112"/>
      <c r="O50"/>
      <c r="P50"/>
    </row>
    <row r="51" spans="1:16" ht="13.5" thickBot="1">
      <c r="A51" s="811"/>
      <c r="B51" s="811"/>
      <c r="C51" s="117">
        <f>SUM(C44:C50)</f>
        <v>1205</v>
      </c>
      <c r="D51" s="812" t="s">
        <v>168</v>
      </c>
      <c r="E51" s="812"/>
      <c r="F51" s="812"/>
      <c r="G51" s="117">
        <f>SUM(G44:G50)</f>
        <v>1384</v>
      </c>
      <c r="H51" s="778" t="s">
        <v>168</v>
      </c>
      <c r="I51" s="778"/>
      <c r="J51" s="778"/>
      <c r="K51" s="778"/>
      <c r="L51" s="117">
        <f>SUM(L44:L50)</f>
        <v>1580</v>
      </c>
      <c r="M51" s="17"/>
      <c r="N51" s="17"/>
      <c r="O51"/>
      <c r="P51"/>
    </row>
    <row r="52" spans="1:16" s="1" customFormat="1" ht="13.5" customHeight="1" thickBot="1">
      <c r="A52" s="18"/>
      <c r="B52" s="5"/>
      <c r="C52" s="5"/>
      <c r="D52" s="5"/>
      <c r="E52" s="5"/>
      <c r="F52" s="5"/>
      <c r="G52" s="5"/>
      <c r="H52" s="6"/>
      <c r="I52" s="3"/>
      <c r="J52" s="3"/>
      <c r="K52" s="3"/>
      <c r="L52" s="3"/>
      <c r="M52" s="3"/>
      <c r="N52" s="3"/>
      <c r="O52" s="3"/>
      <c r="P52" s="3"/>
    </row>
    <row r="53" spans="1:16" ht="13.5" thickBot="1">
      <c r="A53" s="866" t="s">
        <v>429</v>
      </c>
      <c r="B53" s="867"/>
      <c r="C53" s="869" t="s">
        <v>203</v>
      </c>
      <c r="D53" s="806" t="s">
        <v>430</v>
      </c>
      <c r="E53" s="806"/>
      <c r="F53" s="806"/>
      <c r="G53" s="798" t="s">
        <v>203</v>
      </c>
      <c r="H53" s="785" t="s">
        <v>431</v>
      </c>
      <c r="I53" s="785"/>
      <c r="J53" s="785"/>
      <c r="K53" s="785"/>
      <c r="L53" s="799" t="s">
        <v>203</v>
      </c>
      <c r="O53"/>
      <c r="P53"/>
    </row>
    <row r="54" spans="1:16" ht="13.5" thickBot="1">
      <c r="A54" s="868"/>
      <c r="B54" s="805"/>
      <c r="C54" s="870"/>
      <c r="D54" s="806"/>
      <c r="E54" s="806"/>
      <c r="F54" s="806"/>
      <c r="G54" s="798"/>
      <c r="H54" s="785"/>
      <c r="I54" s="785"/>
      <c r="J54" s="785"/>
      <c r="K54" s="785"/>
      <c r="L54" s="799"/>
      <c r="O54"/>
      <c r="P54"/>
    </row>
    <row r="55" spans="1:16" ht="12.75">
      <c r="A55" s="871" t="s">
        <v>355</v>
      </c>
      <c r="B55" s="803"/>
      <c r="C55" s="201">
        <v>170</v>
      </c>
      <c r="D55" s="804" t="s">
        <v>356</v>
      </c>
      <c r="E55" s="804"/>
      <c r="F55" s="804"/>
      <c r="G55" s="118">
        <v>5</v>
      </c>
      <c r="H55" s="802" t="s">
        <v>356</v>
      </c>
      <c r="I55" s="802"/>
      <c r="J55" s="802"/>
      <c r="K55" s="802"/>
      <c r="L55" s="112">
        <v>20</v>
      </c>
      <c r="O55"/>
      <c r="P55"/>
    </row>
    <row r="56" spans="1:16" ht="13.5" customHeight="1">
      <c r="A56" s="872" t="s">
        <v>602</v>
      </c>
      <c r="B56" s="781"/>
      <c r="C56" s="202">
        <v>1775</v>
      </c>
      <c r="D56" s="782" t="s">
        <v>603</v>
      </c>
      <c r="E56" s="782"/>
      <c r="F56" s="782"/>
      <c r="G56" s="119">
        <v>220</v>
      </c>
      <c r="H56" s="776" t="s">
        <v>604</v>
      </c>
      <c r="I56" s="776"/>
      <c r="J56" s="776"/>
      <c r="K56" s="776"/>
      <c r="L56" s="120">
        <v>220</v>
      </c>
      <c r="O56"/>
      <c r="P56"/>
    </row>
    <row r="57" spans="1:16" ht="13.5" customHeight="1">
      <c r="A57" s="872" t="s">
        <v>296</v>
      </c>
      <c r="B57" s="781"/>
      <c r="C57" s="202">
        <v>350</v>
      </c>
      <c r="D57" s="782" t="s">
        <v>296</v>
      </c>
      <c r="E57" s="782"/>
      <c r="F57" s="782"/>
      <c r="G57" s="119">
        <v>422</v>
      </c>
      <c r="H57" s="776" t="s">
        <v>296</v>
      </c>
      <c r="I57" s="776"/>
      <c r="J57" s="776"/>
      <c r="K57" s="776"/>
      <c r="L57" s="120">
        <v>500</v>
      </c>
      <c r="O57"/>
      <c r="P57"/>
    </row>
    <row r="58" spans="1:16" ht="13.5" customHeight="1">
      <c r="A58" s="872" t="s">
        <v>294</v>
      </c>
      <c r="B58" s="781"/>
      <c r="C58" s="202">
        <v>100</v>
      </c>
      <c r="D58" s="782" t="s">
        <v>357</v>
      </c>
      <c r="E58" s="782"/>
      <c r="F58" s="782"/>
      <c r="G58" s="119">
        <v>350</v>
      </c>
      <c r="H58" s="776" t="s">
        <v>605</v>
      </c>
      <c r="I58" s="776"/>
      <c r="J58" s="776"/>
      <c r="K58" s="776"/>
      <c r="L58" s="120">
        <v>200</v>
      </c>
      <c r="O58"/>
      <c r="P58"/>
    </row>
    <row r="59" spans="1:16" ht="13.5" customHeight="1">
      <c r="A59" s="872" t="s">
        <v>358</v>
      </c>
      <c r="B59" s="781"/>
      <c r="C59" s="203">
        <v>2</v>
      </c>
      <c r="D59" s="782" t="s">
        <v>359</v>
      </c>
      <c r="E59" s="782"/>
      <c r="F59" s="782"/>
      <c r="G59" s="121">
        <v>470</v>
      </c>
      <c r="H59" s="776" t="s">
        <v>252</v>
      </c>
      <c r="I59" s="776"/>
      <c r="J59" s="776"/>
      <c r="K59" s="776"/>
      <c r="L59" s="122">
        <v>850</v>
      </c>
      <c r="O59"/>
      <c r="P59"/>
    </row>
    <row r="60" spans="1:16" ht="13.5" customHeight="1">
      <c r="A60" s="872" t="s">
        <v>295</v>
      </c>
      <c r="B60" s="781"/>
      <c r="C60" s="203">
        <v>77</v>
      </c>
      <c r="D60" s="782" t="s">
        <v>606</v>
      </c>
      <c r="E60" s="782"/>
      <c r="F60" s="782"/>
      <c r="G60" s="121">
        <v>250</v>
      </c>
      <c r="H60" s="776" t="s">
        <v>607</v>
      </c>
      <c r="I60" s="776"/>
      <c r="J60" s="776"/>
      <c r="K60" s="776"/>
      <c r="L60" s="122">
        <v>200</v>
      </c>
      <c r="O60"/>
      <c r="P60"/>
    </row>
    <row r="61" spans="1:16" ht="13.5" customHeight="1">
      <c r="A61" s="872" t="s">
        <v>360</v>
      </c>
      <c r="B61" s="873"/>
      <c r="C61" s="202">
        <v>110</v>
      </c>
      <c r="D61" s="782" t="s">
        <v>608</v>
      </c>
      <c r="E61" s="782"/>
      <c r="F61" s="782"/>
      <c r="G61" s="119">
        <v>2370</v>
      </c>
      <c r="H61" s="776" t="s">
        <v>609</v>
      </c>
      <c r="I61" s="776"/>
      <c r="J61" s="776"/>
      <c r="K61" s="776"/>
      <c r="L61" s="120">
        <v>200</v>
      </c>
      <c r="O61"/>
      <c r="P61"/>
    </row>
    <row r="62" spans="1:16" ht="13.5" thickBot="1">
      <c r="A62" s="874"/>
      <c r="B62" s="780"/>
      <c r="C62" s="204"/>
      <c r="D62" s="783"/>
      <c r="E62" s="783"/>
      <c r="F62" s="783"/>
      <c r="G62" s="123"/>
      <c r="H62" s="777" t="s">
        <v>610</v>
      </c>
      <c r="I62" s="777"/>
      <c r="J62" s="777"/>
      <c r="K62" s="777"/>
      <c r="L62" s="124">
        <v>310</v>
      </c>
      <c r="O62"/>
      <c r="P62"/>
    </row>
    <row r="63" spans="1:16" ht="13.5" thickBot="1">
      <c r="A63" s="877" t="s">
        <v>168</v>
      </c>
      <c r="B63" s="878"/>
      <c r="C63" s="205">
        <f>SUM(C55:C62)</f>
        <v>2584</v>
      </c>
      <c r="D63" s="784" t="s">
        <v>168</v>
      </c>
      <c r="E63" s="784"/>
      <c r="F63" s="784"/>
      <c r="G63" s="125">
        <f>SUM(G55:G62)</f>
        <v>4087</v>
      </c>
      <c r="H63" s="778" t="s">
        <v>168</v>
      </c>
      <c r="I63" s="778"/>
      <c r="J63" s="778"/>
      <c r="K63" s="778"/>
      <c r="L63" s="117">
        <f>SUM(L55:L62)</f>
        <v>2500</v>
      </c>
      <c r="M63" s="17"/>
      <c r="N63" s="17"/>
      <c r="O63"/>
      <c r="P63"/>
    </row>
    <row r="64" spans="1:14" s="1" customFormat="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1" customFormat="1" ht="13.5" thickBo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s="1" customFormat="1" ht="26.25" customHeight="1" thickBot="1">
      <c r="A66" s="833" t="s">
        <v>106</v>
      </c>
      <c r="B66" s="834"/>
      <c r="C66" s="834"/>
      <c r="D66" s="834"/>
      <c r="E66" s="835"/>
      <c r="F66" s="836" t="s">
        <v>107</v>
      </c>
      <c r="G66" s="837"/>
      <c r="H66" s="837"/>
      <c r="I66" s="837"/>
      <c r="J66" s="837"/>
      <c r="K66" s="837"/>
      <c r="L66" s="838"/>
      <c r="M66" s="19"/>
      <c r="N66" s="19"/>
    </row>
    <row r="67" spans="1:14" s="1" customFormat="1" ht="14.25" customHeight="1" thickBot="1">
      <c r="A67" s="397" t="s">
        <v>231</v>
      </c>
      <c r="B67" s="398" t="s">
        <v>96</v>
      </c>
      <c r="C67" s="839" t="s">
        <v>232</v>
      </c>
      <c r="D67" s="839"/>
      <c r="E67" s="399" t="s">
        <v>97</v>
      </c>
      <c r="F67" s="840" t="s">
        <v>231</v>
      </c>
      <c r="G67" s="841"/>
      <c r="H67" s="398" t="s">
        <v>96</v>
      </c>
      <c r="I67" s="839" t="s">
        <v>232</v>
      </c>
      <c r="J67" s="839"/>
      <c r="K67" s="839"/>
      <c r="L67" s="400" t="s">
        <v>97</v>
      </c>
      <c r="M67" s="19"/>
      <c r="N67" s="19"/>
    </row>
    <row r="68" spans="1:14" s="1" customFormat="1" ht="12.75">
      <c r="A68" s="401" t="s">
        <v>98</v>
      </c>
      <c r="B68" s="402">
        <v>71</v>
      </c>
      <c r="C68" s="842" t="s">
        <v>99</v>
      </c>
      <c r="D68" s="842"/>
      <c r="E68" s="403"/>
      <c r="F68" s="843" t="s">
        <v>98</v>
      </c>
      <c r="G68" s="844"/>
      <c r="H68" s="402">
        <v>61</v>
      </c>
      <c r="I68" s="842" t="s">
        <v>99</v>
      </c>
      <c r="J68" s="844"/>
      <c r="K68" s="844"/>
      <c r="L68" s="403"/>
      <c r="M68" s="19"/>
      <c r="N68" s="19"/>
    </row>
    <row r="69" spans="1:14" s="1" customFormat="1" ht="12.75">
      <c r="A69" s="404" t="s">
        <v>100</v>
      </c>
      <c r="B69" s="405">
        <v>57</v>
      </c>
      <c r="C69" s="845" t="s">
        <v>101</v>
      </c>
      <c r="D69" s="845"/>
      <c r="E69" s="406">
        <v>73</v>
      </c>
      <c r="F69" s="846" t="s">
        <v>102</v>
      </c>
      <c r="G69" s="847"/>
      <c r="H69" s="405">
        <v>113</v>
      </c>
      <c r="I69" s="845" t="s">
        <v>101</v>
      </c>
      <c r="J69" s="847"/>
      <c r="K69" s="847"/>
      <c r="L69" s="406">
        <v>50</v>
      </c>
      <c r="M69" s="19"/>
      <c r="N69" s="19"/>
    </row>
    <row r="70" spans="1:14" s="1" customFormat="1" ht="12.75">
      <c r="A70" s="404" t="s">
        <v>103</v>
      </c>
      <c r="B70" s="405">
        <v>6</v>
      </c>
      <c r="C70" s="845"/>
      <c r="D70" s="845"/>
      <c r="E70" s="406"/>
      <c r="F70" s="845" t="s">
        <v>104</v>
      </c>
      <c r="G70" s="845"/>
      <c r="H70" s="405"/>
      <c r="I70" s="845"/>
      <c r="J70" s="847"/>
      <c r="K70" s="847"/>
      <c r="L70" s="406"/>
      <c r="M70" s="19"/>
      <c r="N70" s="19"/>
    </row>
    <row r="71" spans="1:14" s="1" customFormat="1" ht="13.5" thickBot="1">
      <c r="A71" s="407"/>
      <c r="B71" s="408"/>
      <c r="C71" s="848"/>
      <c r="D71" s="848"/>
      <c r="E71" s="409"/>
      <c r="F71" s="849"/>
      <c r="G71" s="850"/>
      <c r="H71" s="408"/>
      <c r="I71" s="848"/>
      <c r="J71" s="850"/>
      <c r="K71" s="850"/>
      <c r="L71" s="409"/>
      <c r="M71" s="19"/>
      <c r="N71" s="19"/>
    </row>
    <row r="72" spans="1:14" s="1" customFormat="1" ht="13.5" thickBot="1">
      <c r="A72" s="410" t="s">
        <v>168</v>
      </c>
      <c r="B72" s="411">
        <f>SUM(B68:B71)</f>
        <v>134</v>
      </c>
      <c r="C72" s="851" t="s">
        <v>168</v>
      </c>
      <c r="D72" s="851"/>
      <c r="E72" s="413">
        <f>SUM(E68:E71)</f>
        <v>73</v>
      </c>
      <c r="F72" s="852" t="s">
        <v>168</v>
      </c>
      <c r="G72" s="853"/>
      <c r="H72" s="412">
        <f>SUM(H68:H71)</f>
        <v>174</v>
      </c>
      <c r="I72" s="851" t="s">
        <v>168</v>
      </c>
      <c r="J72" s="853"/>
      <c r="K72" s="853"/>
      <c r="L72" s="413">
        <f>SUM(L68:L71)</f>
        <v>50</v>
      </c>
      <c r="M72" s="19"/>
      <c r="N72" s="19"/>
    </row>
    <row r="73" spans="1:14" s="1" customFormat="1" ht="13.5" thickBot="1">
      <c r="A73" s="414" t="s">
        <v>105</v>
      </c>
      <c r="B73" s="415">
        <f>B72-E72</f>
        <v>61</v>
      </c>
      <c r="C73" s="19"/>
      <c r="D73" s="19"/>
      <c r="E73" s="19"/>
      <c r="F73" s="854" t="s">
        <v>105</v>
      </c>
      <c r="G73" s="701"/>
      <c r="H73" s="416">
        <f>H72-L72</f>
        <v>124</v>
      </c>
      <c r="I73" s="19"/>
      <c r="J73" s="19"/>
      <c r="K73" s="19"/>
      <c r="L73" s="19"/>
      <c r="M73" s="19"/>
      <c r="N73" s="19"/>
    </row>
    <row r="74" spans="1:14" s="1" customFormat="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s="1" customFormat="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2" s="1" customFormat="1" ht="12.75">
      <c r="A76" s="20"/>
      <c r="B76" s="21"/>
      <c r="C76" s="21"/>
      <c r="D76" s="21"/>
      <c r="E76" s="2"/>
      <c r="F76" s="4"/>
      <c r="G76" s="4"/>
      <c r="H76" s="20"/>
      <c r="I76" s="21"/>
      <c r="J76" s="21"/>
      <c r="K76" s="21"/>
      <c r="L76" s="2"/>
    </row>
    <row r="77" spans="1:12" s="1" customFormat="1" ht="13.5" thickBot="1">
      <c r="A77" s="20"/>
      <c r="B77" s="21"/>
      <c r="C77" s="21"/>
      <c r="D77" s="21"/>
      <c r="E77" s="2"/>
      <c r="F77" s="4"/>
      <c r="G77" s="4"/>
      <c r="H77" s="20"/>
      <c r="I77" s="21"/>
      <c r="J77" s="21" t="s">
        <v>307</v>
      </c>
      <c r="K77" s="21"/>
      <c r="L77" s="2"/>
    </row>
    <row r="78" spans="1:15" s="1" customFormat="1" ht="12.75">
      <c r="A78" s="879" t="s">
        <v>227</v>
      </c>
      <c r="B78" s="882" t="s">
        <v>435</v>
      </c>
      <c r="C78" s="885" t="s">
        <v>436</v>
      </c>
      <c r="D78" s="886"/>
      <c r="E78" s="886"/>
      <c r="F78" s="886"/>
      <c r="G78" s="886"/>
      <c r="H78" s="886"/>
      <c r="I78" s="887"/>
      <c r="J78" s="888" t="s">
        <v>437</v>
      </c>
      <c r="K78" s="7"/>
      <c r="L78" s="864" t="s">
        <v>205</v>
      </c>
      <c r="M78" s="865"/>
      <c r="N78" s="59">
        <v>2006</v>
      </c>
      <c r="O78" s="60">
        <v>2007</v>
      </c>
    </row>
    <row r="79" spans="1:15" s="1" customFormat="1" ht="12.75">
      <c r="A79" s="880"/>
      <c r="B79" s="883"/>
      <c r="C79" s="891" t="s">
        <v>228</v>
      </c>
      <c r="D79" s="893" t="s">
        <v>229</v>
      </c>
      <c r="E79" s="894"/>
      <c r="F79" s="894"/>
      <c r="G79" s="894"/>
      <c r="H79" s="894"/>
      <c r="I79" s="895"/>
      <c r="J79" s="889"/>
      <c r="K79" s="7"/>
      <c r="L79" s="63" t="s">
        <v>273</v>
      </c>
      <c r="M79" s="62"/>
      <c r="N79" s="58">
        <v>0</v>
      </c>
      <c r="O79" s="61">
        <v>0</v>
      </c>
    </row>
    <row r="80" spans="1:15" s="1" customFormat="1" ht="13.5" thickBot="1">
      <c r="A80" s="881"/>
      <c r="B80" s="884"/>
      <c r="C80" s="892"/>
      <c r="D80" s="25">
        <v>1</v>
      </c>
      <c r="E80" s="25">
        <v>2</v>
      </c>
      <c r="F80" s="25">
        <v>3</v>
      </c>
      <c r="G80" s="25">
        <v>4</v>
      </c>
      <c r="H80" s="25">
        <v>5</v>
      </c>
      <c r="I80" s="56">
        <v>6</v>
      </c>
      <c r="J80" s="890"/>
      <c r="K80" s="7"/>
      <c r="L80" s="62" t="s">
        <v>206</v>
      </c>
      <c r="M80" s="63"/>
      <c r="N80" s="22">
        <v>0</v>
      </c>
      <c r="O80" s="23">
        <v>0</v>
      </c>
    </row>
    <row r="81" spans="1:15" s="1" customFormat="1" ht="13.5" thickBot="1">
      <c r="A81" s="26">
        <v>66459</v>
      </c>
      <c r="B81" s="27">
        <v>12824</v>
      </c>
      <c r="C81" s="54">
        <f>SUM(D81:I81)</f>
        <v>1145</v>
      </c>
      <c r="D81" s="55">
        <v>93</v>
      </c>
      <c r="E81" s="55">
        <v>479</v>
      </c>
      <c r="F81" s="55">
        <v>1</v>
      </c>
      <c r="G81" s="55"/>
      <c r="H81" s="54">
        <v>572</v>
      </c>
      <c r="I81" s="57"/>
      <c r="J81" s="28">
        <f>SUM(A81-B81-C81)</f>
        <v>52490</v>
      </c>
      <c r="K81" s="7"/>
      <c r="L81" s="64" t="s">
        <v>207</v>
      </c>
      <c r="M81" s="65"/>
      <c r="N81" s="52">
        <v>0</v>
      </c>
      <c r="O81" s="53">
        <v>0</v>
      </c>
    </row>
    <row r="82" spans="1:12" s="1" customFormat="1" ht="12.75">
      <c r="A82" s="20"/>
      <c r="B82" s="21"/>
      <c r="C82" s="21"/>
      <c r="D82" s="21"/>
      <c r="E82" s="2"/>
      <c r="F82" s="200"/>
      <c r="G82" s="4"/>
      <c r="H82" s="20"/>
      <c r="I82" s="21"/>
      <c r="J82" s="21"/>
      <c r="K82" s="21"/>
      <c r="L82" s="2"/>
    </row>
    <row r="83" spans="1:12" s="1" customFormat="1" ht="13.5" thickBot="1">
      <c r="A83" s="20"/>
      <c r="B83" s="21"/>
      <c r="C83" s="21"/>
      <c r="D83" s="21"/>
      <c r="E83" s="2"/>
      <c r="F83" s="200"/>
      <c r="G83" s="4"/>
      <c r="H83" s="20"/>
      <c r="I83" s="21"/>
      <c r="J83" s="21"/>
      <c r="K83" s="21"/>
      <c r="L83" s="21" t="s">
        <v>307</v>
      </c>
    </row>
    <row r="84" spans="1:12" s="1" customFormat="1" ht="12.75">
      <c r="A84" s="855" t="s">
        <v>255</v>
      </c>
      <c r="B84" s="857" t="s">
        <v>438</v>
      </c>
      <c r="C84" s="859" t="s">
        <v>439</v>
      </c>
      <c r="D84" s="860"/>
      <c r="E84" s="860"/>
      <c r="F84" s="861"/>
      <c r="G84" s="862" t="s">
        <v>440</v>
      </c>
      <c r="H84" s="896" t="s">
        <v>230</v>
      </c>
      <c r="I84" s="898" t="s">
        <v>441</v>
      </c>
      <c r="J84" s="899"/>
      <c r="K84" s="899"/>
      <c r="L84" s="900"/>
    </row>
    <row r="85" spans="1:12" s="1" customFormat="1" ht="18.75" thickBot="1">
      <c r="A85" s="856"/>
      <c r="B85" s="858"/>
      <c r="C85" s="29" t="s">
        <v>321</v>
      </c>
      <c r="D85" s="30" t="s">
        <v>231</v>
      </c>
      <c r="E85" s="30" t="s">
        <v>232</v>
      </c>
      <c r="F85" s="31" t="s">
        <v>322</v>
      </c>
      <c r="G85" s="863"/>
      <c r="H85" s="897"/>
      <c r="I85" s="174" t="s">
        <v>442</v>
      </c>
      <c r="J85" s="175" t="s">
        <v>231</v>
      </c>
      <c r="K85" s="175" t="s">
        <v>232</v>
      </c>
      <c r="L85" s="176" t="s">
        <v>443</v>
      </c>
    </row>
    <row r="86" spans="1:12" s="1" customFormat="1" ht="12.75">
      <c r="A86" s="32" t="s">
        <v>233</v>
      </c>
      <c r="B86" s="33">
        <v>2406</v>
      </c>
      <c r="C86" s="34" t="s">
        <v>234</v>
      </c>
      <c r="D86" s="35" t="s">
        <v>234</v>
      </c>
      <c r="E86" s="35" t="s">
        <v>234</v>
      </c>
      <c r="F86" s="36"/>
      <c r="G86" s="37">
        <v>3808</v>
      </c>
      <c r="H86" s="171" t="s">
        <v>234</v>
      </c>
      <c r="I86" s="177" t="s">
        <v>234</v>
      </c>
      <c r="J86" s="178" t="s">
        <v>234</v>
      </c>
      <c r="K86" s="178" t="s">
        <v>234</v>
      </c>
      <c r="L86" s="179" t="s">
        <v>234</v>
      </c>
    </row>
    <row r="87" spans="1:12" s="1" customFormat="1" ht="12.75">
      <c r="A87" s="38" t="s">
        <v>235</v>
      </c>
      <c r="B87" s="39">
        <v>0</v>
      </c>
      <c r="C87" s="40">
        <v>0</v>
      </c>
      <c r="D87" s="41">
        <v>11</v>
      </c>
      <c r="E87" s="41">
        <v>0</v>
      </c>
      <c r="F87" s="42">
        <f>C87+D87-E87</f>
        <v>11</v>
      </c>
      <c r="G87" s="43">
        <v>11</v>
      </c>
      <c r="H87" s="172">
        <f>+G87-F87</f>
        <v>0</v>
      </c>
      <c r="I87" s="40">
        <v>11</v>
      </c>
      <c r="J87" s="41">
        <v>28</v>
      </c>
      <c r="K87" s="41">
        <v>11</v>
      </c>
      <c r="L87" s="42">
        <f>I87+J87-K87</f>
        <v>28</v>
      </c>
    </row>
    <row r="88" spans="1:12" s="1" customFormat="1" ht="12.75">
      <c r="A88" s="38" t="s">
        <v>236</v>
      </c>
      <c r="B88" s="39">
        <v>71</v>
      </c>
      <c r="C88" s="40">
        <v>71</v>
      </c>
      <c r="D88" s="41">
        <v>63</v>
      </c>
      <c r="E88" s="41">
        <v>73</v>
      </c>
      <c r="F88" s="42">
        <f>C88+D88-E88</f>
        <v>61</v>
      </c>
      <c r="G88" s="43">
        <v>61</v>
      </c>
      <c r="H88" s="172">
        <f>+G88-F88</f>
        <v>0</v>
      </c>
      <c r="I88" s="40">
        <v>61</v>
      </c>
      <c r="J88" s="41">
        <v>113</v>
      </c>
      <c r="K88" s="41">
        <v>50</v>
      </c>
      <c r="L88" s="42">
        <f>I88+J88-K88</f>
        <v>124</v>
      </c>
    </row>
    <row r="89" spans="1:12" s="1" customFormat="1" ht="12.75">
      <c r="A89" s="38" t="s">
        <v>256</v>
      </c>
      <c r="B89" s="39">
        <v>445</v>
      </c>
      <c r="C89" s="40">
        <v>445</v>
      </c>
      <c r="D89" s="41">
        <v>1201</v>
      </c>
      <c r="E89" s="41">
        <v>823</v>
      </c>
      <c r="F89" s="42">
        <f>C89+D89-E89</f>
        <v>823</v>
      </c>
      <c r="G89" s="43">
        <v>823</v>
      </c>
      <c r="H89" s="172">
        <f>+G89-F89</f>
        <v>0</v>
      </c>
      <c r="I89" s="180">
        <v>823</v>
      </c>
      <c r="J89" s="170">
        <v>1145</v>
      </c>
      <c r="K89" s="170">
        <v>1580</v>
      </c>
      <c r="L89" s="42">
        <f>I89+J89-K89</f>
        <v>388</v>
      </c>
    </row>
    <row r="90" spans="1:12" s="1" customFormat="1" ht="12.75">
      <c r="A90" s="38" t="s">
        <v>237</v>
      </c>
      <c r="B90" s="39">
        <v>1890</v>
      </c>
      <c r="C90" s="50" t="s">
        <v>234</v>
      </c>
      <c r="D90" s="35" t="s">
        <v>234</v>
      </c>
      <c r="E90" s="51" t="s">
        <v>234</v>
      </c>
      <c r="F90" s="42"/>
      <c r="G90" s="43">
        <v>2913</v>
      </c>
      <c r="H90" s="50" t="s">
        <v>234</v>
      </c>
      <c r="I90" s="34"/>
      <c r="J90" s="35"/>
      <c r="K90" s="35"/>
      <c r="L90" s="181">
        <v>0</v>
      </c>
    </row>
    <row r="91" spans="1:12" s="1" customFormat="1" ht="13.5" thickBot="1">
      <c r="A91" s="44" t="s">
        <v>238</v>
      </c>
      <c r="B91" s="45">
        <v>135</v>
      </c>
      <c r="C91" s="46">
        <v>154</v>
      </c>
      <c r="D91" s="47">
        <v>388</v>
      </c>
      <c r="E91" s="47">
        <v>378</v>
      </c>
      <c r="F91" s="48">
        <f>C91+D91-E91</f>
        <v>164</v>
      </c>
      <c r="G91" s="49">
        <v>157</v>
      </c>
      <c r="H91" s="173">
        <f>+G91-F91</f>
        <v>-7</v>
      </c>
      <c r="I91" s="46">
        <v>164</v>
      </c>
      <c r="J91" s="47">
        <v>388</v>
      </c>
      <c r="K91" s="47">
        <v>400</v>
      </c>
      <c r="L91" s="48">
        <f>I91+J91-K91</f>
        <v>152</v>
      </c>
    </row>
    <row r="92" spans="1:12" s="1" customFormat="1" ht="12.75">
      <c r="A92" s="20"/>
      <c r="B92" s="21"/>
      <c r="C92" s="21"/>
      <c r="D92" s="21"/>
      <c r="E92" s="2"/>
      <c r="F92" s="200"/>
      <c r="G92" s="4"/>
      <c r="H92" s="20"/>
      <c r="I92" s="21"/>
      <c r="J92" s="21"/>
      <c r="K92" s="21"/>
      <c r="L92" s="2"/>
    </row>
    <row r="93" spans="1:12" s="1" customFormat="1" ht="12.75">
      <c r="A93" s="20"/>
      <c r="B93" s="21"/>
      <c r="C93" s="21"/>
      <c r="D93" s="21"/>
      <c r="E93" s="2"/>
      <c r="F93" s="200"/>
      <c r="G93" s="4"/>
      <c r="H93" s="20"/>
      <c r="I93" s="21"/>
      <c r="J93" s="21"/>
      <c r="K93" s="21"/>
      <c r="L93" s="2"/>
    </row>
    <row r="94" spans="1:12" s="1" customFormat="1" ht="12.75">
      <c r="A94" s="20"/>
      <c r="B94" s="21"/>
      <c r="C94" s="21"/>
      <c r="D94" s="21"/>
      <c r="E94" s="2"/>
      <c r="F94" s="200"/>
      <c r="G94" s="4"/>
      <c r="H94" s="20"/>
      <c r="I94" s="21"/>
      <c r="J94" s="21"/>
      <c r="K94" s="21"/>
      <c r="L94" s="2"/>
    </row>
    <row r="95" spans="1:12" s="1" customFormat="1" ht="12.75">
      <c r="A95" s="20"/>
      <c r="B95" s="21"/>
      <c r="C95" s="21"/>
      <c r="D95" s="21"/>
      <c r="E95" s="2"/>
      <c r="F95" s="200"/>
      <c r="G95" s="4"/>
      <c r="H95" s="20"/>
      <c r="I95" s="21"/>
      <c r="J95" s="21"/>
      <c r="K95" s="21"/>
      <c r="L95" s="2"/>
    </row>
    <row r="96" spans="1:12" s="1" customFormat="1" ht="12.75" hidden="1">
      <c r="A96" s="20"/>
      <c r="B96" s="21"/>
      <c r="C96" s="21"/>
      <c r="D96" s="21"/>
      <c r="E96" s="2"/>
      <c r="F96" s="200"/>
      <c r="G96" s="4"/>
      <c r="H96" s="20"/>
      <c r="I96" s="21"/>
      <c r="J96" s="21"/>
      <c r="K96" s="21"/>
      <c r="L96" s="2"/>
    </row>
    <row r="97" spans="1:12" s="1" customFormat="1" ht="12.75">
      <c r="A97" s="20"/>
      <c r="B97" s="21"/>
      <c r="C97" s="21"/>
      <c r="D97" s="21"/>
      <c r="E97" s="2"/>
      <c r="F97" s="4"/>
      <c r="G97" s="4"/>
      <c r="H97" s="20"/>
      <c r="I97" s="21"/>
      <c r="J97" s="21"/>
      <c r="K97" s="21"/>
      <c r="L97" s="2"/>
    </row>
    <row r="98" spans="1:12" s="1" customFormat="1" ht="12.75">
      <c r="A98" s="20"/>
      <c r="B98" s="21"/>
      <c r="C98" s="21"/>
      <c r="D98" s="21"/>
      <c r="E98" s="2"/>
      <c r="F98" s="4"/>
      <c r="G98" s="4"/>
      <c r="H98" s="20"/>
      <c r="I98" s="21"/>
      <c r="J98" s="21"/>
      <c r="K98" s="21"/>
      <c r="L98" s="2"/>
    </row>
    <row r="99" spans="8:12" ht="13.5" thickBot="1">
      <c r="H99" s="21" t="s">
        <v>307</v>
      </c>
      <c r="L99" s="21" t="s">
        <v>307</v>
      </c>
    </row>
    <row r="100" spans="1:12" ht="13.5" thickBot="1">
      <c r="A100" s="823" t="s">
        <v>444</v>
      </c>
      <c r="B100" s="824" t="s">
        <v>168</v>
      </c>
      <c r="C100" s="810" t="s">
        <v>239</v>
      </c>
      <c r="D100" s="810"/>
      <c r="E100" s="810"/>
      <c r="F100" s="810"/>
      <c r="G100" s="810"/>
      <c r="H100" s="810"/>
      <c r="I100" s="24"/>
      <c r="J100" s="825" t="s">
        <v>208</v>
      </c>
      <c r="K100" s="825"/>
      <c r="L100" s="825"/>
    </row>
    <row r="101" spans="1:12" ht="13.5" thickBot="1">
      <c r="A101" s="823"/>
      <c r="B101" s="824"/>
      <c r="C101" s="126" t="s">
        <v>240</v>
      </c>
      <c r="D101" s="127" t="s">
        <v>241</v>
      </c>
      <c r="E101" s="127" t="s">
        <v>242</v>
      </c>
      <c r="F101" s="127" t="s">
        <v>243</v>
      </c>
      <c r="G101" s="128" t="s">
        <v>244</v>
      </c>
      <c r="H101" s="129" t="s">
        <v>228</v>
      </c>
      <c r="I101" s="24"/>
      <c r="J101" s="130"/>
      <c r="K101" s="131" t="s">
        <v>209</v>
      </c>
      <c r="L101" s="132" t="s">
        <v>210</v>
      </c>
    </row>
    <row r="102" spans="1:12" ht="12.75">
      <c r="A102" s="133" t="s">
        <v>245</v>
      </c>
      <c r="B102" s="134">
        <v>232</v>
      </c>
      <c r="C102" s="135"/>
      <c r="D102" s="135"/>
      <c r="E102" s="135"/>
      <c r="F102" s="135"/>
      <c r="G102" s="134"/>
      <c r="H102" s="136">
        <f>SUM(C102:G102)</f>
        <v>0</v>
      </c>
      <c r="I102" s="24"/>
      <c r="J102" s="137">
        <v>2007</v>
      </c>
      <c r="K102" s="138">
        <v>19475</v>
      </c>
      <c r="L102" s="139">
        <v>19475</v>
      </c>
    </row>
    <row r="103" spans="1:12" ht="13.5" thickBot="1">
      <c r="A103" s="140" t="s">
        <v>246</v>
      </c>
      <c r="B103" s="141">
        <v>4019</v>
      </c>
      <c r="C103" s="142"/>
      <c r="D103" s="142"/>
      <c r="E103" s="142"/>
      <c r="F103" s="142"/>
      <c r="G103" s="141"/>
      <c r="H103" s="143">
        <f>SUM(C103:G103)</f>
        <v>0</v>
      </c>
      <c r="I103" s="24"/>
      <c r="J103" s="144">
        <v>2008</v>
      </c>
      <c r="K103" s="145">
        <f>L30</f>
        <v>19725</v>
      </c>
      <c r="L103" s="146"/>
    </row>
    <row r="104" ht="12.75" customHeight="1"/>
    <row r="105" ht="13.5" thickBot="1">
      <c r="J105" s="208" t="s">
        <v>323</v>
      </c>
    </row>
    <row r="106" spans="1:10" ht="21" customHeight="1" thickBot="1">
      <c r="A106" s="823" t="s">
        <v>211</v>
      </c>
      <c r="B106" s="826" t="s">
        <v>212</v>
      </c>
      <c r="C106" s="826"/>
      <c r="D106" s="826"/>
      <c r="E106" s="827" t="s">
        <v>274</v>
      </c>
      <c r="F106" s="827"/>
      <c r="G106" s="827"/>
      <c r="H106" s="828" t="s">
        <v>213</v>
      </c>
      <c r="I106" s="828"/>
      <c r="J106" s="828"/>
    </row>
    <row r="107" spans="1:10" ht="12.75">
      <c r="A107" s="823"/>
      <c r="B107" s="147">
        <v>2006</v>
      </c>
      <c r="C107" s="147">
        <v>2007</v>
      </c>
      <c r="D107" s="147" t="s">
        <v>214</v>
      </c>
      <c r="E107" s="147">
        <v>2006</v>
      </c>
      <c r="F107" s="147">
        <v>2007</v>
      </c>
      <c r="G107" s="148" t="s">
        <v>214</v>
      </c>
      <c r="H107" s="149">
        <v>2006</v>
      </c>
      <c r="I107" s="147">
        <v>2007</v>
      </c>
      <c r="J107" s="148" t="s">
        <v>214</v>
      </c>
    </row>
    <row r="108" spans="1:10" ht="18.75">
      <c r="A108" s="150" t="s">
        <v>215</v>
      </c>
      <c r="B108" s="151">
        <v>5</v>
      </c>
      <c r="C108" s="151">
        <v>4.87</v>
      </c>
      <c r="D108" s="151">
        <f aca="true" t="shared" si="14" ref="D108:D118">+C108-B108</f>
        <v>-0.1299999999999999</v>
      </c>
      <c r="E108" s="151">
        <v>5</v>
      </c>
      <c r="F108" s="151">
        <v>5</v>
      </c>
      <c r="G108" s="152">
        <f aca="true" t="shared" si="15" ref="G108:G118">+F108-E108</f>
        <v>0</v>
      </c>
      <c r="H108" s="153">
        <v>20159</v>
      </c>
      <c r="I108" s="154">
        <v>24600</v>
      </c>
      <c r="J108" s="155">
        <f aca="true" t="shared" si="16" ref="J108:J118">+I108-H108</f>
        <v>4441</v>
      </c>
    </row>
    <row r="109" spans="1:10" ht="12.75">
      <c r="A109" s="150" t="s">
        <v>248</v>
      </c>
      <c r="B109" s="151">
        <v>14.12</v>
      </c>
      <c r="C109" s="151">
        <v>13.12</v>
      </c>
      <c r="D109" s="151">
        <f t="shared" si="14"/>
        <v>-1</v>
      </c>
      <c r="E109" s="151">
        <v>15</v>
      </c>
      <c r="F109" s="151">
        <v>14</v>
      </c>
      <c r="G109" s="152">
        <f t="shared" si="15"/>
        <v>-1</v>
      </c>
      <c r="H109" s="153">
        <v>19969</v>
      </c>
      <c r="I109" s="156">
        <v>23019</v>
      </c>
      <c r="J109" s="155">
        <f t="shared" si="16"/>
        <v>3050</v>
      </c>
    </row>
    <row r="110" spans="1:10" ht="12.75">
      <c r="A110" s="150" t="s">
        <v>216</v>
      </c>
      <c r="B110" s="151">
        <v>0</v>
      </c>
      <c r="C110" s="151">
        <v>0</v>
      </c>
      <c r="D110" s="151">
        <f t="shared" si="14"/>
        <v>0</v>
      </c>
      <c r="E110" s="151">
        <v>0</v>
      </c>
      <c r="F110" s="151">
        <v>0</v>
      </c>
      <c r="G110" s="152">
        <f t="shared" si="15"/>
        <v>0</v>
      </c>
      <c r="H110" s="153">
        <v>0</v>
      </c>
      <c r="I110" s="156">
        <v>0</v>
      </c>
      <c r="J110" s="155">
        <f t="shared" si="16"/>
        <v>0</v>
      </c>
    </row>
    <row r="111" spans="1:10" ht="12.75">
      <c r="A111" s="150" t="s">
        <v>217</v>
      </c>
      <c r="B111" s="151">
        <v>0</v>
      </c>
      <c r="C111" s="151">
        <v>0</v>
      </c>
      <c r="D111" s="151">
        <f t="shared" si="14"/>
        <v>0</v>
      </c>
      <c r="E111" s="151">
        <v>0</v>
      </c>
      <c r="F111" s="151">
        <v>0</v>
      </c>
      <c r="G111" s="152">
        <f t="shared" si="15"/>
        <v>0</v>
      </c>
      <c r="H111" s="153">
        <v>0</v>
      </c>
      <c r="I111" s="156">
        <v>0</v>
      </c>
      <c r="J111" s="155">
        <f t="shared" si="16"/>
        <v>0</v>
      </c>
    </row>
    <row r="112" spans="1:10" ht="12.75">
      <c r="A112" s="150" t="s">
        <v>299</v>
      </c>
      <c r="B112" s="151">
        <v>0</v>
      </c>
      <c r="C112" s="151">
        <v>0</v>
      </c>
      <c r="D112" s="151">
        <f t="shared" si="14"/>
        <v>0</v>
      </c>
      <c r="E112" s="151">
        <v>0</v>
      </c>
      <c r="F112" s="151">
        <v>0</v>
      </c>
      <c r="G112" s="152">
        <f t="shared" si="15"/>
        <v>0</v>
      </c>
      <c r="H112" s="153">
        <v>0</v>
      </c>
      <c r="I112" s="156">
        <v>0</v>
      </c>
      <c r="J112" s="155">
        <f t="shared" si="16"/>
        <v>0</v>
      </c>
    </row>
    <row r="113" spans="1:10" ht="12.75">
      <c r="A113" s="150" t="s">
        <v>297</v>
      </c>
      <c r="B113" s="151">
        <v>0</v>
      </c>
      <c r="C113" s="151">
        <v>1</v>
      </c>
      <c r="D113" s="151">
        <f t="shared" si="14"/>
        <v>1</v>
      </c>
      <c r="E113" s="151">
        <v>0</v>
      </c>
      <c r="F113" s="151">
        <v>1</v>
      </c>
      <c r="G113" s="152">
        <f t="shared" si="15"/>
        <v>1</v>
      </c>
      <c r="H113" s="153">
        <v>0</v>
      </c>
      <c r="I113" s="156">
        <v>23019</v>
      </c>
      <c r="J113" s="155">
        <f t="shared" si="16"/>
        <v>23019</v>
      </c>
    </row>
    <row r="114" spans="1:10" ht="12.75">
      <c r="A114" s="150" t="s">
        <v>325</v>
      </c>
      <c r="B114" s="151">
        <v>0</v>
      </c>
      <c r="C114" s="151">
        <v>0</v>
      </c>
      <c r="D114" s="151">
        <f t="shared" si="14"/>
        <v>0</v>
      </c>
      <c r="E114" s="151">
        <v>0</v>
      </c>
      <c r="F114" s="151">
        <v>0</v>
      </c>
      <c r="G114" s="152">
        <f t="shared" si="15"/>
        <v>0</v>
      </c>
      <c r="H114" s="153">
        <v>0</v>
      </c>
      <c r="I114" s="156">
        <v>0</v>
      </c>
      <c r="J114" s="155">
        <f t="shared" si="16"/>
        <v>0</v>
      </c>
    </row>
    <row r="115" spans="1:10" ht="12.75">
      <c r="A115" s="150" t="s">
        <v>219</v>
      </c>
      <c r="B115" s="151">
        <v>45.04</v>
      </c>
      <c r="C115" s="151">
        <v>43.5</v>
      </c>
      <c r="D115" s="151">
        <f t="shared" si="14"/>
        <v>-1.5399999999999991</v>
      </c>
      <c r="E115" s="151">
        <v>47</v>
      </c>
      <c r="F115" s="151">
        <v>46.55</v>
      </c>
      <c r="G115" s="152">
        <f t="shared" si="15"/>
        <v>-0.45000000000000284</v>
      </c>
      <c r="H115" s="153">
        <v>14541</v>
      </c>
      <c r="I115" s="156">
        <v>15769</v>
      </c>
      <c r="J115" s="155">
        <f t="shared" si="16"/>
        <v>1228</v>
      </c>
    </row>
    <row r="116" spans="1:10" ht="12.75">
      <c r="A116" s="150" t="s">
        <v>220</v>
      </c>
      <c r="B116" s="151">
        <v>2</v>
      </c>
      <c r="C116" s="151">
        <v>2.11</v>
      </c>
      <c r="D116" s="151">
        <f t="shared" si="14"/>
        <v>0.10999999999999988</v>
      </c>
      <c r="E116" s="151">
        <v>2</v>
      </c>
      <c r="F116" s="151">
        <v>3</v>
      </c>
      <c r="G116" s="152">
        <f t="shared" si="15"/>
        <v>1</v>
      </c>
      <c r="H116" s="153">
        <v>19793</v>
      </c>
      <c r="I116" s="156">
        <v>21048</v>
      </c>
      <c r="J116" s="155">
        <f t="shared" si="16"/>
        <v>1255</v>
      </c>
    </row>
    <row r="117" spans="1:10" ht="12.75">
      <c r="A117" s="150" t="s">
        <v>221</v>
      </c>
      <c r="B117" s="151">
        <v>31.59</v>
      </c>
      <c r="C117" s="151">
        <v>31.37</v>
      </c>
      <c r="D117" s="151">
        <f t="shared" si="14"/>
        <v>-0.21999999999999886</v>
      </c>
      <c r="E117" s="151">
        <v>31</v>
      </c>
      <c r="F117" s="151">
        <v>34.35</v>
      </c>
      <c r="G117" s="152">
        <f t="shared" si="15"/>
        <v>3.3500000000000014</v>
      </c>
      <c r="H117" s="153">
        <v>11716</v>
      </c>
      <c r="I117" s="156">
        <v>13322</v>
      </c>
      <c r="J117" s="155">
        <f t="shared" si="16"/>
        <v>1606</v>
      </c>
    </row>
    <row r="118" spans="1:10" ht="13.5" thickBot="1">
      <c r="A118" s="157" t="s">
        <v>168</v>
      </c>
      <c r="B118" s="158">
        <f>SUM(B108:B117)</f>
        <v>97.75</v>
      </c>
      <c r="C118" s="158">
        <f>SUM(C108:C117)</f>
        <v>95.97</v>
      </c>
      <c r="D118" s="158">
        <f t="shared" si="14"/>
        <v>-1.7800000000000011</v>
      </c>
      <c r="E118" s="158"/>
      <c r="F118" s="158"/>
      <c r="G118" s="159">
        <f t="shared" si="15"/>
        <v>0</v>
      </c>
      <c r="H118" s="160"/>
      <c r="I118" s="161"/>
      <c r="J118" s="162">
        <f t="shared" si="16"/>
        <v>0</v>
      </c>
    </row>
    <row r="119" ht="13.5" thickBot="1"/>
    <row r="120" spans="1:16" ht="12.75">
      <c r="A120" s="829" t="s">
        <v>222</v>
      </c>
      <c r="B120" s="829"/>
      <c r="C120" s="829"/>
      <c r="D120" s="24"/>
      <c r="E120" s="829" t="s">
        <v>223</v>
      </c>
      <c r="F120" s="829"/>
      <c r="G120" s="829"/>
      <c r="H120"/>
      <c r="I120"/>
      <c r="J120"/>
      <c r="K120"/>
      <c r="L120"/>
      <c r="M120"/>
      <c r="N120"/>
      <c r="O120"/>
      <c r="P120"/>
    </row>
    <row r="121" spans="1:16" ht="13.5" thickBot="1">
      <c r="A121" s="130" t="s">
        <v>224</v>
      </c>
      <c r="B121" s="131" t="s">
        <v>225</v>
      </c>
      <c r="C121" s="132" t="s">
        <v>210</v>
      </c>
      <c r="D121" s="24"/>
      <c r="E121" s="130"/>
      <c r="F121" s="832" t="s">
        <v>226</v>
      </c>
      <c r="G121" s="832"/>
      <c r="H121"/>
      <c r="I121"/>
      <c r="J121"/>
      <c r="K121"/>
      <c r="L121"/>
      <c r="M121"/>
      <c r="N121"/>
      <c r="O121"/>
      <c r="P121"/>
    </row>
    <row r="122" spans="1:16" ht="12.75">
      <c r="A122" s="137">
        <v>2007</v>
      </c>
      <c r="B122" s="138">
        <v>98</v>
      </c>
      <c r="C122" s="139">
        <v>96</v>
      </c>
      <c r="D122" s="24"/>
      <c r="E122" s="137">
        <v>2007</v>
      </c>
      <c r="F122" s="830">
        <v>195</v>
      </c>
      <c r="G122" s="830"/>
      <c r="H122"/>
      <c r="I122"/>
      <c r="J122"/>
      <c r="K122"/>
      <c r="L122"/>
      <c r="M122"/>
      <c r="N122"/>
      <c r="O122"/>
      <c r="P122"/>
    </row>
    <row r="123" spans="1:16" ht="13.5" thickBot="1">
      <c r="A123" s="144">
        <v>2008</v>
      </c>
      <c r="B123" s="145">
        <v>99</v>
      </c>
      <c r="C123" s="146"/>
      <c r="D123" s="24"/>
      <c r="E123" s="144">
        <v>2008</v>
      </c>
      <c r="F123" s="831">
        <v>195</v>
      </c>
      <c r="G123" s="831"/>
      <c r="H123"/>
      <c r="I123"/>
      <c r="J123"/>
      <c r="K123"/>
      <c r="L123"/>
      <c r="M123"/>
      <c r="N123"/>
      <c r="O123"/>
      <c r="P123"/>
    </row>
  </sheetData>
  <mergeCells count="123">
    <mergeCell ref="C72:D72"/>
    <mergeCell ref="F72:G72"/>
    <mergeCell ref="I72:K72"/>
    <mergeCell ref="F73:G73"/>
    <mergeCell ref="C70:D70"/>
    <mergeCell ref="F70:G70"/>
    <mergeCell ref="I70:K70"/>
    <mergeCell ref="C71:D71"/>
    <mergeCell ref="F71:G71"/>
    <mergeCell ref="I71:K71"/>
    <mergeCell ref="C68:D68"/>
    <mergeCell ref="F68:G68"/>
    <mergeCell ref="I68:K68"/>
    <mergeCell ref="C69:D69"/>
    <mergeCell ref="F69:G69"/>
    <mergeCell ref="I69:K69"/>
    <mergeCell ref="A66:E66"/>
    <mergeCell ref="F66:L66"/>
    <mergeCell ref="C67:D67"/>
    <mergeCell ref="F67:G67"/>
    <mergeCell ref="I67:K67"/>
    <mergeCell ref="F123:G123"/>
    <mergeCell ref="A120:C120"/>
    <mergeCell ref="E120:G120"/>
    <mergeCell ref="F121:G121"/>
    <mergeCell ref="F122:G122"/>
    <mergeCell ref="B100:B101"/>
    <mergeCell ref="C100:H100"/>
    <mergeCell ref="J100:L100"/>
    <mergeCell ref="A106:A107"/>
    <mergeCell ref="B106:D106"/>
    <mergeCell ref="E106:G106"/>
    <mergeCell ref="H106:J106"/>
    <mergeCell ref="A100:A101"/>
    <mergeCell ref="L78:M78"/>
    <mergeCell ref="C79:C80"/>
    <mergeCell ref="D79:I79"/>
    <mergeCell ref="A84:A85"/>
    <mergeCell ref="B84:B85"/>
    <mergeCell ref="C84:F84"/>
    <mergeCell ref="G84:G85"/>
    <mergeCell ref="H84:H85"/>
    <mergeCell ref="I84:L84"/>
    <mergeCell ref="A78:A80"/>
    <mergeCell ref="B78:B80"/>
    <mergeCell ref="C78:I78"/>
    <mergeCell ref="J78:J80"/>
    <mergeCell ref="L53:L54"/>
    <mergeCell ref="A63:B63"/>
    <mergeCell ref="D63:F63"/>
    <mergeCell ref="H63:K63"/>
    <mergeCell ref="A62:B62"/>
    <mergeCell ref="D62:F62"/>
    <mergeCell ref="H62:K62"/>
    <mergeCell ref="C42:C43"/>
    <mergeCell ref="D42:F43"/>
    <mergeCell ref="G42:G43"/>
    <mergeCell ref="H42:K43"/>
    <mergeCell ref="A1:N1"/>
    <mergeCell ref="J39:L39"/>
    <mergeCell ref="B40:D40"/>
    <mergeCell ref="E40:G40"/>
    <mergeCell ref="E39:G39"/>
    <mergeCell ref="A60:B60"/>
    <mergeCell ref="D60:F60"/>
    <mergeCell ref="H60:K60"/>
    <mergeCell ref="A61:B61"/>
    <mergeCell ref="D61:F61"/>
    <mergeCell ref="H61:K61"/>
    <mergeCell ref="A58:B58"/>
    <mergeCell ref="D58:F58"/>
    <mergeCell ref="H58:K58"/>
    <mergeCell ref="A59:B59"/>
    <mergeCell ref="D59:F59"/>
    <mergeCell ref="H59:K59"/>
    <mergeCell ref="A56:B56"/>
    <mergeCell ref="D56:F56"/>
    <mergeCell ref="H56:K56"/>
    <mergeCell ref="A57:B57"/>
    <mergeCell ref="D57:F57"/>
    <mergeCell ref="H57:K57"/>
    <mergeCell ref="A55:B55"/>
    <mergeCell ref="D55:F55"/>
    <mergeCell ref="H55:K55"/>
    <mergeCell ref="A53:B54"/>
    <mergeCell ref="C53:C54"/>
    <mergeCell ref="D53:F54"/>
    <mergeCell ref="G53:G54"/>
    <mergeCell ref="H50:K50"/>
    <mergeCell ref="H53:K54"/>
    <mergeCell ref="A48:B48"/>
    <mergeCell ref="D48:F48"/>
    <mergeCell ref="A51:B51"/>
    <mergeCell ref="D51:F51"/>
    <mergeCell ref="H51:K51"/>
    <mergeCell ref="A50:B50"/>
    <mergeCell ref="D50:F50"/>
    <mergeCell ref="A49:B49"/>
    <mergeCell ref="D49:F49"/>
    <mergeCell ref="H49:K49"/>
    <mergeCell ref="H48:K48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42:B43"/>
    <mergeCell ref="A3:A6"/>
    <mergeCell ref="B3:N3"/>
    <mergeCell ref="H4:I4"/>
    <mergeCell ref="M4:N4"/>
    <mergeCell ref="B39:D39"/>
    <mergeCell ref="B4:D4"/>
    <mergeCell ref="E4:G4"/>
    <mergeCell ref="J4:L4"/>
    <mergeCell ref="L42:L43"/>
  </mergeCells>
  <printOptions/>
  <pageMargins left="0.15748031496062992" right="0.15748031496062992" top="0.5905511811023623" bottom="0.15748031496062992" header="0.35433070866141736" footer="0.15748031496062992"/>
  <pageSetup fitToHeight="0" horizontalDpi="600" verticalDpi="600" orientation="portrait" paperSize="9" scale="61" r:id="rId1"/>
  <headerFooter alignWithMargins="0">
    <oddFooter>&amp;C&amp;P</oddFooter>
  </headerFooter>
  <rowBreaks count="1" manualBreakCount="1">
    <brk id="7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Normal="90" zoomScaleSheetLayoutView="100" workbookViewId="0" topLeftCell="A1">
      <selection activeCell="J8" sqref="J8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875"/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307</v>
      </c>
    </row>
    <row r="3" spans="1:14" ht="24" customHeight="1" thickBot="1">
      <c r="A3" s="876" t="s">
        <v>165</v>
      </c>
      <c r="B3" s="792" t="s">
        <v>124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4" ht="14.25" thickBot="1" thickTop="1">
      <c r="A4" s="876"/>
      <c r="B4" s="790" t="s">
        <v>308</v>
      </c>
      <c r="C4" s="790"/>
      <c r="D4" s="790"/>
      <c r="E4" s="790" t="s">
        <v>417</v>
      </c>
      <c r="F4" s="790"/>
      <c r="G4" s="790"/>
      <c r="H4" s="793" t="s">
        <v>309</v>
      </c>
      <c r="I4" s="793"/>
      <c r="J4" s="790" t="s">
        <v>418</v>
      </c>
      <c r="K4" s="790"/>
      <c r="L4" s="790"/>
      <c r="M4" s="790" t="s">
        <v>419</v>
      </c>
      <c r="N4" s="790"/>
    </row>
    <row r="5" spans="1:14" ht="14.25" thickBot="1" thickTop="1">
      <c r="A5" s="876"/>
      <c r="B5" s="66" t="s">
        <v>166</v>
      </c>
      <c r="C5" s="67" t="s">
        <v>167</v>
      </c>
      <c r="D5" s="68" t="s">
        <v>168</v>
      </c>
      <c r="E5" s="66" t="s">
        <v>166</v>
      </c>
      <c r="F5" s="67" t="s">
        <v>167</v>
      </c>
      <c r="G5" s="68" t="s">
        <v>168</v>
      </c>
      <c r="H5" s="69" t="s">
        <v>168</v>
      </c>
      <c r="I5" s="69" t="s">
        <v>169</v>
      </c>
      <c r="J5" s="70" t="s">
        <v>166</v>
      </c>
      <c r="K5" s="67" t="s">
        <v>167</v>
      </c>
      <c r="L5" s="68" t="s">
        <v>168</v>
      </c>
      <c r="M5" s="69" t="s">
        <v>168</v>
      </c>
      <c r="N5" s="68" t="s">
        <v>169</v>
      </c>
    </row>
    <row r="6" spans="1:14" ht="14.25" thickBot="1" thickTop="1">
      <c r="A6" s="791"/>
      <c r="B6" s="183" t="s">
        <v>170</v>
      </c>
      <c r="C6" s="184" t="s">
        <v>170</v>
      </c>
      <c r="D6" s="185"/>
      <c r="E6" s="183" t="s">
        <v>170</v>
      </c>
      <c r="F6" s="184" t="s">
        <v>170</v>
      </c>
      <c r="G6" s="185"/>
      <c r="H6" s="189" t="s">
        <v>171</v>
      </c>
      <c r="I6" s="189" t="s">
        <v>172</v>
      </c>
      <c r="J6" s="197" t="s">
        <v>170</v>
      </c>
      <c r="K6" s="184" t="s">
        <v>170</v>
      </c>
      <c r="L6" s="185"/>
      <c r="M6" s="189" t="s">
        <v>171</v>
      </c>
      <c r="N6" s="185" t="s">
        <v>172</v>
      </c>
    </row>
    <row r="7" spans="1:14" ht="13.5" customHeight="1">
      <c r="A7" s="274" t="s">
        <v>173</v>
      </c>
      <c r="B7" s="163"/>
      <c r="C7" s="164"/>
      <c r="D7" s="167">
        <f aca="true" t="shared" si="0" ref="D7:D18">SUM(B7:C7)</f>
        <v>0</v>
      </c>
      <c r="E7" s="163"/>
      <c r="F7" s="164"/>
      <c r="G7" s="167">
        <f aca="true" t="shared" si="1" ref="G7:G18">SUM(E7:F7)</f>
        <v>0</v>
      </c>
      <c r="H7" s="191">
        <f aca="true" t="shared" si="2" ref="H7:H38">+G7-D7</f>
        <v>0</v>
      </c>
      <c r="I7" s="195"/>
      <c r="J7" s="163"/>
      <c r="K7" s="164"/>
      <c r="L7" s="167">
        <f aca="true" t="shared" si="3" ref="L7:L18">SUM(J7:K7)</f>
        <v>0</v>
      </c>
      <c r="M7" s="191">
        <f aca="true" t="shared" si="4" ref="M7:M38">+L7-G7</f>
        <v>0</v>
      </c>
      <c r="N7" s="192"/>
    </row>
    <row r="8" spans="1:14" ht="13.5" customHeight="1">
      <c r="A8" s="275" t="s">
        <v>174</v>
      </c>
      <c r="B8" s="14">
        <v>14765</v>
      </c>
      <c r="C8" s="13"/>
      <c r="D8" s="168">
        <f t="shared" si="0"/>
        <v>14765</v>
      </c>
      <c r="E8" s="14">
        <v>22906</v>
      </c>
      <c r="F8" s="13"/>
      <c r="G8" s="168">
        <f t="shared" si="1"/>
        <v>22906</v>
      </c>
      <c r="H8" s="193">
        <f t="shared" si="2"/>
        <v>8141</v>
      </c>
      <c r="I8" s="196">
        <f aca="true" t="shared" si="5" ref="I8:I22">+G8/D8</f>
        <v>1.5513714866237724</v>
      </c>
      <c r="J8" s="14">
        <v>25712</v>
      </c>
      <c r="K8" s="13"/>
      <c r="L8" s="168">
        <f t="shared" si="3"/>
        <v>25712</v>
      </c>
      <c r="M8" s="193">
        <f t="shared" si="4"/>
        <v>2806</v>
      </c>
      <c r="N8" s="194">
        <f aca="true" t="shared" si="6" ref="N8:N22">+L8/G8</f>
        <v>1.1225006548502576</v>
      </c>
    </row>
    <row r="9" spans="1:14" ht="13.5" customHeight="1">
      <c r="A9" s="275" t="s">
        <v>175</v>
      </c>
      <c r="B9" s="14"/>
      <c r="C9" s="13"/>
      <c r="D9" s="168">
        <f t="shared" si="0"/>
        <v>0</v>
      </c>
      <c r="E9" s="14"/>
      <c r="F9" s="13"/>
      <c r="G9" s="168">
        <f t="shared" si="1"/>
        <v>0</v>
      </c>
      <c r="H9" s="193">
        <f t="shared" si="2"/>
        <v>0</v>
      </c>
      <c r="I9" s="196"/>
      <c r="J9" s="14"/>
      <c r="K9" s="13"/>
      <c r="L9" s="168">
        <f t="shared" si="3"/>
        <v>0</v>
      </c>
      <c r="M9" s="193">
        <f t="shared" si="4"/>
        <v>0</v>
      </c>
      <c r="N9" s="194"/>
    </row>
    <row r="10" spans="1:14" ht="13.5" customHeight="1">
      <c r="A10" s="275" t="s">
        <v>176</v>
      </c>
      <c r="B10" s="14"/>
      <c r="C10" s="13"/>
      <c r="D10" s="168">
        <f t="shared" si="0"/>
        <v>0</v>
      </c>
      <c r="E10" s="14"/>
      <c r="F10" s="13"/>
      <c r="G10" s="168">
        <f t="shared" si="1"/>
        <v>0</v>
      </c>
      <c r="H10" s="193">
        <f t="shared" si="2"/>
        <v>0</v>
      </c>
      <c r="I10" s="196"/>
      <c r="J10" s="14"/>
      <c r="K10" s="13"/>
      <c r="L10" s="168">
        <f t="shared" si="3"/>
        <v>0</v>
      </c>
      <c r="M10" s="193">
        <f t="shared" si="4"/>
        <v>0</v>
      </c>
      <c r="N10" s="194"/>
    </row>
    <row r="11" spans="1:14" ht="13.5" customHeight="1">
      <c r="A11" s="275" t="s">
        <v>177</v>
      </c>
      <c r="B11" s="14">
        <v>201</v>
      </c>
      <c r="C11" s="13"/>
      <c r="D11" s="168">
        <v>201</v>
      </c>
      <c r="E11" s="14">
        <v>362</v>
      </c>
      <c r="F11" s="13"/>
      <c r="G11" s="168">
        <f t="shared" si="1"/>
        <v>362</v>
      </c>
      <c r="H11" s="193">
        <f t="shared" si="2"/>
        <v>161</v>
      </c>
      <c r="I11" s="196">
        <f t="shared" si="5"/>
        <v>1.800995024875622</v>
      </c>
      <c r="J11" s="14">
        <v>50</v>
      </c>
      <c r="K11" s="13"/>
      <c r="L11" s="168">
        <f t="shared" si="3"/>
        <v>50</v>
      </c>
      <c r="M11" s="193">
        <f t="shared" si="4"/>
        <v>-312</v>
      </c>
      <c r="N11" s="194">
        <f t="shared" si="6"/>
        <v>0.13812154696132597</v>
      </c>
    </row>
    <row r="12" spans="1:14" ht="13.5" customHeight="1">
      <c r="A12" s="276" t="s">
        <v>178</v>
      </c>
      <c r="B12" s="14">
        <v>167</v>
      </c>
      <c r="C12" s="13"/>
      <c r="D12" s="168">
        <v>167</v>
      </c>
      <c r="E12" s="14">
        <v>118</v>
      </c>
      <c r="F12" s="13"/>
      <c r="G12" s="168">
        <f t="shared" si="1"/>
        <v>118</v>
      </c>
      <c r="H12" s="193">
        <f t="shared" si="2"/>
        <v>-49</v>
      </c>
      <c r="I12" s="196">
        <f t="shared" si="5"/>
        <v>0.7065868263473054</v>
      </c>
      <c r="J12" s="14">
        <v>50</v>
      </c>
      <c r="K12" s="13"/>
      <c r="L12" s="168">
        <f t="shared" si="3"/>
        <v>50</v>
      </c>
      <c r="M12" s="193">
        <f t="shared" si="4"/>
        <v>-68</v>
      </c>
      <c r="N12" s="194">
        <f t="shared" si="6"/>
        <v>0.423728813559322</v>
      </c>
    </row>
    <row r="13" spans="1:14" ht="13.5" customHeight="1">
      <c r="A13" s="276" t="s">
        <v>179</v>
      </c>
      <c r="B13" s="14"/>
      <c r="C13" s="13"/>
      <c r="D13" s="168">
        <f t="shared" si="0"/>
        <v>0</v>
      </c>
      <c r="E13" s="14"/>
      <c r="F13" s="13"/>
      <c r="G13" s="168">
        <f t="shared" si="1"/>
        <v>0</v>
      </c>
      <c r="H13" s="193">
        <f t="shared" si="2"/>
        <v>0</v>
      </c>
      <c r="I13" s="196"/>
      <c r="J13" s="14"/>
      <c r="K13" s="13"/>
      <c r="L13" s="168">
        <f t="shared" si="3"/>
        <v>0</v>
      </c>
      <c r="M13" s="193">
        <f t="shared" si="4"/>
        <v>0</v>
      </c>
      <c r="N13" s="194"/>
    </row>
    <row r="14" spans="1:14" ht="23.25" customHeight="1">
      <c r="A14" s="276" t="s">
        <v>180</v>
      </c>
      <c r="B14" s="14"/>
      <c r="C14" s="13"/>
      <c r="D14" s="168">
        <f t="shared" si="0"/>
        <v>0</v>
      </c>
      <c r="E14" s="14"/>
      <c r="F14" s="13"/>
      <c r="G14" s="168">
        <f t="shared" si="1"/>
        <v>0</v>
      </c>
      <c r="H14" s="193">
        <f t="shared" si="2"/>
        <v>0</v>
      </c>
      <c r="I14" s="196"/>
      <c r="J14" s="14"/>
      <c r="K14" s="13"/>
      <c r="L14" s="168">
        <f t="shared" si="3"/>
        <v>0</v>
      </c>
      <c r="M14" s="193">
        <f t="shared" si="4"/>
        <v>0</v>
      </c>
      <c r="N14" s="194"/>
    </row>
    <row r="15" spans="1:14" ht="13.5" customHeight="1">
      <c r="A15" s="275" t="s">
        <v>181</v>
      </c>
      <c r="B15" s="14">
        <v>22762</v>
      </c>
      <c r="C15" s="13"/>
      <c r="D15" s="168">
        <f t="shared" si="0"/>
        <v>22762</v>
      </c>
      <c r="E15" s="14">
        <v>18495</v>
      </c>
      <c r="F15" s="13"/>
      <c r="G15" s="168">
        <f t="shared" si="1"/>
        <v>18495</v>
      </c>
      <c r="H15" s="193">
        <f t="shared" si="2"/>
        <v>-4267</v>
      </c>
      <c r="I15" s="196">
        <f t="shared" si="5"/>
        <v>0.812538441261752</v>
      </c>
      <c r="J15" s="15">
        <v>15963</v>
      </c>
      <c r="K15" s="279"/>
      <c r="L15" s="168">
        <f t="shared" si="3"/>
        <v>15963</v>
      </c>
      <c r="M15" s="193">
        <f t="shared" si="4"/>
        <v>-2532</v>
      </c>
      <c r="N15" s="194">
        <f t="shared" si="6"/>
        <v>0.8630981346309814</v>
      </c>
    </row>
    <row r="16" spans="1:14" ht="13.5" customHeight="1">
      <c r="A16" s="277" t="s">
        <v>310</v>
      </c>
      <c r="B16" s="14">
        <v>22762</v>
      </c>
      <c r="C16" s="13"/>
      <c r="D16" s="168">
        <f t="shared" si="0"/>
        <v>22762</v>
      </c>
      <c r="E16" s="14">
        <v>1372</v>
      </c>
      <c r="F16" s="13"/>
      <c r="G16" s="168">
        <f t="shared" si="1"/>
        <v>1372</v>
      </c>
      <c r="H16" s="193">
        <f t="shared" si="2"/>
        <v>-21390</v>
      </c>
      <c r="I16" s="196">
        <f t="shared" si="5"/>
        <v>0.06027589842720323</v>
      </c>
      <c r="J16" s="15">
        <v>793</v>
      </c>
      <c r="K16" s="13"/>
      <c r="L16" s="168">
        <f t="shared" si="3"/>
        <v>793</v>
      </c>
      <c r="M16" s="193">
        <f t="shared" si="4"/>
        <v>-579</v>
      </c>
      <c r="N16" s="194">
        <f t="shared" si="6"/>
        <v>0.5779883381924198</v>
      </c>
    </row>
    <row r="17" spans="1:14" ht="13.5" customHeight="1">
      <c r="A17" s="277" t="s">
        <v>311</v>
      </c>
      <c r="B17" s="14"/>
      <c r="C17" s="13"/>
      <c r="D17" s="168">
        <f t="shared" si="0"/>
        <v>0</v>
      </c>
      <c r="E17" s="14">
        <v>17070</v>
      </c>
      <c r="F17" s="13"/>
      <c r="G17" s="168">
        <f t="shared" si="1"/>
        <v>17070</v>
      </c>
      <c r="H17" s="193">
        <f t="shared" si="2"/>
        <v>17070</v>
      </c>
      <c r="I17" s="196"/>
      <c r="J17" s="15">
        <v>15170</v>
      </c>
      <c r="K17" s="13"/>
      <c r="L17" s="168">
        <f t="shared" si="3"/>
        <v>15170</v>
      </c>
      <c r="M17" s="193">
        <f t="shared" si="4"/>
        <v>-1900</v>
      </c>
      <c r="N17" s="194">
        <f t="shared" si="6"/>
        <v>0.8886936145284124</v>
      </c>
    </row>
    <row r="18" spans="1:14" ht="13.5" customHeight="1" thickBot="1">
      <c r="A18" s="278" t="s">
        <v>416</v>
      </c>
      <c r="B18" s="165"/>
      <c r="C18" s="166"/>
      <c r="D18" s="168">
        <f t="shared" si="0"/>
        <v>0</v>
      </c>
      <c r="E18" s="165">
        <v>53</v>
      </c>
      <c r="F18" s="166"/>
      <c r="G18" s="168">
        <f t="shared" si="1"/>
        <v>53</v>
      </c>
      <c r="H18" s="271"/>
      <c r="I18" s="273"/>
      <c r="J18" s="169"/>
      <c r="K18" s="166"/>
      <c r="L18" s="168">
        <f t="shared" si="3"/>
        <v>0</v>
      </c>
      <c r="M18" s="271"/>
      <c r="N18" s="272"/>
    </row>
    <row r="19" spans="1:14" ht="13.5" customHeight="1" thickBot="1">
      <c r="A19" s="182" t="s">
        <v>182</v>
      </c>
      <c r="B19" s="186">
        <f aca="true" t="shared" si="7" ref="B19:G19">SUM(B7+B8+B9+B10+B11+B13+B15)</f>
        <v>37728</v>
      </c>
      <c r="C19" s="187">
        <f t="shared" si="7"/>
        <v>0</v>
      </c>
      <c r="D19" s="188">
        <f t="shared" si="7"/>
        <v>37728</v>
      </c>
      <c r="E19" s="186">
        <f t="shared" si="7"/>
        <v>41763</v>
      </c>
      <c r="F19" s="187">
        <f t="shared" si="7"/>
        <v>0</v>
      </c>
      <c r="G19" s="188">
        <f t="shared" si="7"/>
        <v>41763</v>
      </c>
      <c r="H19" s="190">
        <f t="shared" si="2"/>
        <v>4035</v>
      </c>
      <c r="I19" s="108">
        <f t="shared" si="5"/>
        <v>1.1069497455470738</v>
      </c>
      <c r="J19" s="198">
        <f>SUM(J7+J8+J9+J10+J11+J13+J15)</f>
        <v>41725</v>
      </c>
      <c r="K19" s="187">
        <f>SUM(K7+K8+K9+K10+K11+K13+K15)</f>
        <v>0</v>
      </c>
      <c r="L19" s="188">
        <f>SUM(L7+L8+L9+L10+L11+L13+L15)</f>
        <v>41725</v>
      </c>
      <c r="M19" s="190">
        <f t="shared" si="4"/>
        <v>-38</v>
      </c>
      <c r="N19" s="199">
        <f t="shared" si="6"/>
        <v>0.9990901036802912</v>
      </c>
    </row>
    <row r="20" spans="1:14" ht="13.5" customHeight="1">
      <c r="A20" s="96" t="s">
        <v>183</v>
      </c>
      <c r="B20" s="71">
        <v>6703</v>
      </c>
      <c r="C20" s="72"/>
      <c r="D20" s="73">
        <f aca="true" t="shared" si="8" ref="D20:D37">SUM(B20:C20)</f>
        <v>6703</v>
      </c>
      <c r="E20" s="71">
        <v>8225</v>
      </c>
      <c r="F20" s="72"/>
      <c r="G20" s="97">
        <f aca="true" t="shared" si="9" ref="G20:G37">SUM(E20:F20)</f>
        <v>8225</v>
      </c>
      <c r="H20" s="98">
        <f t="shared" si="2"/>
        <v>1522</v>
      </c>
      <c r="I20" s="99">
        <f t="shared" si="5"/>
        <v>1.2270625093241831</v>
      </c>
      <c r="J20" s="76">
        <v>7990</v>
      </c>
      <c r="K20" s="72"/>
      <c r="L20" s="100">
        <f aca="true" t="shared" si="10" ref="L20:L37">SUM(J20:K20)</f>
        <v>7990</v>
      </c>
      <c r="M20" s="98">
        <f t="shared" si="4"/>
        <v>-235</v>
      </c>
      <c r="N20" s="101">
        <f t="shared" si="6"/>
        <v>0.9714285714285714</v>
      </c>
    </row>
    <row r="21" spans="1:14" ht="21" customHeight="1">
      <c r="A21" s="82" t="s">
        <v>184</v>
      </c>
      <c r="B21" s="71">
        <v>1094</v>
      </c>
      <c r="C21" s="72"/>
      <c r="D21" s="73">
        <f t="shared" si="8"/>
        <v>1094</v>
      </c>
      <c r="E21" s="71">
        <v>2056</v>
      </c>
      <c r="F21" s="72"/>
      <c r="G21" s="97">
        <f t="shared" si="9"/>
        <v>2056</v>
      </c>
      <c r="H21" s="74">
        <f t="shared" si="2"/>
        <v>962</v>
      </c>
      <c r="I21" s="75">
        <f t="shared" si="5"/>
        <v>1.8793418647166362</v>
      </c>
      <c r="J21" s="76">
        <v>400</v>
      </c>
      <c r="K21" s="72"/>
      <c r="L21" s="100">
        <f t="shared" si="10"/>
        <v>400</v>
      </c>
      <c r="M21" s="74">
        <f t="shared" si="4"/>
        <v>-1656</v>
      </c>
      <c r="N21" s="77">
        <f t="shared" si="6"/>
        <v>0.19455252918287938</v>
      </c>
    </row>
    <row r="22" spans="1:14" ht="13.5" customHeight="1">
      <c r="A22" s="78" t="s">
        <v>185</v>
      </c>
      <c r="B22" s="79">
        <v>3389</v>
      </c>
      <c r="C22" s="80"/>
      <c r="D22" s="73">
        <f t="shared" si="8"/>
        <v>3389</v>
      </c>
      <c r="E22" s="79">
        <v>3424</v>
      </c>
      <c r="F22" s="80"/>
      <c r="G22" s="97">
        <f t="shared" si="9"/>
        <v>3424</v>
      </c>
      <c r="H22" s="74">
        <f t="shared" si="2"/>
        <v>35</v>
      </c>
      <c r="I22" s="75">
        <f t="shared" si="5"/>
        <v>1.01032753024491</v>
      </c>
      <c r="J22" s="81">
        <v>3800</v>
      </c>
      <c r="K22" s="80"/>
      <c r="L22" s="100">
        <f t="shared" si="10"/>
        <v>3800</v>
      </c>
      <c r="M22" s="74">
        <f t="shared" si="4"/>
        <v>376</v>
      </c>
      <c r="N22" s="77">
        <f t="shared" si="6"/>
        <v>1.1098130841121496</v>
      </c>
    </row>
    <row r="23" spans="1:14" ht="13.5" customHeight="1">
      <c r="A23" s="82" t="s">
        <v>186</v>
      </c>
      <c r="B23" s="79"/>
      <c r="C23" s="80"/>
      <c r="D23" s="73">
        <f t="shared" si="8"/>
        <v>0</v>
      </c>
      <c r="E23" s="79"/>
      <c r="F23" s="80"/>
      <c r="G23" s="97">
        <f t="shared" si="9"/>
        <v>0</v>
      </c>
      <c r="H23" s="74">
        <f t="shared" si="2"/>
        <v>0</v>
      </c>
      <c r="I23" s="75"/>
      <c r="J23" s="81"/>
      <c r="K23" s="80"/>
      <c r="L23" s="100">
        <f t="shared" si="10"/>
        <v>0</v>
      </c>
      <c r="M23" s="74">
        <f t="shared" si="4"/>
        <v>0</v>
      </c>
      <c r="N23" s="77"/>
    </row>
    <row r="24" spans="1:14" ht="13.5" customHeight="1">
      <c r="A24" s="78" t="s">
        <v>298</v>
      </c>
      <c r="B24" s="79"/>
      <c r="C24" s="80"/>
      <c r="D24" s="73">
        <f t="shared" si="8"/>
        <v>0</v>
      </c>
      <c r="E24" s="79">
        <v>31</v>
      </c>
      <c r="F24" s="80"/>
      <c r="G24" s="97">
        <f t="shared" si="9"/>
        <v>31</v>
      </c>
      <c r="H24" s="74">
        <f t="shared" si="2"/>
        <v>31</v>
      </c>
      <c r="I24" s="75"/>
      <c r="J24" s="81">
        <v>40</v>
      </c>
      <c r="K24" s="80"/>
      <c r="L24" s="100">
        <f t="shared" si="10"/>
        <v>40</v>
      </c>
      <c r="M24" s="74">
        <f t="shared" si="4"/>
        <v>9</v>
      </c>
      <c r="N24" s="77">
        <f aca="true" t="shared" si="11" ref="N24:N38">+L24/G24</f>
        <v>1.2903225806451613</v>
      </c>
    </row>
    <row r="25" spans="1:14" ht="13.5" customHeight="1">
      <c r="A25" s="78" t="s">
        <v>187</v>
      </c>
      <c r="B25" s="81">
        <v>1882</v>
      </c>
      <c r="C25" s="80"/>
      <c r="D25" s="73">
        <f t="shared" si="8"/>
        <v>1882</v>
      </c>
      <c r="E25" s="81">
        <v>1996</v>
      </c>
      <c r="F25" s="80"/>
      <c r="G25" s="97">
        <f t="shared" si="9"/>
        <v>1996</v>
      </c>
      <c r="H25" s="74">
        <f t="shared" si="2"/>
        <v>114</v>
      </c>
      <c r="I25" s="75">
        <f aca="true" t="shared" si="12" ref="I25:I38">+G25/D25</f>
        <v>1.0605738575982997</v>
      </c>
      <c r="J25" s="81">
        <v>1982</v>
      </c>
      <c r="K25" s="80"/>
      <c r="L25" s="100">
        <f t="shared" si="10"/>
        <v>1982</v>
      </c>
      <c r="M25" s="74">
        <f t="shared" si="4"/>
        <v>-14</v>
      </c>
      <c r="N25" s="77">
        <f t="shared" si="11"/>
        <v>0.9929859719438878</v>
      </c>
    </row>
    <row r="26" spans="1:14" ht="13.5" customHeight="1">
      <c r="A26" s="82" t="s">
        <v>188</v>
      </c>
      <c r="B26" s="79">
        <v>592</v>
      </c>
      <c r="C26" s="80"/>
      <c r="D26" s="73">
        <f t="shared" si="8"/>
        <v>592</v>
      </c>
      <c r="E26" s="79">
        <v>955</v>
      </c>
      <c r="F26" s="80"/>
      <c r="G26" s="97">
        <f t="shared" si="9"/>
        <v>955</v>
      </c>
      <c r="H26" s="74">
        <f t="shared" si="2"/>
        <v>363</v>
      </c>
      <c r="I26" s="75">
        <f t="shared" si="12"/>
        <v>1.6131756756756757</v>
      </c>
      <c r="J26" s="102">
        <v>880</v>
      </c>
      <c r="K26" s="80"/>
      <c r="L26" s="100">
        <f t="shared" si="10"/>
        <v>880</v>
      </c>
      <c r="M26" s="74">
        <f t="shared" si="4"/>
        <v>-75</v>
      </c>
      <c r="N26" s="77">
        <f t="shared" si="11"/>
        <v>0.9214659685863874</v>
      </c>
    </row>
    <row r="27" spans="1:14" ht="13.5" customHeight="1">
      <c r="A27" s="78" t="s">
        <v>189</v>
      </c>
      <c r="B27" s="79">
        <v>1263</v>
      </c>
      <c r="C27" s="80"/>
      <c r="D27" s="73">
        <f t="shared" si="8"/>
        <v>1263</v>
      </c>
      <c r="E27" s="79"/>
      <c r="F27" s="80"/>
      <c r="G27" s="97">
        <f t="shared" si="9"/>
        <v>0</v>
      </c>
      <c r="H27" s="74">
        <f t="shared" si="2"/>
        <v>-1263</v>
      </c>
      <c r="I27" s="75">
        <f t="shared" si="12"/>
        <v>0</v>
      </c>
      <c r="J27" s="102">
        <v>1142</v>
      </c>
      <c r="K27" s="80"/>
      <c r="L27" s="100">
        <f t="shared" si="10"/>
        <v>1142</v>
      </c>
      <c r="M27" s="74">
        <f t="shared" si="4"/>
        <v>1142</v>
      </c>
      <c r="N27" s="77"/>
    </row>
    <row r="28" spans="1:14" ht="13.5" customHeight="1">
      <c r="A28" s="103" t="s">
        <v>190</v>
      </c>
      <c r="B28" s="81">
        <v>22758</v>
      </c>
      <c r="C28" s="80"/>
      <c r="D28" s="73">
        <f t="shared" si="8"/>
        <v>22758</v>
      </c>
      <c r="E28" s="81">
        <v>25037</v>
      </c>
      <c r="F28" s="80"/>
      <c r="G28" s="97">
        <f t="shared" si="9"/>
        <v>25037</v>
      </c>
      <c r="H28" s="74">
        <f t="shared" si="2"/>
        <v>2279</v>
      </c>
      <c r="I28" s="75">
        <f t="shared" si="12"/>
        <v>1.1001406098954214</v>
      </c>
      <c r="J28" s="81">
        <v>25339</v>
      </c>
      <c r="K28" s="80"/>
      <c r="L28" s="100">
        <f t="shared" si="10"/>
        <v>25339</v>
      </c>
      <c r="M28" s="74">
        <f t="shared" si="4"/>
        <v>302</v>
      </c>
      <c r="N28" s="77">
        <f t="shared" si="11"/>
        <v>1.012062148020929</v>
      </c>
    </row>
    <row r="29" spans="1:14" ht="13.5" customHeight="1">
      <c r="A29" s="82" t="s">
        <v>191</v>
      </c>
      <c r="B29" s="79">
        <v>16630</v>
      </c>
      <c r="C29" s="80"/>
      <c r="D29" s="73">
        <f t="shared" si="8"/>
        <v>16630</v>
      </c>
      <c r="E29" s="79">
        <v>18269</v>
      </c>
      <c r="F29" s="80"/>
      <c r="G29" s="97">
        <f t="shared" si="9"/>
        <v>18269</v>
      </c>
      <c r="H29" s="74">
        <f t="shared" si="2"/>
        <v>1639</v>
      </c>
      <c r="I29" s="75">
        <f t="shared" si="12"/>
        <v>1.098556825015033</v>
      </c>
      <c r="J29" s="102">
        <v>18501</v>
      </c>
      <c r="K29" s="104"/>
      <c r="L29" s="100">
        <f t="shared" si="10"/>
        <v>18501</v>
      </c>
      <c r="M29" s="74">
        <f t="shared" si="4"/>
        <v>232</v>
      </c>
      <c r="N29" s="77">
        <f t="shared" si="11"/>
        <v>1.0126991077782035</v>
      </c>
    </row>
    <row r="30" spans="1:14" ht="13.5" customHeight="1">
      <c r="A30" s="103" t="s">
        <v>192</v>
      </c>
      <c r="B30" s="79">
        <v>16541</v>
      </c>
      <c r="C30" s="80"/>
      <c r="D30" s="73">
        <f t="shared" si="8"/>
        <v>16541</v>
      </c>
      <c r="E30" s="79">
        <v>18255</v>
      </c>
      <c r="F30" s="80"/>
      <c r="G30" s="97">
        <f t="shared" si="9"/>
        <v>18255</v>
      </c>
      <c r="H30" s="74">
        <f t="shared" si="2"/>
        <v>1714</v>
      </c>
      <c r="I30" s="75">
        <f t="shared" si="12"/>
        <v>1.1036213046369627</v>
      </c>
      <c r="J30" s="81">
        <v>18481</v>
      </c>
      <c r="K30" s="80"/>
      <c r="L30" s="100">
        <f t="shared" si="10"/>
        <v>18481</v>
      </c>
      <c r="M30" s="74">
        <f t="shared" si="4"/>
        <v>226</v>
      </c>
      <c r="N30" s="77">
        <f t="shared" si="11"/>
        <v>1.0123801698164887</v>
      </c>
    </row>
    <row r="31" spans="1:14" ht="13.5" customHeight="1">
      <c r="A31" s="82" t="s">
        <v>193</v>
      </c>
      <c r="B31" s="79">
        <v>89</v>
      </c>
      <c r="C31" s="80"/>
      <c r="D31" s="73">
        <v>89</v>
      </c>
      <c r="E31" s="79">
        <v>14</v>
      </c>
      <c r="F31" s="80"/>
      <c r="G31" s="97">
        <f t="shared" si="9"/>
        <v>14</v>
      </c>
      <c r="H31" s="74">
        <f t="shared" si="2"/>
        <v>-75</v>
      </c>
      <c r="I31" s="75">
        <f t="shared" si="12"/>
        <v>0.15730337078651685</v>
      </c>
      <c r="J31" s="81">
        <v>20</v>
      </c>
      <c r="K31" s="80"/>
      <c r="L31" s="100">
        <f t="shared" si="10"/>
        <v>20</v>
      </c>
      <c r="M31" s="74">
        <f t="shared" si="4"/>
        <v>6</v>
      </c>
      <c r="N31" s="77">
        <f t="shared" si="11"/>
        <v>1.4285714285714286</v>
      </c>
    </row>
    <row r="32" spans="1:14" ht="13.5" customHeight="1">
      <c r="A32" s="82" t="s">
        <v>194</v>
      </c>
      <c r="B32" s="79">
        <v>6128</v>
      </c>
      <c r="C32" s="80"/>
      <c r="D32" s="73">
        <v>6128</v>
      </c>
      <c r="E32" s="79">
        <v>6767</v>
      </c>
      <c r="F32" s="80"/>
      <c r="G32" s="97">
        <f t="shared" si="9"/>
        <v>6767</v>
      </c>
      <c r="H32" s="74">
        <f t="shared" si="2"/>
        <v>639</v>
      </c>
      <c r="I32" s="75">
        <f t="shared" si="12"/>
        <v>1.10427545691906</v>
      </c>
      <c r="J32" s="81">
        <v>6838</v>
      </c>
      <c r="K32" s="80"/>
      <c r="L32" s="100">
        <f t="shared" si="10"/>
        <v>6838</v>
      </c>
      <c r="M32" s="74">
        <f t="shared" si="4"/>
        <v>71</v>
      </c>
      <c r="N32" s="77">
        <f t="shared" si="11"/>
        <v>1.010492093985518</v>
      </c>
    </row>
    <row r="33" spans="1:14" ht="13.5" customHeight="1">
      <c r="A33" s="103" t="s">
        <v>195</v>
      </c>
      <c r="B33" s="79"/>
      <c r="C33" s="80"/>
      <c r="D33" s="73">
        <f t="shared" si="8"/>
        <v>0</v>
      </c>
      <c r="E33" s="79"/>
      <c r="F33" s="80"/>
      <c r="G33" s="97">
        <f t="shared" si="9"/>
        <v>0</v>
      </c>
      <c r="H33" s="74">
        <f t="shared" si="2"/>
        <v>0</v>
      </c>
      <c r="I33" s="75"/>
      <c r="J33" s="81"/>
      <c r="K33" s="80"/>
      <c r="L33" s="100">
        <f t="shared" si="10"/>
        <v>0</v>
      </c>
      <c r="M33" s="74">
        <f t="shared" si="4"/>
        <v>0</v>
      </c>
      <c r="N33" s="77"/>
    </row>
    <row r="34" spans="1:14" ht="13.5" customHeight="1">
      <c r="A34" s="103" t="s">
        <v>196</v>
      </c>
      <c r="B34" s="79">
        <v>184</v>
      </c>
      <c r="C34" s="80"/>
      <c r="D34" s="73">
        <f t="shared" si="8"/>
        <v>184</v>
      </c>
      <c r="E34" s="79">
        <v>194</v>
      </c>
      <c r="F34" s="80"/>
      <c r="G34" s="97">
        <f t="shared" si="9"/>
        <v>194</v>
      </c>
      <c r="H34" s="74">
        <f t="shared" si="2"/>
        <v>10</v>
      </c>
      <c r="I34" s="75">
        <f t="shared" si="12"/>
        <v>1.0543478260869565</v>
      </c>
      <c r="J34" s="81">
        <v>170</v>
      </c>
      <c r="K34" s="80"/>
      <c r="L34" s="100">
        <f t="shared" si="10"/>
        <v>170</v>
      </c>
      <c r="M34" s="74">
        <f t="shared" si="4"/>
        <v>-24</v>
      </c>
      <c r="N34" s="77">
        <f t="shared" si="11"/>
        <v>0.8762886597938144</v>
      </c>
    </row>
    <row r="35" spans="1:14" ht="13.5" customHeight="1">
      <c r="A35" s="82" t="s">
        <v>197</v>
      </c>
      <c r="B35" s="79">
        <v>2393</v>
      </c>
      <c r="C35" s="80"/>
      <c r="D35" s="73">
        <f t="shared" si="8"/>
        <v>2393</v>
      </c>
      <c r="E35" s="79">
        <v>2372</v>
      </c>
      <c r="F35" s="80"/>
      <c r="G35" s="97">
        <f t="shared" si="9"/>
        <v>2372</v>
      </c>
      <c r="H35" s="74">
        <f t="shared" si="2"/>
        <v>-21</v>
      </c>
      <c r="I35" s="75">
        <f t="shared" si="12"/>
        <v>0.9912244045131634</v>
      </c>
      <c r="J35" s="102">
        <v>2404</v>
      </c>
      <c r="K35" s="80"/>
      <c r="L35" s="100">
        <f t="shared" si="10"/>
        <v>2404</v>
      </c>
      <c r="M35" s="74">
        <f t="shared" si="4"/>
        <v>32</v>
      </c>
      <c r="N35" s="77">
        <f t="shared" si="11"/>
        <v>1.0134907251264755</v>
      </c>
    </row>
    <row r="36" spans="1:14" ht="22.5" customHeight="1">
      <c r="A36" s="82" t="s">
        <v>198</v>
      </c>
      <c r="B36" s="79">
        <v>2393</v>
      </c>
      <c r="C36" s="80"/>
      <c r="D36" s="73">
        <v>2393</v>
      </c>
      <c r="E36" s="79">
        <v>2372</v>
      </c>
      <c r="F36" s="80"/>
      <c r="G36" s="97">
        <f t="shared" si="9"/>
        <v>2372</v>
      </c>
      <c r="H36" s="74">
        <f t="shared" si="2"/>
        <v>-21</v>
      </c>
      <c r="I36" s="75">
        <f t="shared" si="12"/>
        <v>0.9912244045131634</v>
      </c>
      <c r="J36" s="102">
        <v>2404</v>
      </c>
      <c r="K36" s="80"/>
      <c r="L36" s="100">
        <f t="shared" si="10"/>
        <v>2404</v>
      </c>
      <c r="M36" s="74">
        <f t="shared" si="4"/>
        <v>32</v>
      </c>
      <c r="N36" s="77">
        <f t="shared" si="11"/>
        <v>1.0134907251264755</v>
      </c>
    </row>
    <row r="37" spans="1:14" ht="13.5" customHeight="1" thickBot="1">
      <c r="A37" s="105" t="s">
        <v>199</v>
      </c>
      <c r="B37" s="83">
        <v>62</v>
      </c>
      <c r="C37" s="84"/>
      <c r="D37" s="73">
        <f t="shared" si="8"/>
        <v>62</v>
      </c>
      <c r="E37" s="83">
        <v>250</v>
      </c>
      <c r="F37" s="84"/>
      <c r="G37" s="97">
        <f t="shared" si="9"/>
        <v>250</v>
      </c>
      <c r="H37" s="85">
        <f t="shared" si="2"/>
        <v>188</v>
      </c>
      <c r="I37" s="86"/>
      <c r="J37" s="106"/>
      <c r="K37" s="84"/>
      <c r="L37" s="100">
        <f t="shared" si="10"/>
        <v>0</v>
      </c>
      <c r="M37" s="85">
        <f t="shared" si="4"/>
        <v>-250</v>
      </c>
      <c r="N37" s="87"/>
    </row>
    <row r="38" spans="1:14" ht="13.5" customHeight="1" thickBot="1">
      <c r="A38" s="88" t="s">
        <v>200</v>
      </c>
      <c r="B38" s="89">
        <f aca="true" t="shared" si="13" ref="B38:G38">SUM(B20+B22+B23+B24+B25+B28+B33+B34+B35+B37)</f>
        <v>37371</v>
      </c>
      <c r="C38" s="90">
        <f t="shared" si="13"/>
        <v>0</v>
      </c>
      <c r="D38" s="91">
        <f t="shared" si="13"/>
        <v>37371</v>
      </c>
      <c r="E38" s="89">
        <f t="shared" si="13"/>
        <v>41529</v>
      </c>
      <c r="F38" s="90">
        <f t="shared" si="13"/>
        <v>0</v>
      </c>
      <c r="G38" s="91">
        <f t="shared" si="13"/>
        <v>41529</v>
      </c>
      <c r="H38" s="92">
        <f t="shared" si="2"/>
        <v>4158</v>
      </c>
      <c r="I38" s="93">
        <f t="shared" si="12"/>
        <v>1.1112627438388054</v>
      </c>
      <c r="J38" s="94">
        <f>SUM(J20+J22+J23+J24+J25+J28+J33+J34+J35+J37)</f>
        <v>41725</v>
      </c>
      <c r="K38" s="90">
        <f>SUM(K20+K22+K23+K24+K25+K28+K33+K34+K35+K37)</f>
        <v>0</v>
      </c>
      <c r="L38" s="91">
        <f>SUM(L20+L22+L23+L24+L25+L28+L33+L34+L35+L37)</f>
        <v>41725</v>
      </c>
      <c r="M38" s="92">
        <f t="shared" si="4"/>
        <v>196</v>
      </c>
      <c r="N38" s="95">
        <f t="shared" si="11"/>
        <v>1.0047195935370463</v>
      </c>
    </row>
    <row r="39" spans="1:14" ht="13.5" customHeight="1" thickBot="1">
      <c r="A39" s="88" t="s">
        <v>201</v>
      </c>
      <c r="B39" s="787">
        <v>188</v>
      </c>
      <c r="C39" s="787"/>
      <c r="D39" s="787"/>
      <c r="E39" s="787">
        <f>+G19-G38</f>
        <v>234</v>
      </c>
      <c r="F39" s="787"/>
      <c r="G39" s="787">
        <v>-50784</v>
      </c>
      <c r="H39" s="107">
        <f>+E39-B39</f>
        <v>46</v>
      </c>
      <c r="I39" s="108"/>
      <c r="J39" s="789">
        <f>+L19-L38</f>
        <v>0</v>
      </c>
      <c r="K39" s="789"/>
      <c r="L39" s="789">
        <v>0</v>
      </c>
      <c r="M39" s="92"/>
      <c r="N39" s="95"/>
    </row>
    <row r="40" spans="1:16" ht="20.25" customHeight="1" thickBot="1">
      <c r="A40" s="109" t="s">
        <v>202</v>
      </c>
      <c r="B40" s="787"/>
      <c r="C40" s="787"/>
      <c r="D40" s="787"/>
      <c r="E40" s="787"/>
      <c r="F40" s="787"/>
      <c r="G40" s="787"/>
      <c r="H40"/>
      <c r="I40"/>
      <c r="J40"/>
      <c r="K40"/>
      <c r="L40"/>
      <c r="M40"/>
      <c r="N40"/>
      <c r="O40"/>
      <c r="P40"/>
    </row>
    <row r="41" spans="2:8" ht="14.25" customHeight="1" thickBot="1">
      <c r="B41" s="7"/>
      <c r="C41" s="7"/>
      <c r="D41" s="16"/>
      <c r="E41" s="7"/>
      <c r="F41" s="7"/>
      <c r="G41" s="7"/>
      <c r="H41" s="7"/>
    </row>
    <row r="42" spans="1:16" ht="13.5" thickBot="1">
      <c r="A42" s="805" t="s">
        <v>312</v>
      </c>
      <c r="B42" s="805"/>
      <c r="C42" s="799" t="s">
        <v>203</v>
      </c>
      <c r="D42" s="805" t="s">
        <v>420</v>
      </c>
      <c r="E42" s="805"/>
      <c r="F42" s="805"/>
      <c r="G42" s="799" t="s">
        <v>203</v>
      </c>
      <c r="H42" s="785" t="s">
        <v>421</v>
      </c>
      <c r="I42" s="785"/>
      <c r="J42" s="785"/>
      <c r="K42" s="785"/>
      <c r="L42" s="799" t="s">
        <v>203</v>
      </c>
      <c r="O42"/>
      <c r="P42"/>
    </row>
    <row r="43" spans="1:16" ht="13.5" thickBot="1">
      <c r="A43" s="805"/>
      <c r="B43" s="805"/>
      <c r="C43" s="799"/>
      <c r="D43" s="805"/>
      <c r="E43" s="805"/>
      <c r="F43" s="805"/>
      <c r="G43" s="799"/>
      <c r="H43" s="785"/>
      <c r="I43" s="785"/>
      <c r="J43" s="785"/>
      <c r="K43" s="785"/>
      <c r="L43" s="799"/>
      <c r="O43"/>
      <c r="P43"/>
    </row>
    <row r="44" spans="1:16" ht="12.75">
      <c r="A44" s="794" t="s">
        <v>247</v>
      </c>
      <c r="B44" s="794"/>
      <c r="C44" s="110">
        <v>1087</v>
      </c>
      <c r="D44" s="795" t="s">
        <v>247</v>
      </c>
      <c r="E44" s="795"/>
      <c r="F44" s="795"/>
      <c r="G44" s="111">
        <v>1121</v>
      </c>
      <c r="H44" s="802" t="s">
        <v>247</v>
      </c>
      <c r="I44" s="802"/>
      <c r="J44" s="802"/>
      <c r="K44" s="802"/>
      <c r="L44" s="112">
        <v>1131</v>
      </c>
      <c r="O44"/>
      <c r="P44"/>
    </row>
    <row r="45" spans="1:16" ht="12.75">
      <c r="A45" s="797"/>
      <c r="B45" s="797"/>
      <c r="C45" s="113"/>
      <c r="D45" s="795" t="s">
        <v>251</v>
      </c>
      <c r="E45" s="795"/>
      <c r="F45" s="795"/>
      <c r="G45" s="114">
        <v>230</v>
      </c>
      <c r="H45" s="802" t="s">
        <v>494</v>
      </c>
      <c r="I45" s="802"/>
      <c r="J45" s="802"/>
      <c r="K45" s="802"/>
      <c r="L45" s="112">
        <v>700</v>
      </c>
      <c r="O45"/>
      <c r="P45"/>
    </row>
    <row r="46" spans="1:16" ht="12.75">
      <c r="A46" s="797"/>
      <c r="B46" s="797"/>
      <c r="C46" s="113"/>
      <c r="D46" s="795" t="s">
        <v>495</v>
      </c>
      <c r="E46" s="795"/>
      <c r="F46" s="795"/>
      <c r="G46" s="114">
        <v>546</v>
      </c>
      <c r="H46" s="802" t="s">
        <v>496</v>
      </c>
      <c r="I46" s="802"/>
      <c r="J46" s="802"/>
      <c r="K46" s="802"/>
      <c r="L46" s="112">
        <v>180</v>
      </c>
      <c r="O46"/>
      <c r="P46"/>
    </row>
    <row r="47" spans="1:16" ht="12.75">
      <c r="A47" s="797"/>
      <c r="B47" s="797"/>
      <c r="C47" s="115"/>
      <c r="D47" s="797" t="s">
        <v>497</v>
      </c>
      <c r="E47" s="797"/>
      <c r="F47" s="797"/>
      <c r="G47" s="116">
        <v>40</v>
      </c>
      <c r="H47" s="776"/>
      <c r="I47" s="776"/>
      <c r="J47" s="776"/>
      <c r="K47" s="776"/>
      <c r="L47" s="112"/>
      <c r="O47"/>
      <c r="P47"/>
    </row>
    <row r="48" spans="1:16" ht="12.75">
      <c r="A48" s="797"/>
      <c r="B48" s="797"/>
      <c r="C48" s="115"/>
      <c r="D48" s="797"/>
      <c r="E48" s="797"/>
      <c r="F48" s="797"/>
      <c r="G48" s="116"/>
      <c r="H48" s="776"/>
      <c r="I48" s="776"/>
      <c r="J48" s="776"/>
      <c r="K48" s="776"/>
      <c r="L48" s="112"/>
      <c r="O48"/>
      <c r="P48"/>
    </row>
    <row r="49" spans="1:16" ht="12.75">
      <c r="A49" s="797"/>
      <c r="B49" s="797"/>
      <c r="C49" s="115"/>
      <c r="D49" s="797"/>
      <c r="E49" s="797"/>
      <c r="F49" s="797"/>
      <c r="G49" s="116"/>
      <c r="H49" s="776"/>
      <c r="I49" s="776"/>
      <c r="J49" s="776"/>
      <c r="K49" s="776"/>
      <c r="L49" s="112"/>
      <c r="O49"/>
      <c r="P49"/>
    </row>
    <row r="50" spans="1:16" ht="13.5" thickBot="1">
      <c r="A50" s="800"/>
      <c r="B50" s="800"/>
      <c r="C50" s="115"/>
      <c r="D50" s="801"/>
      <c r="E50" s="801"/>
      <c r="F50" s="801"/>
      <c r="G50" s="116"/>
      <c r="H50" s="802"/>
      <c r="I50" s="802"/>
      <c r="J50" s="802"/>
      <c r="K50" s="802"/>
      <c r="L50" s="112"/>
      <c r="O50"/>
      <c r="P50"/>
    </row>
    <row r="51" spans="1:16" ht="13.5" thickBot="1">
      <c r="A51" s="811"/>
      <c r="B51" s="811"/>
      <c r="C51" s="117">
        <f>SUM(C44:C50)</f>
        <v>1087</v>
      </c>
      <c r="D51" s="812" t="s">
        <v>168</v>
      </c>
      <c r="E51" s="812"/>
      <c r="F51" s="812"/>
      <c r="G51" s="117">
        <f>SUM(G44:G50)</f>
        <v>1937</v>
      </c>
      <c r="H51" s="778" t="s">
        <v>168</v>
      </c>
      <c r="I51" s="778"/>
      <c r="J51" s="778"/>
      <c r="K51" s="778"/>
      <c r="L51" s="117">
        <f>SUM(L44:L50)</f>
        <v>2011</v>
      </c>
      <c r="M51" s="17"/>
      <c r="N51" s="17"/>
      <c r="O51"/>
      <c r="P51"/>
    </row>
    <row r="52" spans="1:16" s="1" customFormat="1" ht="13.5" customHeight="1" thickBot="1">
      <c r="A52" s="18"/>
      <c r="B52" s="5"/>
      <c r="C52" s="5"/>
      <c r="D52" s="5"/>
      <c r="E52" s="5"/>
      <c r="F52" s="5"/>
      <c r="G52" s="5"/>
      <c r="H52" s="6"/>
      <c r="I52" s="3"/>
      <c r="J52" s="3"/>
      <c r="K52" s="3"/>
      <c r="L52" s="3"/>
      <c r="M52" s="3"/>
      <c r="N52" s="3"/>
      <c r="O52" s="3"/>
      <c r="P52" s="3"/>
    </row>
    <row r="53" spans="1:16" ht="13.5" thickBot="1">
      <c r="A53" s="866" t="s">
        <v>429</v>
      </c>
      <c r="B53" s="867"/>
      <c r="C53" s="869" t="s">
        <v>203</v>
      </c>
      <c r="D53" s="806" t="s">
        <v>430</v>
      </c>
      <c r="E53" s="806"/>
      <c r="F53" s="806"/>
      <c r="G53" s="798" t="s">
        <v>203</v>
      </c>
      <c r="H53" s="785" t="s">
        <v>431</v>
      </c>
      <c r="I53" s="785"/>
      <c r="J53" s="785"/>
      <c r="K53" s="785"/>
      <c r="L53" s="799" t="s">
        <v>203</v>
      </c>
      <c r="O53"/>
      <c r="P53"/>
    </row>
    <row r="54" spans="1:16" ht="13.5" thickBot="1">
      <c r="A54" s="868"/>
      <c r="B54" s="805"/>
      <c r="C54" s="870"/>
      <c r="D54" s="806"/>
      <c r="E54" s="806"/>
      <c r="F54" s="806"/>
      <c r="G54" s="798"/>
      <c r="H54" s="785"/>
      <c r="I54" s="785"/>
      <c r="J54" s="785"/>
      <c r="K54" s="785"/>
      <c r="L54" s="799"/>
      <c r="O54"/>
      <c r="P54"/>
    </row>
    <row r="55" spans="1:16" ht="12.75">
      <c r="A55" s="871" t="s">
        <v>269</v>
      </c>
      <c r="B55" s="803"/>
      <c r="C55" s="201">
        <v>210</v>
      </c>
      <c r="D55" s="804" t="s">
        <v>498</v>
      </c>
      <c r="E55" s="804"/>
      <c r="F55" s="804"/>
      <c r="G55" s="118">
        <v>81</v>
      </c>
      <c r="H55" s="802" t="s">
        <v>499</v>
      </c>
      <c r="I55" s="802"/>
      <c r="J55" s="802"/>
      <c r="K55" s="802"/>
      <c r="L55" s="112">
        <v>80</v>
      </c>
      <c r="O55"/>
      <c r="P55"/>
    </row>
    <row r="56" spans="1:16" ht="13.5" customHeight="1">
      <c r="A56" s="872" t="s">
        <v>295</v>
      </c>
      <c r="B56" s="781"/>
      <c r="C56" s="202">
        <v>80</v>
      </c>
      <c r="D56" s="782" t="s">
        <v>500</v>
      </c>
      <c r="E56" s="782"/>
      <c r="F56" s="782"/>
      <c r="G56" s="119">
        <v>80</v>
      </c>
      <c r="H56" s="776" t="s">
        <v>501</v>
      </c>
      <c r="I56" s="776"/>
      <c r="J56" s="776"/>
      <c r="K56" s="776"/>
      <c r="L56" s="120">
        <v>80</v>
      </c>
      <c r="O56"/>
      <c r="P56"/>
    </row>
    <row r="57" spans="1:16" ht="13.5" customHeight="1">
      <c r="A57" s="872" t="s">
        <v>502</v>
      </c>
      <c r="B57" s="781"/>
      <c r="C57" s="202">
        <v>20</v>
      </c>
      <c r="D57" s="782" t="s">
        <v>503</v>
      </c>
      <c r="E57" s="782"/>
      <c r="F57" s="782"/>
      <c r="G57" s="119">
        <v>240</v>
      </c>
      <c r="H57" s="776" t="s">
        <v>503</v>
      </c>
      <c r="I57" s="776"/>
      <c r="J57" s="776"/>
      <c r="K57" s="776"/>
      <c r="L57" s="120">
        <v>200</v>
      </c>
      <c r="O57"/>
      <c r="P57"/>
    </row>
    <row r="58" spans="1:16" ht="13.5" customHeight="1">
      <c r="A58" s="872" t="s">
        <v>504</v>
      </c>
      <c r="B58" s="781"/>
      <c r="C58" s="202">
        <v>18</v>
      </c>
      <c r="D58" s="782" t="s">
        <v>505</v>
      </c>
      <c r="E58" s="782"/>
      <c r="F58" s="782"/>
      <c r="G58" s="119">
        <v>80</v>
      </c>
      <c r="H58" s="776" t="s">
        <v>506</v>
      </c>
      <c r="I58" s="776"/>
      <c r="J58" s="776"/>
      <c r="K58" s="776"/>
      <c r="L58" s="120">
        <v>80</v>
      </c>
      <c r="O58"/>
      <c r="P58"/>
    </row>
    <row r="59" spans="1:16" ht="13.5" customHeight="1">
      <c r="A59" s="872" t="s">
        <v>507</v>
      </c>
      <c r="B59" s="781"/>
      <c r="C59" s="203">
        <v>25</v>
      </c>
      <c r="D59" s="782" t="s">
        <v>508</v>
      </c>
      <c r="E59" s="782"/>
      <c r="F59" s="782"/>
      <c r="G59" s="121">
        <v>73</v>
      </c>
      <c r="H59" s="776" t="s">
        <v>295</v>
      </c>
      <c r="I59" s="776"/>
      <c r="J59" s="776"/>
      <c r="K59" s="776"/>
      <c r="L59" s="122">
        <v>120</v>
      </c>
      <c r="O59"/>
      <c r="P59"/>
    </row>
    <row r="60" spans="1:16" ht="13.5" customHeight="1">
      <c r="A60" s="872" t="s">
        <v>509</v>
      </c>
      <c r="B60" s="781"/>
      <c r="C60" s="203">
        <v>14</v>
      </c>
      <c r="D60" s="782" t="s">
        <v>302</v>
      </c>
      <c r="E60" s="782"/>
      <c r="F60" s="782"/>
      <c r="G60" s="121">
        <v>20</v>
      </c>
      <c r="H60" s="776" t="s">
        <v>269</v>
      </c>
      <c r="I60" s="776"/>
      <c r="J60" s="776"/>
      <c r="K60" s="776"/>
      <c r="L60" s="122">
        <v>50</v>
      </c>
      <c r="O60"/>
      <c r="P60"/>
    </row>
    <row r="61" spans="1:16" ht="13.5" customHeight="1">
      <c r="A61" s="872" t="s">
        <v>510</v>
      </c>
      <c r="B61" s="873"/>
      <c r="C61" s="202">
        <v>225</v>
      </c>
      <c r="D61" s="782" t="s">
        <v>295</v>
      </c>
      <c r="E61" s="782"/>
      <c r="F61" s="782"/>
      <c r="G61" s="119">
        <v>117</v>
      </c>
      <c r="H61" s="776" t="s">
        <v>511</v>
      </c>
      <c r="I61" s="776"/>
      <c r="J61" s="776"/>
      <c r="K61" s="776"/>
      <c r="L61" s="120">
        <v>270</v>
      </c>
      <c r="O61"/>
      <c r="P61"/>
    </row>
    <row r="62" spans="1:16" ht="13.5" thickBot="1">
      <c r="A62" s="874"/>
      <c r="B62" s="780"/>
      <c r="C62" s="204"/>
      <c r="D62" s="783" t="s">
        <v>512</v>
      </c>
      <c r="E62" s="783"/>
      <c r="F62" s="783"/>
      <c r="G62" s="123">
        <v>304</v>
      </c>
      <c r="H62" s="777"/>
      <c r="I62" s="777"/>
      <c r="J62" s="777"/>
      <c r="K62" s="777"/>
      <c r="L62" s="124"/>
      <c r="O62"/>
      <c r="P62"/>
    </row>
    <row r="63" spans="1:16" ht="13.5" thickBot="1">
      <c r="A63" s="877" t="s">
        <v>168</v>
      </c>
      <c r="B63" s="878"/>
      <c r="C63" s="205">
        <f>SUM(C55:C62)</f>
        <v>592</v>
      </c>
      <c r="D63" s="784" t="s">
        <v>168</v>
      </c>
      <c r="E63" s="784"/>
      <c r="F63" s="784"/>
      <c r="G63" s="125">
        <f>SUM(G55:G62)</f>
        <v>995</v>
      </c>
      <c r="H63" s="778" t="s">
        <v>168</v>
      </c>
      <c r="I63" s="778"/>
      <c r="J63" s="778"/>
      <c r="K63" s="778"/>
      <c r="L63" s="117">
        <v>880</v>
      </c>
      <c r="M63" s="17"/>
      <c r="N63" s="17"/>
      <c r="O63"/>
      <c r="P63"/>
    </row>
    <row r="64" spans="1:14" s="1" customFormat="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1" customFormat="1" ht="13.5" thickBo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s="1" customFormat="1" ht="26.25" customHeight="1" thickBot="1">
      <c r="A66" s="833" t="s">
        <v>106</v>
      </c>
      <c r="B66" s="834"/>
      <c r="C66" s="834"/>
      <c r="D66" s="834"/>
      <c r="E66" s="835"/>
      <c r="F66" s="836" t="s">
        <v>107</v>
      </c>
      <c r="G66" s="837"/>
      <c r="H66" s="837"/>
      <c r="I66" s="837"/>
      <c r="J66" s="837"/>
      <c r="K66" s="837"/>
      <c r="L66" s="838"/>
      <c r="M66" s="19"/>
      <c r="N66" s="19"/>
    </row>
    <row r="67" spans="1:14" s="1" customFormat="1" ht="14.25" customHeight="1" thickBot="1">
      <c r="A67" s="397" t="s">
        <v>231</v>
      </c>
      <c r="B67" s="398" t="s">
        <v>96</v>
      </c>
      <c r="C67" s="839" t="s">
        <v>232</v>
      </c>
      <c r="D67" s="839"/>
      <c r="E67" s="399" t="s">
        <v>97</v>
      </c>
      <c r="F67" s="840" t="s">
        <v>231</v>
      </c>
      <c r="G67" s="841"/>
      <c r="H67" s="398" t="s">
        <v>96</v>
      </c>
      <c r="I67" s="839" t="s">
        <v>232</v>
      </c>
      <c r="J67" s="839"/>
      <c r="K67" s="839"/>
      <c r="L67" s="400" t="s">
        <v>97</v>
      </c>
      <c r="M67" s="19"/>
      <c r="N67" s="19"/>
    </row>
    <row r="68" spans="1:14" s="1" customFormat="1" ht="12.75">
      <c r="A68" s="401" t="s">
        <v>98</v>
      </c>
      <c r="B68" s="402">
        <v>340</v>
      </c>
      <c r="C68" s="842" t="s">
        <v>99</v>
      </c>
      <c r="D68" s="842"/>
      <c r="E68" s="403"/>
      <c r="F68" s="843" t="s">
        <v>98</v>
      </c>
      <c r="G68" s="844"/>
      <c r="H68" s="402">
        <v>606</v>
      </c>
      <c r="I68" s="842" t="s">
        <v>99</v>
      </c>
      <c r="J68" s="844"/>
      <c r="K68" s="844"/>
      <c r="L68" s="403"/>
      <c r="M68" s="19"/>
      <c r="N68" s="19"/>
    </row>
    <row r="69" spans="1:14" s="1" customFormat="1" ht="12.75">
      <c r="A69" s="404" t="s">
        <v>100</v>
      </c>
      <c r="B69" s="405">
        <v>150</v>
      </c>
      <c r="C69" s="845" t="s">
        <v>101</v>
      </c>
      <c r="D69" s="845"/>
      <c r="E69" s="406">
        <v>30</v>
      </c>
      <c r="F69" s="846" t="s">
        <v>102</v>
      </c>
      <c r="G69" s="847"/>
      <c r="H69" s="405">
        <v>187</v>
      </c>
      <c r="I69" s="845" t="s">
        <v>101</v>
      </c>
      <c r="J69" s="847"/>
      <c r="K69" s="847"/>
      <c r="L69" s="406">
        <v>70</v>
      </c>
      <c r="M69" s="19"/>
      <c r="N69" s="19"/>
    </row>
    <row r="70" spans="1:14" s="1" customFormat="1" ht="12.75">
      <c r="A70" s="404" t="s">
        <v>103</v>
      </c>
      <c r="B70" s="405">
        <v>36</v>
      </c>
      <c r="C70" s="845" t="s">
        <v>657</v>
      </c>
      <c r="D70" s="845"/>
      <c r="E70" s="406">
        <v>88</v>
      </c>
      <c r="F70" s="845" t="s">
        <v>104</v>
      </c>
      <c r="G70" s="845"/>
      <c r="H70" s="405">
        <v>30</v>
      </c>
      <c r="I70" s="845" t="s">
        <v>657</v>
      </c>
      <c r="J70" s="847"/>
      <c r="K70" s="847"/>
      <c r="L70" s="406">
        <v>50</v>
      </c>
      <c r="M70" s="19"/>
      <c r="N70" s="19"/>
    </row>
    <row r="71" spans="1:14" s="1" customFormat="1" ht="13.5" thickBot="1">
      <c r="A71" s="407" t="s">
        <v>657</v>
      </c>
      <c r="B71" s="408">
        <v>198</v>
      </c>
      <c r="C71" s="848"/>
      <c r="D71" s="848"/>
      <c r="E71" s="409"/>
      <c r="F71" s="849"/>
      <c r="G71" s="850"/>
      <c r="H71" s="408"/>
      <c r="I71" s="848"/>
      <c r="J71" s="850"/>
      <c r="K71" s="850"/>
      <c r="L71" s="409"/>
      <c r="M71" s="19"/>
      <c r="N71" s="19"/>
    </row>
    <row r="72" spans="1:14" s="1" customFormat="1" ht="13.5" thickBot="1">
      <c r="A72" s="410" t="s">
        <v>168</v>
      </c>
      <c r="B72" s="411">
        <f>SUM(B68:B71)</f>
        <v>724</v>
      </c>
      <c r="C72" s="851" t="s">
        <v>168</v>
      </c>
      <c r="D72" s="851"/>
      <c r="E72" s="413">
        <f>SUM(E68:E71)</f>
        <v>118</v>
      </c>
      <c r="F72" s="852" t="s">
        <v>168</v>
      </c>
      <c r="G72" s="853"/>
      <c r="H72" s="412">
        <f>SUM(H68:H71)</f>
        <v>823</v>
      </c>
      <c r="I72" s="851" t="s">
        <v>168</v>
      </c>
      <c r="J72" s="853"/>
      <c r="K72" s="853"/>
      <c r="L72" s="413">
        <f>SUM(L68:L71)</f>
        <v>120</v>
      </c>
      <c r="M72" s="19"/>
      <c r="N72" s="19"/>
    </row>
    <row r="73" spans="1:14" s="1" customFormat="1" ht="13.5" thickBot="1">
      <c r="A73" s="414" t="s">
        <v>105</v>
      </c>
      <c r="B73" s="415">
        <f>B72-E72</f>
        <v>606</v>
      </c>
      <c r="C73" s="19"/>
      <c r="D73" s="19"/>
      <c r="E73" s="19"/>
      <c r="F73" s="854" t="s">
        <v>105</v>
      </c>
      <c r="G73" s="701"/>
      <c r="H73" s="416">
        <f>H72-L72</f>
        <v>703</v>
      </c>
      <c r="I73" s="19"/>
      <c r="J73" s="19"/>
      <c r="K73" s="19"/>
      <c r="L73" s="19"/>
      <c r="M73" s="19"/>
      <c r="N73" s="19"/>
    </row>
    <row r="74" spans="1:14" s="1" customFormat="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s="1" customFormat="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2" s="1" customFormat="1" ht="12.75">
      <c r="A76" s="20"/>
      <c r="B76" s="21"/>
      <c r="C76" s="21"/>
      <c r="D76" s="21"/>
      <c r="E76" s="2"/>
      <c r="F76" s="4"/>
      <c r="G76" s="4"/>
      <c r="H76" s="20"/>
      <c r="I76" s="21"/>
      <c r="J76" s="21"/>
      <c r="K76" s="21"/>
      <c r="L76" s="2"/>
    </row>
    <row r="77" spans="1:12" s="1" customFormat="1" ht="13.5" thickBot="1">
      <c r="A77" s="20"/>
      <c r="B77" s="21"/>
      <c r="C77" s="21"/>
      <c r="D77" s="21"/>
      <c r="E77" s="2"/>
      <c r="F77" s="4"/>
      <c r="G77" s="4"/>
      <c r="H77" s="20"/>
      <c r="I77" s="21"/>
      <c r="J77" s="21" t="s">
        <v>307</v>
      </c>
      <c r="K77" s="21"/>
      <c r="L77" s="2"/>
    </row>
    <row r="78" spans="1:15" s="1" customFormat="1" ht="12.75">
      <c r="A78" s="879" t="s">
        <v>227</v>
      </c>
      <c r="B78" s="882" t="s">
        <v>435</v>
      </c>
      <c r="C78" s="885" t="s">
        <v>436</v>
      </c>
      <c r="D78" s="886"/>
      <c r="E78" s="886"/>
      <c r="F78" s="886"/>
      <c r="G78" s="886"/>
      <c r="H78" s="886"/>
      <c r="I78" s="887"/>
      <c r="J78" s="888" t="s">
        <v>437</v>
      </c>
      <c r="K78" s="7"/>
      <c r="L78" s="864" t="s">
        <v>205</v>
      </c>
      <c r="M78" s="865"/>
      <c r="N78" s="59">
        <v>2006</v>
      </c>
      <c r="O78" s="60">
        <v>2007</v>
      </c>
    </row>
    <row r="79" spans="1:15" s="1" customFormat="1" ht="12.75">
      <c r="A79" s="880"/>
      <c r="B79" s="883"/>
      <c r="C79" s="891" t="s">
        <v>228</v>
      </c>
      <c r="D79" s="893" t="s">
        <v>229</v>
      </c>
      <c r="E79" s="894"/>
      <c r="F79" s="894"/>
      <c r="G79" s="894"/>
      <c r="H79" s="894"/>
      <c r="I79" s="895"/>
      <c r="J79" s="889"/>
      <c r="K79" s="7"/>
      <c r="L79" s="63" t="s">
        <v>273</v>
      </c>
      <c r="M79" s="62"/>
      <c r="N79" s="58"/>
      <c r="O79" s="61"/>
    </row>
    <row r="80" spans="1:15" s="1" customFormat="1" ht="13.5" thickBot="1">
      <c r="A80" s="881"/>
      <c r="B80" s="884"/>
      <c r="C80" s="892"/>
      <c r="D80" s="25">
        <v>1</v>
      </c>
      <c r="E80" s="25">
        <v>2</v>
      </c>
      <c r="F80" s="25">
        <v>3</v>
      </c>
      <c r="G80" s="25">
        <v>4</v>
      </c>
      <c r="H80" s="25">
        <v>5</v>
      </c>
      <c r="I80" s="56">
        <v>6</v>
      </c>
      <c r="J80" s="890"/>
      <c r="K80" s="7"/>
      <c r="L80" s="62" t="s">
        <v>206</v>
      </c>
      <c r="M80" s="63"/>
      <c r="N80" s="22">
        <v>0</v>
      </c>
      <c r="O80" s="23">
        <v>0</v>
      </c>
    </row>
    <row r="81" spans="1:15" s="1" customFormat="1" ht="13.5" thickBot="1">
      <c r="A81" s="26">
        <v>130624</v>
      </c>
      <c r="B81" s="27">
        <v>17963</v>
      </c>
      <c r="C81" s="54">
        <f>SUM(D81:I81)</f>
        <v>2404</v>
      </c>
      <c r="D81" s="55">
        <v>141</v>
      </c>
      <c r="E81" s="55">
        <v>981</v>
      </c>
      <c r="F81" s="55">
        <v>147</v>
      </c>
      <c r="G81" s="55"/>
      <c r="H81" s="54">
        <v>1135</v>
      </c>
      <c r="I81" s="57"/>
      <c r="J81" s="28">
        <f>SUM(A81-B81-C81)</f>
        <v>110257</v>
      </c>
      <c r="K81" s="7"/>
      <c r="L81" s="64" t="s">
        <v>207</v>
      </c>
      <c r="M81" s="65"/>
      <c r="N81" s="52">
        <v>0</v>
      </c>
      <c r="O81" s="53">
        <v>0</v>
      </c>
    </row>
    <row r="82" spans="1:12" s="1" customFormat="1" ht="12.75">
      <c r="A82" s="20"/>
      <c r="B82" s="21"/>
      <c r="C82" s="21"/>
      <c r="D82" s="21"/>
      <c r="E82" s="2"/>
      <c r="F82" s="200"/>
      <c r="G82" s="4"/>
      <c r="H82" s="20"/>
      <c r="I82" s="21"/>
      <c r="J82" s="21"/>
      <c r="K82" s="21"/>
      <c r="L82" s="2"/>
    </row>
    <row r="83" spans="1:12" s="1" customFormat="1" ht="13.5" thickBot="1">
      <c r="A83" s="20"/>
      <c r="B83" s="21"/>
      <c r="C83" s="21"/>
      <c r="D83" s="21"/>
      <c r="E83" s="2"/>
      <c r="F83" s="200"/>
      <c r="G83" s="4"/>
      <c r="H83" s="20"/>
      <c r="I83" s="21"/>
      <c r="J83" s="21"/>
      <c r="K83" s="21"/>
      <c r="L83" s="21" t="s">
        <v>307</v>
      </c>
    </row>
    <row r="84" spans="1:12" s="1" customFormat="1" ht="12.75">
      <c r="A84" s="855" t="s">
        <v>255</v>
      </c>
      <c r="B84" s="857" t="s">
        <v>438</v>
      </c>
      <c r="C84" s="859" t="s">
        <v>439</v>
      </c>
      <c r="D84" s="860"/>
      <c r="E84" s="860"/>
      <c r="F84" s="861"/>
      <c r="G84" s="862" t="s">
        <v>440</v>
      </c>
      <c r="H84" s="896" t="s">
        <v>230</v>
      </c>
      <c r="I84" s="898" t="s">
        <v>441</v>
      </c>
      <c r="J84" s="899"/>
      <c r="K84" s="899"/>
      <c r="L84" s="900"/>
    </row>
    <row r="85" spans="1:12" s="1" customFormat="1" ht="18.75" thickBot="1">
      <c r="A85" s="856"/>
      <c r="B85" s="858"/>
      <c r="C85" s="29" t="s">
        <v>321</v>
      </c>
      <c r="D85" s="30" t="s">
        <v>231</v>
      </c>
      <c r="E85" s="30" t="s">
        <v>232</v>
      </c>
      <c r="F85" s="31" t="s">
        <v>322</v>
      </c>
      <c r="G85" s="863"/>
      <c r="H85" s="897"/>
      <c r="I85" s="174" t="s">
        <v>442</v>
      </c>
      <c r="J85" s="175" t="s">
        <v>231</v>
      </c>
      <c r="K85" s="175" t="s">
        <v>232</v>
      </c>
      <c r="L85" s="176" t="s">
        <v>443</v>
      </c>
    </row>
    <row r="86" spans="1:12" s="1" customFormat="1" ht="12.75">
      <c r="A86" s="32" t="s">
        <v>233</v>
      </c>
      <c r="B86" s="33">
        <v>4047</v>
      </c>
      <c r="C86" s="34"/>
      <c r="D86" s="35" t="s">
        <v>234</v>
      </c>
      <c r="E86" s="35" t="s">
        <v>234</v>
      </c>
      <c r="F86" s="36"/>
      <c r="G86" s="37">
        <v>3053</v>
      </c>
      <c r="H86" s="171" t="s">
        <v>234</v>
      </c>
      <c r="I86" s="177" t="s">
        <v>234</v>
      </c>
      <c r="J86" s="178" t="s">
        <v>234</v>
      </c>
      <c r="K86" s="178" t="s">
        <v>234</v>
      </c>
      <c r="L86" s="179" t="s">
        <v>234</v>
      </c>
    </row>
    <row r="87" spans="1:12" s="1" customFormat="1" ht="12.75">
      <c r="A87" s="38" t="s">
        <v>235</v>
      </c>
      <c r="B87" s="39">
        <v>38</v>
      </c>
      <c r="C87" s="40">
        <v>75</v>
      </c>
      <c r="D87" s="41">
        <v>37</v>
      </c>
      <c r="E87" s="41">
        <v>0</v>
      </c>
      <c r="F87" s="42">
        <f>C87+D87-E87</f>
        <v>112</v>
      </c>
      <c r="G87" s="43"/>
      <c r="H87" s="172">
        <f>+G87-F87</f>
        <v>-112</v>
      </c>
      <c r="I87" s="40">
        <v>112</v>
      </c>
      <c r="J87" s="41">
        <v>47</v>
      </c>
      <c r="K87" s="41">
        <v>0</v>
      </c>
      <c r="L87" s="42">
        <f>I87+J87-K87</f>
        <v>159</v>
      </c>
    </row>
    <row r="88" spans="1:12" s="1" customFormat="1" ht="12.75">
      <c r="A88" s="38" t="s">
        <v>236</v>
      </c>
      <c r="B88" s="39">
        <v>158</v>
      </c>
      <c r="C88" s="40">
        <v>340</v>
      </c>
      <c r="D88" s="41">
        <v>384</v>
      </c>
      <c r="E88" s="41">
        <v>118</v>
      </c>
      <c r="F88" s="42">
        <f>C88+D88-E88</f>
        <v>606</v>
      </c>
      <c r="G88" s="43"/>
      <c r="H88" s="172">
        <f>+G88-F88</f>
        <v>-606</v>
      </c>
      <c r="I88" s="40">
        <v>606</v>
      </c>
      <c r="J88" s="41">
        <v>217</v>
      </c>
      <c r="K88" s="41">
        <v>120</v>
      </c>
      <c r="L88" s="42">
        <f>I88+J88-K88</f>
        <v>703</v>
      </c>
    </row>
    <row r="89" spans="1:12" s="1" customFormat="1" ht="12.75">
      <c r="A89" s="38" t="s">
        <v>256</v>
      </c>
      <c r="B89" s="39">
        <v>431</v>
      </c>
      <c r="C89" s="40">
        <v>2853</v>
      </c>
      <c r="D89" s="41">
        <v>2372</v>
      </c>
      <c r="E89" s="41">
        <v>1937</v>
      </c>
      <c r="F89" s="42">
        <f>C89+D89-E89</f>
        <v>3288</v>
      </c>
      <c r="G89" s="43"/>
      <c r="H89" s="172">
        <f>+G89-F89</f>
        <v>-3288</v>
      </c>
      <c r="I89" s="180">
        <v>3288</v>
      </c>
      <c r="J89" s="170">
        <v>2404</v>
      </c>
      <c r="K89" s="170">
        <v>2011</v>
      </c>
      <c r="L89" s="42">
        <f>I89+J89-K89</f>
        <v>3681</v>
      </c>
    </row>
    <row r="90" spans="1:12" s="1" customFormat="1" ht="12.75">
      <c r="A90" s="38" t="s">
        <v>237</v>
      </c>
      <c r="B90" s="39">
        <v>3418</v>
      </c>
      <c r="C90" s="50" t="s">
        <v>234</v>
      </c>
      <c r="D90" s="35" t="s">
        <v>234</v>
      </c>
      <c r="E90" s="51" t="s">
        <v>234</v>
      </c>
      <c r="F90" s="42"/>
      <c r="G90" s="43">
        <v>3053</v>
      </c>
      <c r="H90" s="50" t="s">
        <v>234</v>
      </c>
      <c r="I90" s="34"/>
      <c r="J90" s="35"/>
      <c r="K90" s="35"/>
      <c r="L90" s="181">
        <v>0</v>
      </c>
    </row>
    <row r="91" spans="1:12" s="1" customFormat="1" ht="13.5" thickBot="1">
      <c r="A91" s="44" t="s">
        <v>238</v>
      </c>
      <c r="B91" s="45">
        <v>223</v>
      </c>
      <c r="C91" s="46">
        <v>194</v>
      </c>
      <c r="D91" s="47">
        <v>365</v>
      </c>
      <c r="E91" s="47">
        <v>323</v>
      </c>
      <c r="F91" s="48">
        <f>C91+D91-E91</f>
        <v>236</v>
      </c>
      <c r="G91" s="49">
        <v>286</v>
      </c>
      <c r="H91" s="173">
        <f>+G91-F91</f>
        <v>50</v>
      </c>
      <c r="I91" s="46">
        <v>236</v>
      </c>
      <c r="J91" s="47">
        <v>370</v>
      </c>
      <c r="K91" s="47">
        <v>350</v>
      </c>
      <c r="L91" s="48">
        <f>I91+J91-K91</f>
        <v>256</v>
      </c>
    </row>
    <row r="92" spans="1:12" s="1" customFormat="1" ht="12.75">
      <c r="A92" s="20"/>
      <c r="B92" s="21"/>
      <c r="C92" s="21"/>
      <c r="D92" s="21"/>
      <c r="E92" s="2"/>
      <c r="F92" s="200"/>
      <c r="G92" s="4"/>
      <c r="H92" s="20"/>
      <c r="I92" s="21"/>
      <c r="J92" s="21"/>
      <c r="K92" s="21"/>
      <c r="L92" s="2"/>
    </row>
    <row r="93" spans="1:12" s="1" customFormat="1" ht="12.75">
      <c r="A93" s="20"/>
      <c r="B93" s="21"/>
      <c r="C93" s="21"/>
      <c r="D93" s="21"/>
      <c r="E93" s="2"/>
      <c r="F93" s="200"/>
      <c r="G93" s="4"/>
      <c r="H93" s="20"/>
      <c r="I93" s="21"/>
      <c r="J93" s="21"/>
      <c r="K93" s="21"/>
      <c r="L93" s="2"/>
    </row>
    <row r="94" spans="1:12" s="1" customFormat="1" ht="12.75">
      <c r="A94" s="20"/>
      <c r="B94" s="21"/>
      <c r="C94" s="21"/>
      <c r="D94" s="21"/>
      <c r="E94" s="2"/>
      <c r="F94" s="200"/>
      <c r="G94" s="4"/>
      <c r="H94" s="20"/>
      <c r="I94" s="21"/>
      <c r="J94" s="21"/>
      <c r="K94" s="21"/>
      <c r="L94" s="2"/>
    </row>
    <row r="95" spans="1:12" s="1" customFormat="1" ht="12.75">
      <c r="A95" s="20"/>
      <c r="B95" s="21"/>
      <c r="C95" s="21"/>
      <c r="D95" s="21"/>
      <c r="E95" s="2"/>
      <c r="F95" s="200"/>
      <c r="G95" s="4"/>
      <c r="H95" s="20"/>
      <c r="I95" s="21"/>
      <c r="J95" s="21"/>
      <c r="K95" s="21"/>
      <c r="L95" s="2"/>
    </row>
    <row r="96" spans="1:12" s="1" customFormat="1" ht="12.75">
      <c r="A96" s="20"/>
      <c r="B96" s="21"/>
      <c r="C96" s="21"/>
      <c r="D96" s="21"/>
      <c r="E96" s="2"/>
      <c r="F96" s="200"/>
      <c r="G96" s="4"/>
      <c r="H96" s="20"/>
      <c r="I96" s="21"/>
      <c r="J96" s="21"/>
      <c r="K96" s="21"/>
      <c r="L96" s="2"/>
    </row>
    <row r="97" spans="1:12" s="1" customFormat="1" ht="12.75">
      <c r="A97" s="20"/>
      <c r="B97" s="21"/>
      <c r="C97" s="21"/>
      <c r="D97" s="21"/>
      <c r="E97" s="2"/>
      <c r="F97" s="4"/>
      <c r="G97" s="4"/>
      <c r="H97" s="20"/>
      <c r="I97" s="21"/>
      <c r="J97" s="21"/>
      <c r="K97" s="21"/>
      <c r="L97" s="2"/>
    </row>
    <row r="98" spans="1:12" s="1" customFormat="1" ht="12.75">
      <c r="A98" s="20"/>
      <c r="B98" s="21"/>
      <c r="C98" s="21"/>
      <c r="D98" s="21"/>
      <c r="E98" s="2"/>
      <c r="F98" s="4"/>
      <c r="G98" s="4"/>
      <c r="H98" s="20"/>
      <c r="I98" s="21"/>
      <c r="J98" s="21"/>
      <c r="K98" s="21"/>
      <c r="L98" s="2"/>
    </row>
    <row r="99" spans="8:12" ht="13.5" thickBot="1">
      <c r="H99" s="21" t="s">
        <v>307</v>
      </c>
      <c r="L99" s="21" t="s">
        <v>307</v>
      </c>
    </row>
    <row r="100" spans="1:12" ht="13.5" thickBot="1">
      <c r="A100" s="823" t="s">
        <v>444</v>
      </c>
      <c r="B100" s="824" t="s">
        <v>168</v>
      </c>
      <c r="C100" s="810" t="s">
        <v>239</v>
      </c>
      <c r="D100" s="810"/>
      <c r="E100" s="810"/>
      <c r="F100" s="810"/>
      <c r="G100" s="810"/>
      <c r="H100" s="810"/>
      <c r="I100" s="24"/>
      <c r="J100" s="825" t="s">
        <v>208</v>
      </c>
      <c r="K100" s="825"/>
      <c r="L100" s="825"/>
    </row>
    <row r="101" spans="1:12" ht="13.5" thickBot="1">
      <c r="A101" s="823"/>
      <c r="B101" s="824"/>
      <c r="C101" s="126" t="s">
        <v>240</v>
      </c>
      <c r="D101" s="127" t="s">
        <v>241</v>
      </c>
      <c r="E101" s="127" t="s">
        <v>242</v>
      </c>
      <c r="F101" s="127" t="s">
        <v>243</v>
      </c>
      <c r="G101" s="128" t="s">
        <v>244</v>
      </c>
      <c r="H101" s="129" t="s">
        <v>228</v>
      </c>
      <c r="I101" s="24"/>
      <c r="J101" s="130"/>
      <c r="K101" s="131" t="s">
        <v>209</v>
      </c>
      <c r="L101" s="132" t="s">
        <v>210</v>
      </c>
    </row>
    <row r="102" spans="1:12" ht="12.75">
      <c r="A102" s="133" t="s">
        <v>245</v>
      </c>
      <c r="B102" s="134">
        <v>1432</v>
      </c>
      <c r="C102" s="135"/>
      <c r="D102" s="135"/>
      <c r="E102" s="135"/>
      <c r="F102" s="135"/>
      <c r="G102" s="134"/>
      <c r="H102" s="136">
        <f>SUM(C102:G102)</f>
        <v>0</v>
      </c>
      <c r="I102" s="24"/>
      <c r="J102" s="137">
        <v>2007</v>
      </c>
      <c r="K102" s="138">
        <v>18255</v>
      </c>
      <c r="L102" s="139">
        <f>+G30</f>
        <v>18255</v>
      </c>
    </row>
    <row r="103" spans="1:12" ht="13.5" thickBot="1">
      <c r="A103" s="140" t="s">
        <v>246</v>
      </c>
      <c r="B103" s="141">
        <v>3853</v>
      </c>
      <c r="C103" s="142"/>
      <c r="D103" s="142"/>
      <c r="E103" s="142"/>
      <c r="F103" s="142"/>
      <c r="G103" s="141"/>
      <c r="H103" s="143">
        <f>SUM(C103:G103)</f>
        <v>0</v>
      </c>
      <c r="I103" s="24"/>
      <c r="J103" s="144">
        <v>2008</v>
      </c>
      <c r="K103" s="145">
        <f>L30</f>
        <v>18481</v>
      </c>
      <c r="L103" s="146"/>
    </row>
    <row r="104" ht="12.75" customHeight="1"/>
    <row r="105" ht="13.5" thickBot="1">
      <c r="J105" s="208" t="s">
        <v>323</v>
      </c>
    </row>
    <row r="106" spans="1:10" ht="21" customHeight="1" thickBot="1">
      <c r="A106" s="823" t="s">
        <v>211</v>
      </c>
      <c r="B106" s="826" t="s">
        <v>212</v>
      </c>
      <c r="C106" s="826"/>
      <c r="D106" s="826"/>
      <c r="E106" s="827" t="s">
        <v>274</v>
      </c>
      <c r="F106" s="827"/>
      <c r="G106" s="827"/>
      <c r="H106" s="828" t="s">
        <v>213</v>
      </c>
      <c r="I106" s="828"/>
      <c r="J106" s="828"/>
    </row>
    <row r="107" spans="1:10" ht="12.75">
      <c r="A107" s="823"/>
      <c r="B107" s="147">
        <v>2006</v>
      </c>
      <c r="C107" s="147">
        <v>2007</v>
      </c>
      <c r="D107" s="147" t="s">
        <v>214</v>
      </c>
      <c r="E107" s="147">
        <v>2006</v>
      </c>
      <c r="F107" s="147">
        <v>2007</v>
      </c>
      <c r="G107" s="148" t="s">
        <v>214</v>
      </c>
      <c r="H107" s="149">
        <v>2006</v>
      </c>
      <c r="I107" s="147">
        <v>2007</v>
      </c>
      <c r="J107" s="148" t="s">
        <v>214</v>
      </c>
    </row>
    <row r="108" spans="1:10" ht="18.75">
      <c r="A108" s="150" t="s">
        <v>215</v>
      </c>
      <c r="B108" s="151">
        <v>6</v>
      </c>
      <c r="C108" s="151">
        <v>6</v>
      </c>
      <c r="D108" s="151">
        <f aca="true" t="shared" si="14" ref="D108:D118">+C108-B108</f>
        <v>0</v>
      </c>
      <c r="E108" s="151">
        <v>6</v>
      </c>
      <c r="F108" s="151">
        <v>6</v>
      </c>
      <c r="G108" s="152">
        <f aca="true" t="shared" si="15" ref="G108:G118">+F108-E108</f>
        <v>0</v>
      </c>
      <c r="H108" s="153">
        <v>22167</v>
      </c>
      <c r="I108" s="154">
        <v>22672</v>
      </c>
      <c r="J108" s="155">
        <f aca="true" t="shared" si="16" ref="J108:J118">+I108-H108</f>
        <v>505</v>
      </c>
    </row>
    <row r="109" spans="1:10" ht="12.75">
      <c r="A109" s="150" t="s">
        <v>248</v>
      </c>
      <c r="B109" s="151">
        <v>15</v>
      </c>
      <c r="C109" s="151">
        <v>16</v>
      </c>
      <c r="D109" s="151">
        <f t="shared" si="14"/>
        <v>1</v>
      </c>
      <c r="E109" s="151">
        <v>15</v>
      </c>
      <c r="F109" s="151">
        <v>16</v>
      </c>
      <c r="G109" s="152">
        <f t="shared" si="15"/>
        <v>1</v>
      </c>
      <c r="H109" s="153">
        <v>20521</v>
      </c>
      <c r="I109" s="156">
        <v>20821</v>
      </c>
      <c r="J109" s="155">
        <f t="shared" si="16"/>
        <v>300</v>
      </c>
    </row>
    <row r="110" spans="1:10" ht="12.75">
      <c r="A110" s="150" t="s">
        <v>216</v>
      </c>
      <c r="B110" s="151"/>
      <c r="C110" s="151"/>
      <c r="D110" s="151">
        <f t="shared" si="14"/>
        <v>0</v>
      </c>
      <c r="E110" s="151"/>
      <c r="F110" s="151"/>
      <c r="G110" s="152">
        <f t="shared" si="15"/>
        <v>0</v>
      </c>
      <c r="H110" s="153"/>
      <c r="I110" s="156"/>
      <c r="J110" s="155">
        <f t="shared" si="16"/>
        <v>0</v>
      </c>
    </row>
    <row r="111" spans="1:10" ht="12.75">
      <c r="A111" s="150" t="s">
        <v>217</v>
      </c>
      <c r="B111" s="151"/>
      <c r="C111" s="151"/>
      <c r="D111" s="151">
        <f t="shared" si="14"/>
        <v>0</v>
      </c>
      <c r="E111" s="151"/>
      <c r="F111" s="151"/>
      <c r="G111" s="152">
        <f t="shared" si="15"/>
        <v>0</v>
      </c>
      <c r="H111" s="153"/>
      <c r="I111" s="156"/>
      <c r="J111" s="155">
        <f t="shared" si="16"/>
        <v>0</v>
      </c>
    </row>
    <row r="112" spans="1:10" ht="12.75">
      <c r="A112" s="150" t="s">
        <v>299</v>
      </c>
      <c r="B112" s="151"/>
      <c r="C112" s="151"/>
      <c r="D112" s="151">
        <f t="shared" si="14"/>
        <v>0</v>
      </c>
      <c r="E112" s="151"/>
      <c r="F112" s="151"/>
      <c r="G112" s="152">
        <f t="shared" si="15"/>
        <v>0</v>
      </c>
      <c r="H112" s="153"/>
      <c r="I112" s="156"/>
      <c r="J112" s="155">
        <f t="shared" si="16"/>
        <v>0</v>
      </c>
    </row>
    <row r="113" spans="1:10" ht="12.75">
      <c r="A113" s="150" t="s">
        <v>297</v>
      </c>
      <c r="B113" s="151">
        <v>1</v>
      </c>
      <c r="C113" s="151">
        <v>1</v>
      </c>
      <c r="D113" s="151">
        <f t="shared" si="14"/>
        <v>0</v>
      </c>
      <c r="E113" s="151">
        <v>1</v>
      </c>
      <c r="F113" s="151">
        <v>1</v>
      </c>
      <c r="G113" s="152">
        <f t="shared" si="15"/>
        <v>0</v>
      </c>
      <c r="H113" s="153">
        <v>20200</v>
      </c>
      <c r="I113" s="156">
        <v>21482</v>
      </c>
      <c r="J113" s="155">
        <f t="shared" si="16"/>
        <v>1282</v>
      </c>
    </row>
    <row r="114" spans="1:10" ht="12.75">
      <c r="A114" s="150" t="s">
        <v>325</v>
      </c>
      <c r="B114" s="151"/>
      <c r="C114" s="151"/>
      <c r="D114" s="151">
        <f t="shared" si="14"/>
        <v>0</v>
      </c>
      <c r="E114" s="151"/>
      <c r="F114" s="151"/>
      <c r="G114" s="152">
        <f t="shared" si="15"/>
        <v>0</v>
      </c>
      <c r="H114" s="153"/>
      <c r="I114" s="156"/>
      <c r="J114" s="155">
        <f t="shared" si="16"/>
        <v>0</v>
      </c>
    </row>
    <row r="115" spans="1:10" ht="12.75">
      <c r="A115" s="150" t="s">
        <v>219</v>
      </c>
      <c r="B115" s="151">
        <v>36</v>
      </c>
      <c r="C115" s="151">
        <v>36</v>
      </c>
      <c r="D115" s="151">
        <f t="shared" si="14"/>
        <v>0</v>
      </c>
      <c r="E115" s="151">
        <v>36</v>
      </c>
      <c r="F115" s="151">
        <v>36</v>
      </c>
      <c r="G115" s="152">
        <f t="shared" si="15"/>
        <v>0</v>
      </c>
      <c r="H115" s="153">
        <v>12302</v>
      </c>
      <c r="I115" s="156">
        <v>14421</v>
      </c>
      <c r="J115" s="155">
        <f t="shared" si="16"/>
        <v>2119</v>
      </c>
    </row>
    <row r="116" spans="1:10" ht="12.75">
      <c r="A116" s="150" t="s">
        <v>220</v>
      </c>
      <c r="B116" s="151">
        <v>2</v>
      </c>
      <c r="C116" s="151">
        <v>3</v>
      </c>
      <c r="D116" s="151">
        <f t="shared" si="14"/>
        <v>1</v>
      </c>
      <c r="E116" s="151">
        <v>2</v>
      </c>
      <c r="F116" s="151">
        <v>3</v>
      </c>
      <c r="G116" s="152">
        <f t="shared" si="15"/>
        <v>1</v>
      </c>
      <c r="H116" s="153">
        <v>18421</v>
      </c>
      <c r="I116" s="156">
        <v>20017</v>
      </c>
      <c r="J116" s="155">
        <f t="shared" si="16"/>
        <v>1596</v>
      </c>
    </row>
    <row r="117" spans="1:10" ht="12.75">
      <c r="A117" s="150" t="s">
        <v>221</v>
      </c>
      <c r="B117" s="151">
        <v>40</v>
      </c>
      <c r="C117" s="151">
        <v>40</v>
      </c>
      <c r="D117" s="151">
        <f t="shared" si="14"/>
        <v>0</v>
      </c>
      <c r="E117" s="151">
        <v>40</v>
      </c>
      <c r="F117" s="151">
        <v>40</v>
      </c>
      <c r="G117" s="152">
        <f t="shared" si="15"/>
        <v>0</v>
      </c>
      <c r="H117" s="153">
        <v>10820</v>
      </c>
      <c r="I117" s="156">
        <v>11330</v>
      </c>
      <c r="J117" s="155">
        <f t="shared" si="16"/>
        <v>510</v>
      </c>
    </row>
    <row r="118" spans="1:10" ht="13.5" thickBot="1">
      <c r="A118" s="157" t="s">
        <v>168</v>
      </c>
      <c r="B118" s="158">
        <v>100</v>
      </c>
      <c r="C118" s="158">
        <v>102</v>
      </c>
      <c r="D118" s="158">
        <f t="shared" si="14"/>
        <v>2</v>
      </c>
      <c r="E118" s="158">
        <v>100</v>
      </c>
      <c r="F118" s="158">
        <v>102</v>
      </c>
      <c r="G118" s="159">
        <f t="shared" si="15"/>
        <v>2</v>
      </c>
      <c r="H118" s="160">
        <v>104431</v>
      </c>
      <c r="I118" s="161">
        <v>110743</v>
      </c>
      <c r="J118" s="162">
        <f t="shared" si="16"/>
        <v>6312</v>
      </c>
    </row>
    <row r="119" ht="13.5" thickBot="1"/>
    <row r="120" spans="1:16" ht="12.75">
      <c r="A120" s="829" t="s">
        <v>222</v>
      </c>
      <c r="B120" s="829"/>
      <c r="C120" s="829"/>
      <c r="D120" s="24"/>
      <c r="E120" s="829" t="s">
        <v>223</v>
      </c>
      <c r="F120" s="829"/>
      <c r="G120" s="829"/>
      <c r="H120"/>
      <c r="I120"/>
      <c r="J120"/>
      <c r="K120"/>
      <c r="L120"/>
      <c r="M120"/>
      <c r="N120"/>
      <c r="O120"/>
      <c r="P120"/>
    </row>
    <row r="121" spans="1:16" ht="13.5" thickBot="1">
      <c r="A121" s="130" t="s">
        <v>224</v>
      </c>
      <c r="B121" s="131" t="s">
        <v>225</v>
      </c>
      <c r="C121" s="132" t="s">
        <v>210</v>
      </c>
      <c r="D121" s="24"/>
      <c r="E121" s="130"/>
      <c r="F121" s="832" t="s">
        <v>226</v>
      </c>
      <c r="G121" s="832"/>
      <c r="H121"/>
      <c r="I121"/>
      <c r="J121"/>
      <c r="K121"/>
      <c r="L121"/>
      <c r="M121"/>
      <c r="N121"/>
      <c r="O121"/>
      <c r="P121"/>
    </row>
    <row r="122" spans="1:16" ht="12.75">
      <c r="A122" s="137">
        <v>2007</v>
      </c>
      <c r="B122" s="138">
        <v>97</v>
      </c>
      <c r="C122" s="139">
        <v>102</v>
      </c>
      <c r="D122" s="24"/>
      <c r="E122" s="137">
        <v>2007</v>
      </c>
      <c r="F122" s="830">
        <v>181</v>
      </c>
      <c r="G122" s="830"/>
      <c r="H122"/>
      <c r="I122"/>
      <c r="J122"/>
      <c r="K122"/>
      <c r="L122"/>
      <c r="M122"/>
      <c r="N122"/>
      <c r="O122"/>
      <c r="P122"/>
    </row>
    <row r="123" spans="1:16" ht="13.5" thickBot="1">
      <c r="A123" s="144">
        <v>2008</v>
      </c>
      <c r="B123" s="145">
        <v>98</v>
      </c>
      <c r="C123" s="146"/>
      <c r="D123" s="24"/>
      <c r="E123" s="144">
        <v>2008</v>
      </c>
      <c r="F123" s="831">
        <v>172</v>
      </c>
      <c r="G123" s="831"/>
      <c r="H123"/>
      <c r="I123"/>
      <c r="J123"/>
      <c r="K123"/>
      <c r="L123"/>
      <c r="M123"/>
      <c r="N123"/>
      <c r="O123"/>
      <c r="P123"/>
    </row>
  </sheetData>
  <mergeCells count="123">
    <mergeCell ref="C72:D72"/>
    <mergeCell ref="F72:G72"/>
    <mergeCell ref="I72:K72"/>
    <mergeCell ref="F73:G73"/>
    <mergeCell ref="C70:D70"/>
    <mergeCell ref="F70:G70"/>
    <mergeCell ref="I70:K70"/>
    <mergeCell ref="C71:D71"/>
    <mergeCell ref="F71:G71"/>
    <mergeCell ref="I71:K71"/>
    <mergeCell ref="C68:D68"/>
    <mergeCell ref="F68:G68"/>
    <mergeCell ref="I68:K68"/>
    <mergeCell ref="C69:D69"/>
    <mergeCell ref="F69:G69"/>
    <mergeCell ref="I69:K69"/>
    <mergeCell ref="A66:E66"/>
    <mergeCell ref="F66:L66"/>
    <mergeCell ref="C67:D67"/>
    <mergeCell ref="F67:G67"/>
    <mergeCell ref="I67:K67"/>
    <mergeCell ref="F123:G123"/>
    <mergeCell ref="A120:C120"/>
    <mergeCell ref="E120:G120"/>
    <mergeCell ref="F121:G121"/>
    <mergeCell ref="F122:G122"/>
    <mergeCell ref="A106:A107"/>
    <mergeCell ref="B106:D106"/>
    <mergeCell ref="E106:G106"/>
    <mergeCell ref="H106:J106"/>
    <mergeCell ref="A100:A101"/>
    <mergeCell ref="B100:B101"/>
    <mergeCell ref="C100:H100"/>
    <mergeCell ref="J100:L100"/>
    <mergeCell ref="L78:M78"/>
    <mergeCell ref="C79:C80"/>
    <mergeCell ref="D79:I79"/>
    <mergeCell ref="C84:F84"/>
    <mergeCell ref="G84:G85"/>
    <mergeCell ref="H84:H85"/>
    <mergeCell ref="I84:L84"/>
    <mergeCell ref="A78:A80"/>
    <mergeCell ref="B78:B80"/>
    <mergeCell ref="C78:I78"/>
    <mergeCell ref="J78:J80"/>
    <mergeCell ref="A62:B62"/>
    <mergeCell ref="D62:F62"/>
    <mergeCell ref="H62:K62"/>
    <mergeCell ref="A63:B63"/>
    <mergeCell ref="D63:F63"/>
    <mergeCell ref="H63:K63"/>
    <mergeCell ref="A60:B60"/>
    <mergeCell ref="D60:F60"/>
    <mergeCell ref="H60:K60"/>
    <mergeCell ref="A61:B61"/>
    <mergeCell ref="D61:F61"/>
    <mergeCell ref="H61:K61"/>
    <mergeCell ref="A58:B58"/>
    <mergeCell ref="D58:F58"/>
    <mergeCell ref="H58:K58"/>
    <mergeCell ref="A59:B59"/>
    <mergeCell ref="D59:F59"/>
    <mergeCell ref="H59:K59"/>
    <mergeCell ref="A56:B56"/>
    <mergeCell ref="D56:F56"/>
    <mergeCell ref="H56:K56"/>
    <mergeCell ref="A57:B57"/>
    <mergeCell ref="D57:F57"/>
    <mergeCell ref="H57:K57"/>
    <mergeCell ref="G53:G54"/>
    <mergeCell ref="H53:K54"/>
    <mergeCell ref="L53:L54"/>
    <mergeCell ref="A55:B55"/>
    <mergeCell ref="D55:F55"/>
    <mergeCell ref="H55:K55"/>
    <mergeCell ref="A53:B54"/>
    <mergeCell ref="C53:C54"/>
    <mergeCell ref="D53:F54"/>
    <mergeCell ref="A51:B51"/>
    <mergeCell ref="L42:L43"/>
    <mergeCell ref="D44:F44"/>
    <mergeCell ref="D45:F45"/>
    <mergeCell ref="D51:F51"/>
    <mergeCell ref="A44:B44"/>
    <mergeCell ref="H44:K44"/>
    <mergeCell ref="A42:B43"/>
    <mergeCell ref="C42:C43"/>
    <mergeCell ref="D42:F43"/>
    <mergeCell ref="A1:N1"/>
    <mergeCell ref="J39:L39"/>
    <mergeCell ref="B40:D40"/>
    <mergeCell ref="E40:G40"/>
    <mergeCell ref="B4:D4"/>
    <mergeCell ref="E4:G4"/>
    <mergeCell ref="J4:L4"/>
    <mergeCell ref="B39:D39"/>
    <mergeCell ref="E39:G39"/>
    <mergeCell ref="G42:G43"/>
    <mergeCell ref="H42:K43"/>
    <mergeCell ref="A45:B45"/>
    <mergeCell ref="H45:K45"/>
    <mergeCell ref="A46:B46"/>
    <mergeCell ref="H46:K46"/>
    <mergeCell ref="D46:F46"/>
    <mergeCell ref="H49:K49"/>
    <mergeCell ref="D49:F49"/>
    <mergeCell ref="D50:F50"/>
    <mergeCell ref="A47:B47"/>
    <mergeCell ref="H47:K47"/>
    <mergeCell ref="A48:B48"/>
    <mergeCell ref="H48:K48"/>
    <mergeCell ref="D47:F47"/>
    <mergeCell ref="D48:F48"/>
    <mergeCell ref="A84:A85"/>
    <mergeCell ref="B84:B85"/>
    <mergeCell ref="H51:K51"/>
    <mergeCell ref="A3:A6"/>
    <mergeCell ref="B3:N3"/>
    <mergeCell ref="H4:I4"/>
    <mergeCell ref="M4:N4"/>
    <mergeCell ref="A50:B50"/>
    <mergeCell ref="H50:K50"/>
    <mergeCell ref="A49:B49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SheetLayoutView="100" workbookViewId="0" topLeftCell="A1">
      <selection activeCell="J16" sqref="J16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13.375" style="7" customWidth="1"/>
    <col min="12" max="12" width="8.625" style="7" customWidth="1"/>
    <col min="13" max="16" width="9.125" style="7" customWidth="1"/>
  </cols>
  <sheetData>
    <row r="1" spans="1:14" ht="15.75">
      <c r="A1" s="875"/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307</v>
      </c>
    </row>
    <row r="3" spans="1:14" ht="24" customHeight="1" thickBot="1">
      <c r="A3" s="876" t="s">
        <v>165</v>
      </c>
      <c r="B3" s="792" t="s">
        <v>125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4" ht="14.25" thickBot="1" thickTop="1">
      <c r="A4" s="876"/>
      <c r="B4" s="790" t="s">
        <v>308</v>
      </c>
      <c r="C4" s="790"/>
      <c r="D4" s="790"/>
      <c r="E4" s="790" t="s">
        <v>417</v>
      </c>
      <c r="F4" s="790"/>
      <c r="G4" s="790"/>
      <c r="H4" s="793" t="s">
        <v>309</v>
      </c>
      <c r="I4" s="793"/>
      <c r="J4" s="790" t="s">
        <v>418</v>
      </c>
      <c r="K4" s="790"/>
      <c r="L4" s="790"/>
      <c r="M4" s="790" t="s">
        <v>419</v>
      </c>
      <c r="N4" s="790"/>
    </row>
    <row r="5" spans="1:14" ht="14.25" thickBot="1" thickTop="1">
      <c r="A5" s="876"/>
      <c r="B5" s="66" t="s">
        <v>166</v>
      </c>
      <c r="C5" s="67" t="s">
        <v>167</v>
      </c>
      <c r="D5" s="68" t="s">
        <v>168</v>
      </c>
      <c r="E5" s="66" t="s">
        <v>166</v>
      </c>
      <c r="F5" s="67" t="s">
        <v>167</v>
      </c>
      <c r="G5" s="68" t="s">
        <v>168</v>
      </c>
      <c r="H5" s="69" t="s">
        <v>168</v>
      </c>
      <c r="I5" s="69" t="s">
        <v>169</v>
      </c>
      <c r="J5" s="70" t="s">
        <v>166</v>
      </c>
      <c r="K5" s="67" t="s">
        <v>167</v>
      </c>
      <c r="L5" s="68" t="s">
        <v>168</v>
      </c>
      <c r="M5" s="69" t="s">
        <v>168</v>
      </c>
      <c r="N5" s="68" t="s">
        <v>169</v>
      </c>
    </row>
    <row r="6" spans="1:14" ht="14.25" thickBot="1" thickTop="1">
      <c r="A6" s="791"/>
      <c r="B6" s="183" t="s">
        <v>170</v>
      </c>
      <c r="C6" s="184" t="s">
        <v>170</v>
      </c>
      <c r="D6" s="185"/>
      <c r="E6" s="183" t="s">
        <v>170</v>
      </c>
      <c r="F6" s="184" t="s">
        <v>170</v>
      </c>
      <c r="G6" s="185"/>
      <c r="H6" s="189" t="s">
        <v>171</v>
      </c>
      <c r="I6" s="189" t="s">
        <v>172</v>
      </c>
      <c r="J6" s="197" t="s">
        <v>170</v>
      </c>
      <c r="K6" s="184" t="s">
        <v>170</v>
      </c>
      <c r="L6" s="185"/>
      <c r="M6" s="189" t="s">
        <v>171</v>
      </c>
      <c r="N6" s="185" t="s">
        <v>172</v>
      </c>
    </row>
    <row r="7" spans="1:14" ht="13.5" customHeight="1">
      <c r="A7" s="274" t="s">
        <v>173</v>
      </c>
      <c r="B7" s="163"/>
      <c r="C7" s="164"/>
      <c r="D7" s="167">
        <f aca="true" t="shared" si="0" ref="D7:D18">SUM(B7:C7)</f>
        <v>0</v>
      </c>
      <c r="E7" s="163"/>
      <c r="F7" s="164"/>
      <c r="G7" s="167">
        <f aca="true" t="shared" si="1" ref="G7:G18">SUM(E7:F7)</f>
        <v>0</v>
      </c>
      <c r="H7" s="191">
        <f aca="true" t="shared" si="2" ref="H7:H38">+G7-D7</f>
        <v>0</v>
      </c>
      <c r="I7" s="195"/>
      <c r="J7" s="163"/>
      <c r="K7" s="164"/>
      <c r="L7" s="167">
        <f aca="true" t="shared" si="3" ref="L7:L18">SUM(J7:K7)</f>
        <v>0</v>
      </c>
      <c r="M7" s="191">
        <f aca="true" t="shared" si="4" ref="M7:M38">+L7-G7</f>
        <v>0</v>
      </c>
      <c r="N7" s="192"/>
    </row>
    <row r="8" spans="1:14" ht="13.5" customHeight="1">
      <c r="A8" s="275" t="s">
        <v>174</v>
      </c>
      <c r="B8" s="14">
        <v>8464</v>
      </c>
      <c r="C8" s="13"/>
      <c r="D8" s="168">
        <f t="shared" si="0"/>
        <v>8464</v>
      </c>
      <c r="E8" s="14">
        <v>12667</v>
      </c>
      <c r="F8" s="13">
        <v>451</v>
      </c>
      <c r="G8" s="168">
        <f t="shared" si="1"/>
        <v>13118</v>
      </c>
      <c r="H8" s="193">
        <f t="shared" si="2"/>
        <v>4654</v>
      </c>
      <c r="I8" s="196">
        <f aca="true" t="shared" si="5" ref="I8:I22">+G8/D8</f>
        <v>1.5498582230623819</v>
      </c>
      <c r="J8" s="14">
        <f>13487+63</f>
        <v>13550</v>
      </c>
      <c r="K8" s="13">
        <v>550</v>
      </c>
      <c r="L8" s="168">
        <f t="shared" si="3"/>
        <v>14100</v>
      </c>
      <c r="M8" s="193">
        <f t="shared" si="4"/>
        <v>982</v>
      </c>
      <c r="N8" s="194">
        <f aca="true" t="shared" si="6" ref="N8:N22">+L8/G8</f>
        <v>1.07485897240433</v>
      </c>
    </row>
    <row r="9" spans="1:14" ht="13.5" customHeight="1">
      <c r="A9" s="275" t="s">
        <v>175</v>
      </c>
      <c r="B9" s="14"/>
      <c r="C9" s="13"/>
      <c r="D9" s="168">
        <f t="shared" si="0"/>
        <v>0</v>
      </c>
      <c r="E9" s="14"/>
      <c r="F9" s="13"/>
      <c r="G9" s="168">
        <f t="shared" si="1"/>
        <v>0</v>
      </c>
      <c r="H9" s="193">
        <f t="shared" si="2"/>
        <v>0</v>
      </c>
      <c r="I9" s="196"/>
      <c r="J9" s="14"/>
      <c r="K9" s="13"/>
      <c r="L9" s="168">
        <f t="shared" si="3"/>
        <v>0</v>
      </c>
      <c r="M9" s="193">
        <f t="shared" si="4"/>
        <v>0</v>
      </c>
      <c r="N9" s="194"/>
    </row>
    <row r="10" spans="1:14" ht="13.5" customHeight="1">
      <c r="A10" s="275" t="s">
        <v>176</v>
      </c>
      <c r="B10" s="14"/>
      <c r="C10" s="13"/>
      <c r="D10" s="168">
        <f t="shared" si="0"/>
        <v>0</v>
      </c>
      <c r="E10" s="14"/>
      <c r="F10" s="13"/>
      <c r="G10" s="168">
        <f t="shared" si="1"/>
        <v>0</v>
      </c>
      <c r="H10" s="193">
        <f t="shared" si="2"/>
        <v>0</v>
      </c>
      <c r="I10" s="196"/>
      <c r="J10" s="14"/>
      <c r="K10" s="13"/>
      <c r="L10" s="168">
        <f t="shared" si="3"/>
        <v>0</v>
      </c>
      <c r="M10" s="193">
        <f t="shared" si="4"/>
        <v>0</v>
      </c>
      <c r="N10" s="194"/>
    </row>
    <row r="11" spans="1:14" ht="13.5" customHeight="1">
      <c r="A11" s="275" t="s">
        <v>177</v>
      </c>
      <c r="B11" s="14">
        <v>149</v>
      </c>
      <c r="C11" s="13"/>
      <c r="D11" s="168">
        <f t="shared" si="0"/>
        <v>149</v>
      </c>
      <c r="E11" s="14">
        <v>63</v>
      </c>
      <c r="F11" s="13">
        <v>114</v>
      </c>
      <c r="G11" s="168">
        <f t="shared" si="1"/>
        <v>177</v>
      </c>
      <c r="H11" s="193">
        <f t="shared" si="2"/>
        <v>28</v>
      </c>
      <c r="I11" s="196">
        <f t="shared" si="5"/>
        <v>1.1879194630872483</v>
      </c>
      <c r="J11" s="14">
        <v>80</v>
      </c>
      <c r="K11" s="13">
        <v>150</v>
      </c>
      <c r="L11" s="168">
        <f t="shared" si="3"/>
        <v>230</v>
      </c>
      <c r="M11" s="193">
        <f t="shared" si="4"/>
        <v>53</v>
      </c>
      <c r="N11" s="194">
        <f t="shared" si="6"/>
        <v>1.2994350282485876</v>
      </c>
    </row>
    <row r="12" spans="1:15" ht="13.5" customHeight="1">
      <c r="A12" s="276" t="s">
        <v>178</v>
      </c>
      <c r="B12" s="14"/>
      <c r="C12" s="13"/>
      <c r="D12" s="168">
        <f t="shared" si="0"/>
        <v>0</v>
      </c>
      <c r="E12" s="14"/>
      <c r="F12" s="13"/>
      <c r="G12" s="168">
        <f t="shared" si="1"/>
        <v>0</v>
      </c>
      <c r="H12" s="193">
        <f t="shared" si="2"/>
        <v>0</v>
      </c>
      <c r="I12" s="196"/>
      <c r="J12" s="14">
        <v>80</v>
      </c>
      <c r="K12" s="13"/>
      <c r="L12" s="168">
        <f t="shared" si="3"/>
        <v>80</v>
      </c>
      <c r="M12" s="193">
        <f t="shared" si="4"/>
        <v>80</v>
      </c>
      <c r="N12" s="194"/>
      <c r="O12" s="16"/>
    </row>
    <row r="13" spans="1:14" ht="13.5" customHeight="1">
      <c r="A13" s="276" t="s">
        <v>179</v>
      </c>
      <c r="B13" s="14"/>
      <c r="C13" s="13"/>
      <c r="D13" s="168">
        <f t="shared" si="0"/>
        <v>0</v>
      </c>
      <c r="E13" s="14"/>
      <c r="F13" s="13"/>
      <c r="G13" s="168">
        <f t="shared" si="1"/>
        <v>0</v>
      </c>
      <c r="H13" s="193">
        <f t="shared" si="2"/>
        <v>0</v>
      </c>
      <c r="I13" s="196"/>
      <c r="J13" s="14"/>
      <c r="K13" s="13"/>
      <c r="L13" s="168">
        <f t="shared" si="3"/>
        <v>0</v>
      </c>
      <c r="M13" s="193">
        <f t="shared" si="4"/>
        <v>0</v>
      </c>
      <c r="N13" s="194"/>
    </row>
    <row r="14" spans="1:14" ht="23.25" customHeight="1">
      <c r="A14" s="276" t="s">
        <v>180</v>
      </c>
      <c r="B14" s="14"/>
      <c r="C14" s="13"/>
      <c r="D14" s="168">
        <f t="shared" si="0"/>
        <v>0</v>
      </c>
      <c r="E14" s="14"/>
      <c r="F14" s="13"/>
      <c r="G14" s="168">
        <f t="shared" si="1"/>
        <v>0</v>
      </c>
      <c r="H14" s="193">
        <f t="shared" si="2"/>
        <v>0</v>
      </c>
      <c r="I14" s="196"/>
      <c r="J14" s="14"/>
      <c r="K14" s="13"/>
      <c r="L14" s="168">
        <f t="shared" si="3"/>
        <v>0</v>
      </c>
      <c r="M14" s="193">
        <f t="shared" si="4"/>
        <v>0</v>
      </c>
      <c r="N14" s="194"/>
    </row>
    <row r="15" spans="1:14" ht="13.5" customHeight="1">
      <c r="A15" s="275" t="s">
        <v>181</v>
      </c>
      <c r="B15" s="14">
        <v>12263</v>
      </c>
      <c r="C15" s="13"/>
      <c r="D15" s="168">
        <f t="shared" si="0"/>
        <v>12263</v>
      </c>
      <c r="E15" s="14">
        <v>9062</v>
      </c>
      <c r="F15" s="13"/>
      <c r="G15" s="168">
        <f t="shared" si="1"/>
        <v>9062</v>
      </c>
      <c r="H15" s="193">
        <f t="shared" si="2"/>
        <v>-3201</v>
      </c>
      <c r="I15" s="196">
        <f t="shared" si="5"/>
        <v>0.738970888037185</v>
      </c>
      <c r="J15" s="15">
        <v>7247</v>
      </c>
      <c r="K15" s="279"/>
      <c r="L15" s="168">
        <f t="shared" si="3"/>
        <v>7247</v>
      </c>
      <c r="M15" s="193">
        <f t="shared" si="4"/>
        <v>-1815</v>
      </c>
      <c r="N15" s="194">
        <f t="shared" si="6"/>
        <v>0.7997130876186272</v>
      </c>
    </row>
    <row r="16" spans="1:14" ht="13.5" customHeight="1">
      <c r="A16" s="277" t="s">
        <v>310</v>
      </c>
      <c r="B16" s="14">
        <v>1479</v>
      </c>
      <c r="C16" s="13"/>
      <c r="D16" s="168">
        <f t="shared" si="0"/>
        <v>1479</v>
      </c>
      <c r="E16" s="14">
        <v>63</v>
      </c>
      <c r="F16" s="13"/>
      <c r="G16" s="168">
        <f t="shared" si="1"/>
        <v>63</v>
      </c>
      <c r="H16" s="193">
        <f t="shared" si="2"/>
        <v>-1416</v>
      </c>
      <c r="I16" s="196">
        <f t="shared" si="5"/>
        <v>0.04259634888438134</v>
      </c>
      <c r="J16" s="15">
        <v>427</v>
      </c>
      <c r="K16" s="13"/>
      <c r="L16" s="168">
        <f t="shared" si="3"/>
        <v>427</v>
      </c>
      <c r="M16" s="193">
        <f t="shared" si="4"/>
        <v>364</v>
      </c>
      <c r="N16" s="194">
        <f t="shared" si="6"/>
        <v>6.777777777777778</v>
      </c>
    </row>
    <row r="17" spans="1:14" ht="13.5" customHeight="1">
      <c r="A17" s="277" t="s">
        <v>311</v>
      </c>
      <c r="B17" s="14">
        <v>10784</v>
      </c>
      <c r="C17" s="13"/>
      <c r="D17" s="168">
        <f t="shared" si="0"/>
        <v>10784</v>
      </c>
      <c r="E17" s="14">
        <v>8999</v>
      </c>
      <c r="F17" s="13"/>
      <c r="G17" s="168">
        <f t="shared" si="1"/>
        <v>8999</v>
      </c>
      <c r="H17" s="193">
        <f t="shared" si="2"/>
        <v>-1785</v>
      </c>
      <c r="I17" s="196"/>
      <c r="J17" s="15">
        <v>6820</v>
      </c>
      <c r="K17" s="13"/>
      <c r="L17" s="168">
        <f t="shared" si="3"/>
        <v>6820</v>
      </c>
      <c r="M17" s="193">
        <f t="shared" si="4"/>
        <v>-2179</v>
      </c>
      <c r="N17" s="194">
        <f t="shared" si="6"/>
        <v>0.7578619846649628</v>
      </c>
    </row>
    <row r="18" spans="1:14" ht="13.5" customHeight="1" thickBot="1">
      <c r="A18" s="278" t="s">
        <v>416</v>
      </c>
      <c r="B18" s="165"/>
      <c r="C18" s="166"/>
      <c r="D18" s="168">
        <f t="shared" si="0"/>
        <v>0</v>
      </c>
      <c r="E18" s="165"/>
      <c r="F18" s="166"/>
      <c r="G18" s="168">
        <f t="shared" si="1"/>
        <v>0</v>
      </c>
      <c r="H18" s="271"/>
      <c r="I18" s="273"/>
      <c r="J18" s="169"/>
      <c r="K18" s="166"/>
      <c r="L18" s="168">
        <f t="shared" si="3"/>
        <v>0</v>
      </c>
      <c r="M18" s="271"/>
      <c r="N18" s="272"/>
    </row>
    <row r="19" spans="1:14" ht="13.5" customHeight="1" thickBot="1">
      <c r="A19" s="182" t="s">
        <v>182</v>
      </c>
      <c r="B19" s="186">
        <f aca="true" t="shared" si="7" ref="B19:G19">SUM(B7+B8+B9+B10+B11+B13+B15)</f>
        <v>20876</v>
      </c>
      <c r="C19" s="187">
        <f t="shared" si="7"/>
        <v>0</v>
      </c>
      <c r="D19" s="188">
        <f t="shared" si="7"/>
        <v>20876</v>
      </c>
      <c r="E19" s="186">
        <f t="shared" si="7"/>
        <v>21792</v>
      </c>
      <c r="F19" s="187">
        <f t="shared" si="7"/>
        <v>565</v>
      </c>
      <c r="G19" s="188">
        <f t="shared" si="7"/>
        <v>22357</v>
      </c>
      <c r="H19" s="190">
        <f t="shared" si="2"/>
        <v>1481</v>
      </c>
      <c r="I19" s="108">
        <f t="shared" si="5"/>
        <v>1.0709427093312895</v>
      </c>
      <c r="J19" s="198">
        <f>SUM(J7+J8+J9+J10+J11+J13+J15)</f>
        <v>20877</v>
      </c>
      <c r="K19" s="187">
        <f>SUM(K7+K8+K9+K10+K11+K13+K15)</f>
        <v>700</v>
      </c>
      <c r="L19" s="188">
        <f>SUM(L7+L8+L9+L10+L11+L13+L15)</f>
        <v>21577</v>
      </c>
      <c r="M19" s="190">
        <f t="shared" si="4"/>
        <v>-780</v>
      </c>
      <c r="N19" s="199">
        <f t="shared" si="6"/>
        <v>0.9651115981571767</v>
      </c>
    </row>
    <row r="20" spans="1:14" ht="13.5" customHeight="1">
      <c r="A20" s="96" t="s">
        <v>183</v>
      </c>
      <c r="B20" s="71">
        <v>3875</v>
      </c>
      <c r="C20" s="72"/>
      <c r="D20" s="73">
        <f aca="true" t="shared" si="8" ref="D20:D37">SUM(B20:C20)</f>
        <v>3875</v>
      </c>
      <c r="E20" s="71">
        <v>4004</v>
      </c>
      <c r="F20" s="72"/>
      <c r="G20" s="97">
        <f aca="true" t="shared" si="9" ref="G20:G37">SUM(E20:F20)</f>
        <v>4004</v>
      </c>
      <c r="H20" s="98">
        <f t="shared" si="2"/>
        <v>129</v>
      </c>
      <c r="I20" s="99">
        <f t="shared" si="5"/>
        <v>1.0332903225806451</v>
      </c>
      <c r="J20" s="76">
        <v>4100</v>
      </c>
      <c r="K20" s="72"/>
      <c r="L20" s="100">
        <f aca="true" t="shared" si="10" ref="L20:L37">SUM(J20:K20)</f>
        <v>4100</v>
      </c>
      <c r="M20" s="98">
        <f t="shared" si="4"/>
        <v>96</v>
      </c>
      <c r="N20" s="101">
        <f t="shared" si="6"/>
        <v>1.023976023976024</v>
      </c>
    </row>
    <row r="21" spans="1:14" ht="21" customHeight="1">
      <c r="A21" s="82" t="s">
        <v>184</v>
      </c>
      <c r="B21" s="71">
        <v>562</v>
      </c>
      <c r="C21" s="72"/>
      <c r="D21" s="73">
        <f t="shared" si="8"/>
        <v>562</v>
      </c>
      <c r="E21" s="71">
        <v>709</v>
      </c>
      <c r="F21" s="72"/>
      <c r="G21" s="97">
        <f t="shared" si="9"/>
        <v>709</v>
      </c>
      <c r="H21" s="74">
        <f t="shared" si="2"/>
        <v>147</v>
      </c>
      <c r="I21" s="75">
        <f t="shared" si="5"/>
        <v>1.2615658362989324</v>
      </c>
      <c r="J21" s="76">
        <v>500</v>
      </c>
      <c r="K21" s="72"/>
      <c r="L21" s="100">
        <f t="shared" si="10"/>
        <v>500</v>
      </c>
      <c r="M21" s="74">
        <f t="shared" si="4"/>
        <v>-209</v>
      </c>
      <c r="N21" s="77">
        <f t="shared" si="6"/>
        <v>0.7052186177715092</v>
      </c>
    </row>
    <row r="22" spans="1:14" ht="13.5" customHeight="1">
      <c r="A22" s="78" t="s">
        <v>185</v>
      </c>
      <c r="B22" s="79">
        <v>2430</v>
      </c>
      <c r="C22" s="80"/>
      <c r="D22" s="73">
        <f t="shared" si="8"/>
        <v>2430</v>
      </c>
      <c r="E22" s="79">
        <v>2340</v>
      </c>
      <c r="F22" s="80"/>
      <c r="G22" s="97">
        <f t="shared" si="9"/>
        <v>2340</v>
      </c>
      <c r="H22" s="74">
        <f t="shared" si="2"/>
        <v>-90</v>
      </c>
      <c r="I22" s="75">
        <f t="shared" si="5"/>
        <v>0.9629629629629629</v>
      </c>
      <c r="J22" s="81">
        <v>2700</v>
      </c>
      <c r="K22" s="80"/>
      <c r="L22" s="100">
        <f t="shared" si="10"/>
        <v>2700</v>
      </c>
      <c r="M22" s="74">
        <f t="shared" si="4"/>
        <v>360</v>
      </c>
      <c r="N22" s="77">
        <f t="shared" si="6"/>
        <v>1.1538461538461537</v>
      </c>
    </row>
    <row r="23" spans="1:14" ht="13.5" customHeight="1">
      <c r="A23" s="82" t="s">
        <v>186</v>
      </c>
      <c r="B23" s="79"/>
      <c r="C23" s="80"/>
      <c r="D23" s="73">
        <f t="shared" si="8"/>
        <v>0</v>
      </c>
      <c r="E23" s="79"/>
      <c r="F23" s="80"/>
      <c r="G23" s="97">
        <f t="shared" si="9"/>
        <v>0</v>
      </c>
      <c r="H23" s="74">
        <f t="shared" si="2"/>
        <v>0</v>
      </c>
      <c r="I23" s="75"/>
      <c r="J23" s="81"/>
      <c r="K23" s="80"/>
      <c r="L23" s="100">
        <f t="shared" si="10"/>
        <v>0</v>
      </c>
      <c r="M23" s="74">
        <f t="shared" si="4"/>
        <v>0</v>
      </c>
      <c r="N23" s="77"/>
    </row>
    <row r="24" spans="1:14" ht="13.5" customHeight="1">
      <c r="A24" s="78" t="s">
        <v>298</v>
      </c>
      <c r="B24" s="79"/>
      <c r="C24" s="80"/>
      <c r="D24" s="73">
        <f t="shared" si="8"/>
        <v>0</v>
      </c>
      <c r="E24" s="79">
        <v>33</v>
      </c>
      <c r="F24" s="80"/>
      <c r="G24" s="97">
        <f t="shared" si="9"/>
        <v>33</v>
      </c>
      <c r="H24" s="74">
        <f t="shared" si="2"/>
        <v>33</v>
      </c>
      <c r="I24" s="75"/>
      <c r="J24" s="81">
        <v>40</v>
      </c>
      <c r="K24" s="80"/>
      <c r="L24" s="100">
        <f t="shared" si="10"/>
        <v>40</v>
      </c>
      <c r="M24" s="74">
        <f t="shared" si="4"/>
        <v>7</v>
      </c>
      <c r="N24" s="77">
        <f aca="true" t="shared" si="11" ref="N24:N38">+L24/G24</f>
        <v>1.2121212121212122</v>
      </c>
    </row>
    <row r="25" spans="1:14" ht="13.5" customHeight="1">
      <c r="A25" s="78" t="s">
        <v>187</v>
      </c>
      <c r="B25" s="81">
        <v>1029</v>
      </c>
      <c r="C25" s="80"/>
      <c r="D25" s="73">
        <f t="shared" si="8"/>
        <v>1029</v>
      </c>
      <c r="E25" s="81">
        <v>823</v>
      </c>
      <c r="F25" s="80">
        <v>518</v>
      </c>
      <c r="G25" s="97">
        <f t="shared" si="9"/>
        <v>1341</v>
      </c>
      <c r="H25" s="74">
        <f t="shared" si="2"/>
        <v>312</v>
      </c>
      <c r="I25" s="75">
        <f aca="true" t="shared" si="12" ref="I25:I38">+G25/D25</f>
        <v>1.3032069970845481</v>
      </c>
      <c r="J25" s="81">
        <f>SUM(J26:J27)</f>
        <v>610</v>
      </c>
      <c r="K25" s="80">
        <v>550</v>
      </c>
      <c r="L25" s="100">
        <f t="shared" si="10"/>
        <v>1160</v>
      </c>
      <c r="M25" s="74">
        <f t="shared" si="4"/>
        <v>-181</v>
      </c>
      <c r="N25" s="77">
        <f t="shared" si="11"/>
        <v>0.8650260999254288</v>
      </c>
    </row>
    <row r="26" spans="1:14" ht="13.5" customHeight="1">
      <c r="A26" s="82" t="s">
        <v>188</v>
      </c>
      <c r="B26" s="79">
        <v>422</v>
      </c>
      <c r="C26" s="80"/>
      <c r="D26" s="73">
        <f t="shared" si="8"/>
        <v>422</v>
      </c>
      <c r="E26" s="79">
        <v>657</v>
      </c>
      <c r="F26" s="80"/>
      <c r="G26" s="97">
        <f t="shared" si="9"/>
        <v>657</v>
      </c>
      <c r="H26" s="74">
        <f t="shared" si="2"/>
        <v>235</v>
      </c>
      <c r="I26" s="75">
        <f t="shared" si="12"/>
        <v>1.5568720379146919</v>
      </c>
      <c r="J26" s="102">
        <v>450</v>
      </c>
      <c r="K26" s="80"/>
      <c r="L26" s="100">
        <f t="shared" si="10"/>
        <v>450</v>
      </c>
      <c r="M26" s="74">
        <f t="shared" si="4"/>
        <v>-207</v>
      </c>
      <c r="N26" s="77">
        <f t="shared" si="11"/>
        <v>0.684931506849315</v>
      </c>
    </row>
    <row r="27" spans="1:14" ht="13.5" customHeight="1">
      <c r="A27" s="78" t="s">
        <v>189</v>
      </c>
      <c r="B27" s="79">
        <v>607</v>
      </c>
      <c r="C27" s="80"/>
      <c r="D27" s="73">
        <f t="shared" si="8"/>
        <v>607</v>
      </c>
      <c r="E27" s="79">
        <v>166</v>
      </c>
      <c r="F27" s="80">
        <v>518</v>
      </c>
      <c r="G27" s="97">
        <f t="shared" si="9"/>
        <v>684</v>
      </c>
      <c r="H27" s="74">
        <f t="shared" si="2"/>
        <v>77</v>
      </c>
      <c r="I27" s="75">
        <f t="shared" si="12"/>
        <v>1.126853377265239</v>
      </c>
      <c r="J27" s="102">
        <v>160</v>
      </c>
      <c r="K27" s="80">
        <v>550</v>
      </c>
      <c r="L27" s="100">
        <f t="shared" si="10"/>
        <v>710</v>
      </c>
      <c r="M27" s="74">
        <f t="shared" si="4"/>
        <v>26</v>
      </c>
      <c r="N27" s="77">
        <f t="shared" si="11"/>
        <v>1.0380116959064327</v>
      </c>
    </row>
    <row r="28" spans="1:14" ht="13.5" customHeight="1">
      <c r="A28" s="103" t="s">
        <v>190</v>
      </c>
      <c r="B28" s="81">
        <v>11377</v>
      </c>
      <c r="C28" s="80"/>
      <c r="D28" s="73">
        <f t="shared" si="8"/>
        <v>11377</v>
      </c>
      <c r="E28" s="81">
        <v>12649</v>
      </c>
      <c r="F28" s="80"/>
      <c r="G28" s="97">
        <f t="shared" si="9"/>
        <v>12649</v>
      </c>
      <c r="H28" s="74">
        <f t="shared" si="2"/>
        <v>1272</v>
      </c>
      <c r="I28" s="75">
        <f t="shared" si="12"/>
        <v>1.1118045178869649</v>
      </c>
      <c r="J28" s="81">
        <v>12990</v>
      </c>
      <c r="K28" s="80"/>
      <c r="L28" s="100">
        <f t="shared" si="10"/>
        <v>12990</v>
      </c>
      <c r="M28" s="74">
        <f t="shared" si="4"/>
        <v>341</v>
      </c>
      <c r="N28" s="77">
        <f t="shared" si="11"/>
        <v>1.0269586528579335</v>
      </c>
    </row>
    <row r="29" spans="1:14" ht="13.5" customHeight="1">
      <c r="A29" s="82" t="s">
        <v>191</v>
      </c>
      <c r="B29" s="79">
        <v>8307</v>
      </c>
      <c r="C29" s="80"/>
      <c r="D29" s="73">
        <f t="shared" si="8"/>
        <v>8307</v>
      </c>
      <c r="E29" s="79">
        <v>9230</v>
      </c>
      <c r="F29" s="80"/>
      <c r="G29" s="97">
        <f t="shared" si="9"/>
        <v>9230</v>
      </c>
      <c r="H29" s="74">
        <f t="shared" si="2"/>
        <v>923</v>
      </c>
      <c r="I29" s="75">
        <f t="shared" si="12"/>
        <v>1.1111111111111112</v>
      </c>
      <c r="J29" s="102">
        <v>9480</v>
      </c>
      <c r="K29" s="104"/>
      <c r="L29" s="100">
        <f t="shared" si="10"/>
        <v>9480</v>
      </c>
      <c r="M29" s="74">
        <f t="shared" si="4"/>
        <v>250</v>
      </c>
      <c r="N29" s="77">
        <f t="shared" si="11"/>
        <v>1.0270855904658722</v>
      </c>
    </row>
    <row r="30" spans="1:14" ht="13.5" customHeight="1">
      <c r="A30" s="103" t="s">
        <v>192</v>
      </c>
      <c r="B30" s="79">
        <v>8307</v>
      </c>
      <c r="C30" s="80"/>
      <c r="D30" s="73">
        <f t="shared" si="8"/>
        <v>8307</v>
      </c>
      <c r="E30" s="79">
        <v>9230</v>
      </c>
      <c r="F30" s="80"/>
      <c r="G30" s="97">
        <f t="shared" si="9"/>
        <v>9230</v>
      </c>
      <c r="H30" s="74">
        <f t="shared" si="2"/>
        <v>923</v>
      </c>
      <c r="I30" s="75">
        <f t="shared" si="12"/>
        <v>1.1111111111111112</v>
      </c>
      <c r="J30" s="81">
        <v>9480</v>
      </c>
      <c r="K30" s="80"/>
      <c r="L30" s="100">
        <f t="shared" si="10"/>
        <v>9480</v>
      </c>
      <c r="M30" s="74">
        <f t="shared" si="4"/>
        <v>250</v>
      </c>
      <c r="N30" s="77">
        <f t="shared" si="11"/>
        <v>1.0270855904658722</v>
      </c>
    </row>
    <row r="31" spans="1:14" ht="13.5" customHeight="1">
      <c r="A31" s="82" t="s">
        <v>193</v>
      </c>
      <c r="B31" s="79"/>
      <c r="C31" s="80"/>
      <c r="D31" s="73">
        <f t="shared" si="8"/>
        <v>0</v>
      </c>
      <c r="E31" s="79"/>
      <c r="F31" s="80"/>
      <c r="G31" s="97">
        <f t="shared" si="9"/>
        <v>0</v>
      </c>
      <c r="H31" s="74">
        <f t="shared" si="2"/>
        <v>0</v>
      </c>
      <c r="I31" s="75"/>
      <c r="J31" s="81"/>
      <c r="K31" s="80"/>
      <c r="L31" s="100">
        <f t="shared" si="10"/>
        <v>0</v>
      </c>
      <c r="M31" s="74">
        <f t="shared" si="4"/>
        <v>0</v>
      </c>
      <c r="N31" s="77"/>
    </row>
    <row r="32" spans="1:14" ht="13.5" customHeight="1">
      <c r="A32" s="82" t="s">
        <v>194</v>
      </c>
      <c r="B32" s="79">
        <v>3070</v>
      </c>
      <c r="C32" s="80"/>
      <c r="D32" s="73">
        <f t="shared" si="8"/>
        <v>3070</v>
      </c>
      <c r="E32" s="79">
        <v>3419</v>
      </c>
      <c r="F32" s="80"/>
      <c r="G32" s="97">
        <f t="shared" si="9"/>
        <v>3419</v>
      </c>
      <c r="H32" s="74">
        <f t="shared" si="2"/>
        <v>349</v>
      </c>
      <c r="I32" s="75">
        <f t="shared" si="12"/>
        <v>1.1136807817589576</v>
      </c>
      <c r="J32" s="81">
        <v>3510</v>
      </c>
      <c r="K32" s="80"/>
      <c r="L32" s="100">
        <f t="shared" si="10"/>
        <v>3510</v>
      </c>
      <c r="M32" s="74">
        <f t="shared" si="4"/>
        <v>91</v>
      </c>
      <c r="N32" s="77">
        <f t="shared" si="11"/>
        <v>1.026615969581749</v>
      </c>
    </row>
    <row r="33" spans="1:14" ht="13.5" customHeight="1">
      <c r="A33" s="103" t="s">
        <v>195</v>
      </c>
      <c r="B33" s="79"/>
      <c r="C33" s="80"/>
      <c r="D33" s="73">
        <f t="shared" si="8"/>
        <v>0</v>
      </c>
      <c r="E33" s="79">
        <v>1</v>
      </c>
      <c r="F33" s="80"/>
      <c r="G33" s="97">
        <f t="shared" si="9"/>
        <v>1</v>
      </c>
      <c r="H33" s="74">
        <f t="shared" si="2"/>
        <v>1</v>
      </c>
      <c r="I33" s="75"/>
      <c r="J33" s="81"/>
      <c r="K33" s="80"/>
      <c r="L33" s="100">
        <f t="shared" si="10"/>
        <v>0</v>
      </c>
      <c r="M33" s="74">
        <f t="shared" si="4"/>
        <v>-1</v>
      </c>
      <c r="N33" s="77">
        <f t="shared" si="11"/>
        <v>0</v>
      </c>
    </row>
    <row r="34" spans="1:14" ht="13.5" customHeight="1">
      <c r="A34" s="103" t="s">
        <v>196</v>
      </c>
      <c r="B34" s="79">
        <v>100</v>
      </c>
      <c r="C34" s="80"/>
      <c r="D34" s="73">
        <f t="shared" si="8"/>
        <v>100</v>
      </c>
      <c r="E34" s="79">
        <v>121</v>
      </c>
      <c r="F34" s="80"/>
      <c r="G34" s="97">
        <f t="shared" si="9"/>
        <v>121</v>
      </c>
      <c r="H34" s="74">
        <f t="shared" si="2"/>
        <v>21</v>
      </c>
      <c r="I34" s="75">
        <f t="shared" si="12"/>
        <v>1.21</v>
      </c>
      <c r="J34" s="81">
        <v>100</v>
      </c>
      <c r="K34" s="80"/>
      <c r="L34" s="100">
        <f t="shared" si="10"/>
        <v>100</v>
      </c>
      <c r="M34" s="74">
        <f t="shared" si="4"/>
        <v>-21</v>
      </c>
      <c r="N34" s="77">
        <f t="shared" si="11"/>
        <v>0.8264462809917356</v>
      </c>
    </row>
    <row r="35" spans="1:14" ht="13.5" customHeight="1">
      <c r="A35" s="82" t="s">
        <v>197</v>
      </c>
      <c r="B35" s="79">
        <v>1982</v>
      </c>
      <c r="C35" s="80"/>
      <c r="D35" s="73">
        <f t="shared" si="8"/>
        <v>1982</v>
      </c>
      <c r="E35" s="79">
        <v>1945</v>
      </c>
      <c r="F35" s="80"/>
      <c r="G35" s="97">
        <f t="shared" si="9"/>
        <v>1945</v>
      </c>
      <c r="H35" s="74">
        <f t="shared" si="2"/>
        <v>-37</v>
      </c>
      <c r="I35" s="75">
        <f t="shared" si="12"/>
        <v>0.9813319878910192</v>
      </c>
      <c r="J35" s="102">
        <v>1973</v>
      </c>
      <c r="K35" s="80"/>
      <c r="L35" s="100">
        <f t="shared" si="10"/>
        <v>1973</v>
      </c>
      <c r="M35" s="74">
        <f t="shared" si="4"/>
        <v>28</v>
      </c>
      <c r="N35" s="77">
        <f t="shared" si="11"/>
        <v>1.0143958868894603</v>
      </c>
    </row>
    <row r="36" spans="1:14" ht="22.5" customHeight="1">
      <c r="A36" s="82" t="s">
        <v>198</v>
      </c>
      <c r="B36" s="79"/>
      <c r="C36" s="80"/>
      <c r="D36" s="73">
        <f t="shared" si="8"/>
        <v>0</v>
      </c>
      <c r="E36" s="79">
        <v>838</v>
      </c>
      <c r="F36" s="80"/>
      <c r="G36" s="97">
        <f t="shared" si="9"/>
        <v>838</v>
      </c>
      <c r="H36" s="74">
        <f t="shared" si="2"/>
        <v>838</v>
      </c>
      <c r="I36" s="75"/>
      <c r="J36" s="102"/>
      <c r="K36" s="80"/>
      <c r="L36" s="100">
        <f t="shared" si="10"/>
        <v>0</v>
      </c>
      <c r="M36" s="74">
        <f t="shared" si="4"/>
        <v>-838</v>
      </c>
      <c r="N36" s="77">
        <f t="shared" si="11"/>
        <v>0</v>
      </c>
    </row>
    <row r="37" spans="1:14" ht="13.5" customHeight="1" thickBot="1">
      <c r="A37" s="105" t="s">
        <v>199</v>
      </c>
      <c r="B37" s="83"/>
      <c r="C37" s="84"/>
      <c r="D37" s="73">
        <f t="shared" si="8"/>
        <v>0</v>
      </c>
      <c r="E37" s="83">
        <v>304</v>
      </c>
      <c r="F37" s="84"/>
      <c r="G37" s="97">
        <f t="shared" si="9"/>
        <v>304</v>
      </c>
      <c r="H37" s="85">
        <f t="shared" si="2"/>
        <v>304</v>
      </c>
      <c r="I37" s="86"/>
      <c r="J37" s="106"/>
      <c r="K37" s="84"/>
      <c r="L37" s="100">
        <f t="shared" si="10"/>
        <v>0</v>
      </c>
      <c r="M37" s="85">
        <f t="shared" si="4"/>
        <v>-304</v>
      </c>
      <c r="N37" s="87"/>
    </row>
    <row r="38" spans="1:14" ht="13.5" customHeight="1" thickBot="1">
      <c r="A38" s="88" t="s">
        <v>200</v>
      </c>
      <c r="B38" s="89">
        <f aca="true" t="shared" si="13" ref="B38:G38">SUM(B20+B22+B23+B24+B25+B28+B33+B34+B35+B37)</f>
        <v>20793</v>
      </c>
      <c r="C38" s="90">
        <f t="shared" si="13"/>
        <v>0</v>
      </c>
      <c r="D38" s="91">
        <f t="shared" si="13"/>
        <v>20793</v>
      </c>
      <c r="E38" s="89">
        <f t="shared" si="13"/>
        <v>22220</v>
      </c>
      <c r="F38" s="90">
        <f t="shared" si="13"/>
        <v>518</v>
      </c>
      <c r="G38" s="91">
        <f t="shared" si="13"/>
        <v>22738</v>
      </c>
      <c r="H38" s="92">
        <f t="shared" si="2"/>
        <v>1945</v>
      </c>
      <c r="I38" s="93">
        <f t="shared" si="12"/>
        <v>1.093541095561006</v>
      </c>
      <c r="J38" s="94">
        <f>SUM(J20+J22+J23+J24+J25+J28+J33+J34+J35+J37)</f>
        <v>22513</v>
      </c>
      <c r="K38" s="90">
        <f>SUM(K20+K22+K23+K24+K25+K28+K33+K34+K35+K37)</f>
        <v>550</v>
      </c>
      <c r="L38" s="91">
        <f>SUM(L20+L22+L23+L24+L25+L28+L33+L34+L35+L37)</f>
        <v>23063</v>
      </c>
      <c r="M38" s="92">
        <f t="shared" si="4"/>
        <v>325</v>
      </c>
      <c r="N38" s="95">
        <f t="shared" si="11"/>
        <v>1.014293253584308</v>
      </c>
    </row>
    <row r="39" spans="1:14" ht="13.5" customHeight="1" thickBot="1">
      <c r="A39" s="88" t="s">
        <v>201</v>
      </c>
      <c r="B39" s="787">
        <f>+D19-D38</f>
        <v>83</v>
      </c>
      <c r="C39" s="787"/>
      <c r="D39" s="787"/>
      <c r="E39" s="787">
        <f>+G19-G38</f>
        <v>-381</v>
      </c>
      <c r="F39" s="787"/>
      <c r="G39" s="787">
        <v>-50784</v>
      </c>
      <c r="H39" s="107"/>
      <c r="I39" s="108"/>
      <c r="J39" s="789">
        <f>+L19-L38</f>
        <v>-1486</v>
      </c>
      <c r="K39" s="789"/>
      <c r="L39" s="789">
        <v>0</v>
      </c>
      <c r="M39" s="92"/>
      <c r="N39" s="95"/>
    </row>
    <row r="40" spans="1:16" ht="20.25" customHeight="1" thickBot="1">
      <c r="A40" s="109" t="s">
        <v>202</v>
      </c>
      <c r="B40" s="787"/>
      <c r="C40" s="787"/>
      <c r="D40" s="787"/>
      <c r="E40" s="787"/>
      <c r="F40" s="787"/>
      <c r="G40" s="787"/>
      <c r="H40"/>
      <c r="I40"/>
      <c r="J40"/>
      <c r="K40"/>
      <c r="L40"/>
      <c r="M40"/>
      <c r="N40"/>
      <c r="O40"/>
      <c r="P40"/>
    </row>
    <row r="41" spans="2:8" ht="14.25" customHeight="1" thickBot="1">
      <c r="B41" s="7"/>
      <c r="C41" s="7"/>
      <c r="D41" s="16"/>
      <c r="E41" s="7"/>
      <c r="F41" s="7"/>
      <c r="G41" s="7"/>
      <c r="H41" s="7"/>
    </row>
    <row r="42" spans="1:16" ht="13.5" thickBot="1">
      <c r="A42" s="805" t="s">
        <v>312</v>
      </c>
      <c r="B42" s="805"/>
      <c r="C42" s="799" t="s">
        <v>203</v>
      </c>
      <c r="D42" s="805" t="s">
        <v>420</v>
      </c>
      <c r="E42" s="805"/>
      <c r="F42" s="805"/>
      <c r="G42" s="799" t="s">
        <v>203</v>
      </c>
      <c r="H42" s="785" t="s">
        <v>421</v>
      </c>
      <c r="I42" s="785"/>
      <c r="J42" s="785"/>
      <c r="K42" s="785"/>
      <c r="L42" s="799" t="s">
        <v>203</v>
      </c>
      <c r="O42"/>
      <c r="P42"/>
    </row>
    <row r="43" spans="1:16" ht="13.5" thickBot="1">
      <c r="A43" s="805"/>
      <c r="B43" s="805"/>
      <c r="C43" s="799"/>
      <c r="D43" s="805"/>
      <c r="E43" s="805"/>
      <c r="F43" s="805"/>
      <c r="G43" s="799"/>
      <c r="H43" s="785"/>
      <c r="I43" s="785"/>
      <c r="J43" s="785"/>
      <c r="K43" s="785"/>
      <c r="L43" s="799"/>
      <c r="O43"/>
      <c r="P43"/>
    </row>
    <row r="44" spans="1:16" ht="12.75">
      <c r="A44" s="794" t="s">
        <v>386</v>
      </c>
      <c r="B44" s="794"/>
      <c r="C44" s="110">
        <v>68</v>
      </c>
      <c r="D44" s="795" t="s">
        <v>14</v>
      </c>
      <c r="E44" s="795"/>
      <c r="F44" s="795"/>
      <c r="G44" s="111">
        <v>423</v>
      </c>
      <c r="H44" s="802" t="s">
        <v>15</v>
      </c>
      <c r="I44" s="802"/>
      <c r="J44" s="802"/>
      <c r="K44" s="802"/>
      <c r="L44" s="112">
        <v>400</v>
      </c>
      <c r="O44"/>
      <c r="P44"/>
    </row>
    <row r="45" spans="1:16" ht="12.75">
      <c r="A45" s="797" t="s">
        <v>247</v>
      </c>
      <c r="B45" s="797"/>
      <c r="C45" s="113">
        <v>1108</v>
      </c>
      <c r="D45" s="795" t="s">
        <v>247</v>
      </c>
      <c r="E45" s="795"/>
      <c r="F45" s="795"/>
      <c r="G45" s="114">
        <v>1106</v>
      </c>
      <c r="H45" s="802" t="s">
        <v>16</v>
      </c>
      <c r="I45" s="802"/>
      <c r="J45" s="802"/>
      <c r="K45" s="802"/>
      <c r="L45" s="112">
        <v>350</v>
      </c>
      <c r="O45"/>
      <c r="P45"/>
    </row>
    <row r="46" spans="1:16" ht="12.75">
      <c r="A46" s="797"/>
      <c r="B46" s="797"/>
      <c r="C46" s="113"/>
      <c r="D46" s="795"/>
      <c r="E46" s="795"/>
      <c r="F46" s="795"/>
      <c r="G46" s="114"/>
      <c r="H46" s="802" t="s">
        <v>17</v>
      </c>
      <c r="I46" s="802"/>
      <c r="J46" s="802"/>
      <c r="K46" s="802"/>
      <c r="L46" s="112">
        <v>150</v>
      </c>
      <c r="O46"/>
      <c r="P46"/>
    </row>
    <row r="47" spans="1:16" ht="12.75">
      <c r="A47" s="797"/>
      <c r="B47" s="797"/>
      <c r="C47" s="115"/>
      <c r="D47" s="797"/>
      <c r="E47" s="797"/>
      <c r="F47" s="797"/>
      <c r="G47" s="116"/>
      <c r="H47" s="776" t="s">
        <v>247</v>
      </c>
      <c r="I47" s="776"/>
      <c r="J47" s="776"/>
      <c r="K47" s="776"/>
      <c r="L47" s="112">
        <v>1106</v>
      </c>
      <c r="O47"/>
      <c r="P47"/>
    </row>
    <row r="48" spans="1:16" ht="12.75">
      <c r="A48" s="797"/>
      <c r="B48" s="797"/>
      <c r="C48" s="115"/>
      <c r="D48" s="797"/>
      <c r="E48" s="797"/>
      <c r="F48" s="797"/>
      <c r="G48" s="116"/>
      <c r="H48" s="776" t="s">
        <v>269</v>
      </c>
      <c r="I48" s="776"/>
      <c r="J48" s="776"/>
      <c r="K48" s="776"/>
      <c r="L48" s="120">
        <v>80</v>
      </c>
      <c r="O48"/>
      <c r="P48"/>
    </row>
    <row r="49" spans="1:16" ht="12.75">
      <c r="A49" s="797"/>
      <c r="B49" s="797"/>
      <c r="C49" s="115"/>
      <c r="D49" s="797"/>
      <c r="E49" s="797"/>
      <c r="F49" s="797"/>
      <c r="G49" s="116"/>
      <c r="H49" s="776"/>
      <c r="I49" s="776"/>
      <c r="J49" s="776"/>
      <c r="K49" s="776"/>
      <c r="L49" s="112"/>
      <c r="O49"/>
      <c r="P49"/>
    </row>
    <row r="50" spans="1:16" ht="13.5" thickBot="1">
      <c r="A50" s="800"/>
      <c r="B50" s="800"/>
      <c r="C50" s="115"/>
      <c r="D50" s="801"/>
      <c r="E50" s="801"/>
      <c r="F50" s="801"/>
      <c r="G50" s="116"/>
      <c r="H50" s="802"/>
      <c r="I50" s="802"/>
      <c r="J50" s="802"/>
      <c r="K50" s="802"/>
      <c r="L50" s="112"/>
      <c r="O50"/>
      <c r="P50"/>
    </row>
    <row r="51" spans="1:16" ht="13.5" thickBot="1">
      <c r="A51" s="811"/>
      <c r="B51" s="811"/>
      <c r="C51" s="117">
        <f>SUM(C44:C50)</f>
        <v>1176</v>
      </c>
      <c r="D51" s="812" t="s">
        <v>168</v>
      </c>
      <c r="E51" s="812"/>
      <c r="F51" s="812"/>
      <c r="G51" s="117">
        <f>SUM(G44:G50)</f>
        <v>1529</v>
      </c>
      <c r="H51" s="778" t="s">
        <v>168</v>
      </c>
      <c r="I51" s="778"/>
      <c r="J51" s="778"/>
      <c r="K51" s="778"/>
      <c r="L51" s="117">
        <f>SUM(L44:L50)</f>
        <v>2086</v>
      </c>
      <c r="M51" s="17"/>
      <c r="N51" s="17"/>
      <c r="O51"/>
      <c r="P51"/>
    </row>
    <row r="52" spans="1:16" s="1" customFormat="1" ht="13.5" customHeight="1" thickBot="1">
      <c r="A52" s="18"/>
      <c r="B52" s="5"/>
      <c r="C52" s="5"/>
      <c r="D52" s="5"/>
      <c r="E52" s="5"/>
      <c r="F52" s="5"/>
      <c r="G52" s="5"/>
      <c r="H52" s="6"/>
      <c r="I52" s="3"/>
      <c r="J52" s="3"/>
      <c r="K52" s="3"/>
      <c r="L52" s="3"/>
      <c r="M52" s="3"/>
      <c r="N52" s="3"/>
      <c r="O52" s="3"/>
      <c r="P52" s="3"/>
    </row>
    <row r="53" spans="1:16" ht="13.5" thickBot="1">
      <c r="A53" s="866" t="s">
        <v>429</v>
      </c>
      <c r="B53" s="867"/>
      <c r="C53" s="869" t="s">
        <v>203</v>
      </c>
      <c r="D53" s="806" t="s">
        <v>430</v>
      </c>
      <c r="E53" s="806"/>
      <c r="F53" s="806"/>
      <c r="G53" s="798" t="s">
        <v>203</v>
      </c>
      <c r="H53" s="785" t="s">
        <v>431</v>
      </c>
      <c r="I53" s="785"/>
      <c r="J53" s="785"/>
      <c r="K53" s="785"/>
      <c r="L53" s="799" t="s">
        <v>203</v>
      </c>
      <c r="O53"/>
      <c r="P53"/>
    </row>
    <row r="54" spans="1:16" ht="13.5" thickBot="1">
      <c r="A54" s="868"/>
      <c r="B54" s="805"/>
      <c r="C54" s="870"/>
      <c r="D54" s="806"/>
      <c r="E54" s="806"/>
      <c r="F54" s="806"/>
      <c r="G54" s="798"/>
      <c r="H54" s="785"/>
      <c r="I54" s="785"/>
      <c r="J54" s="785"/>
      <c r="K54" s="785"/>
      <c r="L54" s="799"/>
      <c r="O54"/>
      <c r="P54"/>
    </row>
    <row r="55" spans="1:16" ht="12.75">
      <c r="A55" s="871" t="s">
        <v>270</v>
      </c>
      <c r="B55" s="803"/>
      <c r="C55" s="201">
        <v>422</v>
      </c>
      <c r="D55" s="804" t="s">
        <v>270</v>
      </c>
      <c r="E55" s="804"/>
      <c r="F55" s="804"/>
      <c r="G55" s="118">
        <v>657</v>
      </c>
      <c r="H55" s="802" t="s">
        <v>137</v>
      </c>
      <c r="I55" s="802"/>
      <c r="J55" s="802"/>
      <c r="K55" s="802"/>
      <c r="L55" s="112">
        <v>330</v>
      </c>
      <c r="O55"/>
      <c r="P55"/>
    </row>
    <row r="56" spans="1:16" ht="13.5" customHeight="1">
      <c r="A56" s="872"/>
      <c r="B56" s="781"/>
      <c r="C56" s="202"/>
      <c r="D56" s="782"/>
      <c r="E56" s="782"/>
      <c r="F56" s="782"/>
      <c r="G56" s="119"/>
      <c r="H56" s="776" t="s">
        <v>269</v>
      </c>
      <c r="I56" s="776"/>
      <c r="J56" s="776"/>
      <c r="K56" s="776"/>
      <c r="L56" s="120">
        <v>80</v>
      </c>
      <c r="O56"/>
      <c r="P56"/>
    </row>
    <row r="57" spans="1:16" ht="13.5" customHeight="1">
      <c r="A57" s="872"/>
      <c r="B57" s="781"/>
      <c r="C57" s="202"/>
      <c r="D57" s="782"/>
      <c r="E57" s="782"/>
      <c r="F57" s="782"/>
      <c r="G57" s="119"/>
      <c r="H57" s="776" t="s">
        <v>136</v>
      </c>
      <c r="I57" s="776"/>
      <c r="J57" s="776"/>
      <c r="K57" s="776"/>
      <c r="L57" s="120">
        <v>40</v>
      </c>
      <c r="O57"/>
      <c r="P57"/>
    </row>
    <row r="58" spans="1:16" ht="13.5" customHeight="1">
      <c r="A58" s="872"/>
      <c r="B58" s="781"/>
      <c r="C58" s="202"/>
      <c r="D58" s="782"/>
      <c r="E58" s="782"/>
      <c r="F58" s="782"/>
      <c r="G58" s="119"/>
      <c r="H58" s="776"/>
      <c r="I58" s="776"/>
      <c r="J58" s="776"/>
      <c r="K58" s="776"/>
      <c r="L58" s="120"/>
      <c r="O58"/>
      <c r="P58"/>
    </row>
    <row r="59" spans="1:16" ht="13.5" customHeight="1">
      <c r="A59" s="872"/>
      <c r="B59" s="781"/>
      <c r="C59" s="203"/>
      <c r="D59" s="782"/>
      <c r="E59" s="782"/>
      <c r="F59" s="782"/>
      <c r="G59" s="121"/>
      <c r="H59" s="776"/>
      <c r="I59" s="776"/>
      <c r="J59" s="776"/>
      <c r="K59" s="776"/>
      <c r="L59" s="122"/>
      <c r="O59"/>
      <c r="P59"/>
    </row>
    <row r="60" spans="1:16" ht="13.5" customHeight="1">
      <c r="A60" s="872"/>
      <c r="B60" s="781"/>
      <c r="C60" s="203"/>
      <c r="D60" s="782"/>
      <c r="E60" s="782"/>
      <c r="F60" s="782"/>
      <c r="G60" s="121"/>
      <c r="H60" s="776"/>
      <c r="I60" s="776"/>
      <c r="J60" s="776"/>
      <c r="K60" s="776"/>
      <c r="L60" s="122"/>
      <c r="O60"/>
      <c r="P60"/>
    </row>
    <row r="61" spans="1:16" ht="13.5" customHeight="1">
      <c r="A61" s="872"/>
      <c r="B61" s="873"/>
      <c r="C61" s="202"/>
      <c r="D61" s="782"/>
      <c r="E61" s="782"/>
      <c r="F61" s="782"/>
      <c r="G61" s="119"/>
      <c r="H61" s="776"/>
      <c r="I61" s="776"/>
      <c r="J61" s="776"/>
      <c r="K61" s="776"/>
      <c r="L61" s="120"/>
      <c r="O61"/>
      <c r="P61"/>
    </row>
    <row r="62" spans="1:16" ht="13.5" thickBot="1">
      <c r="A62" s="874"/>
      <c r="B62" s="780"/>
      <c r="C62" s="204"/>
      <c r="D62" s="783"/>
      <c r="E62" s="783"/>
      <c r="F62" s="783"/>
      <c r="G62" s="123"/>
      <c r="H62" s="777"/>
      <c r="I62" s="777"/>
      <c r="J62" s="777"/>
      <c r="K62" s="777"/>
      <c r="L62" s="124"/>
      <c r="O62"/>
      <c r="P62"/>
    </row>
    <row r="63" spans="1:16" ht="13.5" thickBot="1">
      <c r="A63" s="877" t="s">
        <v>168</v>
      </c>
      <c r="B63" s="878"/>
      <c r="C63" s="205">
        <f>SUM(C55:C62)</f>
        <v>422</v>
      </c>
      <c r="D63" s="784" t="s">
        <v>168</v>
      </c>
      <c r="E63" s="784"/>
      <c r="F63" s="784"/>
      <c r="G63" s="125">
        <f>SUM(G55:G62)</f>
        <v>657</v>
      </c>
      <c r="H63" s="778" t="s">
        <v>168</v>
      </c>
      <c r="I63" s="778"/>
      <c r="J63" s="778"/>
      <c r="K63" s="778"/>
      <c r="L63" s="117">
        <f>SUM(L55:L62)</f>
        <v>450</v>
      </c>
      <c r="M63" s="17"/>
      <c r="N63" s="17"/>
      <c r="O63"/>
      <c r="P63"/>
    </row>
    <row r="64" spans="1:14" s="1" customFormat="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1" customFormat="1" ht="13.5" thickBo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s="1" customFormat="1" ht="26.25" customHeight="1" thickBot="1">
      <c r="A66" s="833" t="s">
        <v>106</v>
      </c>
      <c r="B66" s="834"/>
      <c r="C66" s="834"/>
      <c r="D66" s="834"/>
      <c r="E66" s="835"/>
      <c r="F66" s="836" t="s">
        <v>107</v>
      </c>
      <c r="G66" s="837"/>
      <c r="H66" s="837"/>
      <c r="I66" s="837"/>
      <c r="J66" s="837"/>
      <c r="K66" s="837"/>
      <c r="L66" s="838"/>
      <c r="M66" s="19"/>
      <c r="N66" s="19"/>
    </row>
    <row r="67" spans="1:14" s="1" customFormat="1" ht="14.25" customHeight="1" thickBot="1">
      <c r="A67" s="397" t="s">
        <v>231</v>
      </c>
      <c r="B67" s="398" t="s">
        <v>96</v>
      </c>
      <c r="C67" s="839" t="s">
        <v>232</v>
      </c>
      <c r="D67" s="839"/>
      <c r="E67" s="399" t="s">
        <v>97</v>
      </c>
      <c r="F67" s="840" t="s">
        <v>231</v>
      </c>
      <c r="G67" s="841"/>
      <c r="H67" s="398" t="s">
        <v>96</v>
      </c>
      <c r="I67" s="839" t="s">
        <v>232</v>
      </c>
      <c r="J67" s="839"/>
      <c r="K67" s="839"/>
      <c r="L67" s="400" t="s">
        <v>97</v>
      </c>
      <c r="M67" s="19"/>
      <c r="N67" s="19"/>
    </row>
    <row r="68" spans="1:14" s="1" customFormat="1" ht="12.75">
      <c r="A68" s="401" t="s">
        <v>98</v>
      </c>
      <c r="B68" s="402">
        <v>131</v>
      </c>
      <c r="C68" s="842" t="s">
        <v>99</v>
      </c>
      <c r="D68" s="842"/>
      <c r="E68" s="403"/>
      <c r="F68" s="843" t="s">
        <v>98</v>
      </c>
      <c r="G68" s="844"/>
      <c r="H68" s="402">
        <v>412</v>
      </c>
      <c r="I68" s="842" t="s">
        <v>99</v>
      </c>
      <c r="J68" s="844"/>
      <c r="K68" s="844"/>
      <c r="L68" s="403"/>
      <c r="M68" s="19"/>
      <c r="N68" s="19"/>
    </row>
    <row r="69" spans="1:14" s="1" customFormat="1" ht="12.75">
      <c r="A69" s="404" t="s">
        <v>100</v>
      </c>
      <c r="B69" s="405">
        <v>67</v>
      </c>
      <c r="C69" s="845" t="s">
        <v>101</v>
      </c>
      <c r="D69" s="845"/>
      <c r="E69" s="406"/>
      <c r="F69" s="846" t="s">
        <v>102</v>
      </c>
      <c r="G69" s="847"/>
      <c r="H69" s="405"/>
      <c r="I69" s="845" t="s">
        <v>624</v>
      </c>
      <c r="J69" s="847"/>
      <c r="K69" s="847"/>
      <c r="L69" s="406">
        <v>197</v>
      </c>
      <c r="M69" s="19"/>
      <c r="N69" s="19"/>
    </row>
    <row r="70" spans="1:14" s="1" customFormat="1" ht="12.75">
      <c r="A70" s="404" t="s">
        <v>657</v>
      </c>
      <c r="B70" s="405">
        <v>214</v>
      </c>
      <c r="C70" s="845"/>
      <c r="D70" s="845"/>
      <c r="E70" s="406"/>
      <c r="F70" s="845" t="s">
        <v>659</v>
      </c>
      <c r="G70" s="845"/>
      <c r="H70" s="405">
        <v>214</v>
      </c>
      <c r="I70" s="845"/>
      <c r="J70" s="847"/>
      <c r="K70" s="847"/>
      <c r="L70" s="406"/>
      <c r="M70" s="19"/>
      <c r="N70" s="19"/>
    </row>
    <row r="71" spans="1:14" s="1" customFormat="1" ht="13.5" thickBot="1">
      <c r="A71" s="407"/>
      <c r="B71" s="408"/>
      <c r="C71" s="848"/>
      <c r="D71" s="848"/>
      <c r="E71" s="409"/>
      <c r="F71" s="849"/>
      <c r="G71" s="850"/>
      <c r="H71" s="408"/>
      <c r="I71" s="848"/>
      <c r="J71" s="850"/>
      <c r="K71" s="850"/>
      <c r="L71" s="409"/>
      <c r="M71" s="19"/>
      <c r="N71" s="19"/>
    </row>
    <row r="72" spans="1:14" s="1" customFormat="1" ht="13.5" thickBot="1">
      <c r="A72" s="410" t="s">
        <v>168</v>
      </c>
      <c r="B72" s="411">
        <f>SUM(B68:B71)</f>
        <v>412</v>
      </c>
      <c r="C72" s="851" t="s">
        <v>168</v>
      </c>
      <c r="D72" s="851"/>
      <c r="E72" s="413">
        <f>SUM(E68:E71)</f>
        <v>0</v>
      </c>
      <c r="F72" s="852" t="s">
        <v>168</v>
      </c>
      <c r="G72" s="853"/>
      <c r="H72" s="412">
        <f>SUM(H68:H71)</f>
        <v>626</v>
      </c>
      <c r="I72" s="851" t="s">
        <v>168</v>
      </c>
      <c r="J72" s="853"/>
      <c r="K72" s="853"/>
      <c r="L72" s="413">
        <f>SUM(L68:L71)</f>
        <v>197</v>
      </c>
      <c r="M72" s="19"/>
      <c r="N72" s="19"/>
    </row>
    <row r="73" spans="1:14" s="1" customFormat="1" ht="13.5" thickBot="1">
      <c r="A73" s="414" t="s">
        <v>105</v>
      </c>
      <c r="B73" s="415">
        <f>B72-E72</f>
        <v>412</v>
      </c>
      <c r="C73" s="19"/>
      <c r="D73" s="19"/>
      <c r="E73" s="19"/>
      <c r="F73" s="854" t="s">
        <v>105</v>
      </c>
      <c r="G73" s="701"/>
      <c r="H73" s="416">
        <f>H72-L72</f>
        <v>429</v>
      </c>
      <c r="I73" s="19"/>
      <c r="J73" s="19"/>
      <c r="K73" s="19"/>
      <c r="L73" s="19"/>
      <c r="M73" s="19"/>
      <c r="N73" s="19"/>
    </row>
    <row r="74" spans="1:14" s="1" customFormat="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s="1" customFormat="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2" s="1" customFormat="1" ht="12.75">
      <c r="A76" s="20"/>
      <c r="B76" s="21"/>
      <c r="C76" s="21"/>
      <c r="D76" s="21"/>
      <c r="E76" s="2"/>
      <c r="F76" s="4"/>
      <c r="G76" s="4"/>
      <c r="H76" s="20"/>
      <c r="I76" s="21"/>
      <c r="J76" s="21"/>
      <c r="K76" s="21"/>
      <c r="L76" s="2"/>
    </row>
    <row r="77" spans="1:12" s="1" customFormat="1" ht="13.5" thickBot="1">
      <c r="A77" s="20"/>
      <c r="B77" s="21"/>
      <c r="C77" s="21"/>
      <c r="D77" s="21"/>
      <c r="E77" s="2"/>
      <c r="F77" s="4"/>
      <c r="G77" s="4"/>
      <c r="H77" s="20"/>
      <c r="I77" s="21"/>
      <c r="J77" s="21" t="s">
        <v>307</v>
      </c>
      <c r="K77" s="21"/>
      <c r="L77" s="2"/>
    </row>
    <row r="78" spans="1:15" s="1" customFormat="1" ht="12.75">
      <c r="A78" s="879" t="s">
        <v>227</v>
      </c>
      <c r="B78" s="882" t="s">
        <v>435</v>
      </c>
      <c r="C78" s="885" t="s">
        <v>436</v>
      </c>
      <c r="D78" s="886"/>
      <c r="E78" s="886"/>
      <c r="F78" s="886"/>
      <c r="G78" s="886"/>
      <c r="H78" s="886"/>
      <c r="I78" s="887"/>
      <c r="J78" s="888" t="s">
        <v>437</v>
      </c>
      <c r="K78" s="7"/>
      <c r="L78" s="864" t="s">
        <v>205</v>
      </c>
      <c r="M78" s="865"/>
      <c r="N78" s="59">
        <v>2006</v>
      </c>
      <c r="O78" s="60">
        <v>2007</v>
      </c>
    </row>
    <row r="79" spans="1:15" s="1" customFormat="1" ht="12.75">
      <c r="A79" s="880"/>
      <c r="B79" s="883"/>
      <c r="C79" s="891" t="s">
        <v>228</v>
      </c>
      <c r="D79" s="893" t="s">
        <v>229</v>
      </c>
      <c r="E79" s="894"/>
      <c r="F79" s="894"/>
      <c r="G79" s="894"/>
      <c r="H79" s="894"/>
      <c r="I79" s="895"/>
      <c r="J79" s="889"/>
      <c r="K79" s="7"/>
      <c r="L79" s="63" t="s">
        <v>273</v>
      </c>
      <c r="M79" s="62"/>
      <c r="N79" s="58"/>
      <c r="O79" s="61"/>
    </row>
    <row r="80" spans="1:15" s="1" customFormat="1" ht="13.5" thickBot="1">
      <c r="A80" s="881"/>
      <c r="B80" s="884"/>
      <c r="C80" s="892"/>
      <c r="D80" s="25">
        <v>1</v>
      </c>
      <c r="E80" s="25">
        <v>2</v>
      </c>
      <c r="F80" s="25">
        <v>3</v>
      </c>
      <c r="G80" s="25">
        <v>4</v>
      </c>
      <c r="H80" s="25">
        <v>5</v>
      </c>
      <c r="I80" s="56">
        <v>6</v>
      </c>
      <c r="J80" s="890"/>
      <c r="K80" s="7"/>
      <c r="L80" s="62" t="s">
        <v>206</v>
      </c>
      <c r="M80" s="63"/>
      <c r="N80" s="22">
        <v>0</v>
      </c>
      <c r="O80" s="23">
        <v>0</v>
      </c>
    </row>
    <row r="81" spans="1:15" s="1" customFormat="1" ht="13.5" thickBot="1">
      <c r="A81" s="26">
        <v>122988</v>
      </c>
      <c r="B81" s="27">
        <v>15312</v>
      </c>
      <c r="C81" s="54">
        <f>SUM(D81:I81)</f>
        <v>1973</v>
      </c>
      <c r="D81" s="55"/>
      <c r="E81" s="55">
        <v>855</v>
      </c>
      <c r="F81" s="55"/>
      <c r="G81" s="55"/>
      <c r="H81" s="54">
        <v>1118</v>
      </c>
      <c r="I81" s="57"/>
      <c r="J81" s="28">
        <f>SUM(A81-B81-C81)</f>
        <v>105703</v>
      </c>
      <c r="K81" s="7"/>
      <c r="L81" s="64" t="s">
        <v>207</v>
      </c>
      <c r="M81" s="65"/>
      <c r="N81" s="52">
        <v>0</v>
      </c>
      <c r="O81" s="53">
        <v>0</v>
      </c>
    </row>
    <row r="82" spans="1:12" s="1" customFormat="1" ht="12.75">
      <c r="A82" s="20"/>
      <c r="B82" s="21"/>
      <c r="C82" s="21"/>
      <c r="D82" s="21"/>
      <c r="E82" s="2"/>
      <c r="F82" s="200"/>
      <c r="G82" s="4"/>
      <c r="H82" s="20"/>
      <c r="I82" s="21"/>
      <c r="J82" s="21"/>
      <c r="K82" s="21"/>
      <c r="L82" s="2"/>
    </row>
    <row r="83" spans="1:12" s="1" customFormat="1" ht="13.5" thickBot="1">
      <c r="A83" s="20"/>
      <c r="B83" s="21"/>
      <c r="C83" s="21"/>
      <c r="D83" s="21"/>
      <c r="E83" s="2"/>
      <c r="F83" s="200"/>
      <c r="G83" s="4"/>
      <c r="H83" s="20"/>
      <c r="I83" s="21"/>
      <c r="J83" s="21"/>
      <c r="K83" s="21"/>
      <c r="L83" s="21" t="s">
        <v>307</v>
      </c>
    </row>
    <row r="84" spans="1:12" s="1" customFormat="1" ht="12.75">
      <c r="A84" s="855" t="s">
        <v>255</v>
      </c>
      <c r="B84" s="857" t="s">
        <v>438</v>
      </c>
      <c r="C84" s="859" t="s">
        <v>439</v>
      </c>
      <c r="D84" s="860"/>
      <c r="E84" s="860"/>
      <c r="F84" s="861"/>
      <c r="G84" s="862" t="s">
        <v>440</v>
      </c>
      <c r="H84" s="896" t="s">
        <v>230</v>
      </c>
      <c r="I84" s="898" t="s">
        <v>441</v>
      </c>
      <c r="J84" s="899"/>
      <c r="K84" s="899"/>
      <c r="L84" s="900"/>
    </row>
    <row r="85" spans="1:12" s="1" customFormat="1" ht="18.75" thickBot="1">
      <c r="A85" s="856"/>
      <c r="B85" s="858"/>
      <c r="C85" s="29" t="s">
        <v>321</v>
      </c>
      <c r="D85" s="30" t="s">
        <v>231</v>
      </c>
      <c r="E85" s="30" t="s">
        <v>232</v>
      </c>
      <c r="F85" s="31" t="s">
        <v>322</v>
      </c>
      <c r="G85" s="863"/>
      <c r="H85" s="897"/>
      <c r="I85" s="174" t="s">
        <v>442</v>
      </c>
      <c r="J85" s="175" t="s">
        <v>231</v>
      </c>
      <c r="K85" s="175" t="s">
        <v>232</v>
      </c>
      <c r="L85" s="176" t="s">
        <v>443</v>
      </c>
    </row>
    <row r="86" spans="1:12" s="1" customFormat="1" ht="12.75">
      <c r="A86" s="32" t="s">
        <v>233</v>
      </c>
      <c r="B86" s="33">
        <v>1150</v>
      </c>
      <c r="C86" s="34" t="s">
        <v>234</v>
      </c>
      <c r="D86" s="35" t="s">
        <v>234</v>
      </c>
      <c r="E86" s="35" t="s">
        <v>234</v>
      </c>
      <c r="F86" s="36"/>
      <c r="G86" s="37">
        <v>1146</v>
      </c>
      <c r="H86" s="171" t="s">
        <v>234</v>
      </c>
      <c r="I86" s="177" t="s">
        <v>234</v>
      </c>
      <c r="J86" s="178" t="s">
        <v>234</v>
      </c>
      <c r="K86" s="178" t="s">
        <v>234</v>
      </c>
      <c r="L86" s="179" t="s">
        <v>234</v>
      </c>
    </row>
    <row r="87" spans="1:12" s="1" customFormat="1" ht="12.75">
      <c r="A87" s="38" t="s">
        <v>235</v>
      </c>
      <c r="B87" s="39"/>
      <c r="C87" s="40">
        <v>33</v>
      </c>
      <c r="D87" s="41">
        <v>16</v>
      </c>
      <c r="E87" s="41"/>
      <c r="F87" s="42">
        <f>C87+D87-E87</f>
        <v>49</v>
      </c>
      <c r="G87" s="43"/>
      <c r="H87" s="172">
        <f>+G87-F87</f>
        <v>-49</v>
      </c>
      <c r="I87" s="40">
        <v>49</v>
      </c>
      <c r="J87" s="41"/>
      <c r="K87" s="41">
        <v>49</v>
      </c>
      <c r="L87" s="42">
        <f>I87+J87-K87</f>
        <v>0</v>
      </c>
    </row>
    <row r="88" spans="1:12" s="1" customFormat="1" ht="12.75">
      <c r="A88" s="38" t="s">
        <v>236</v>
      </c>
      <c r="B88" s="39"/>
      <c r="C88" s="40">
        <v>131</v>
      </c>
      <c r="D88" s="41">
        <v>281</v>
      </c>
      <c r="E88" s="41"/>
      <c r="F88" s="42">
        <f>C88+D88-E88</f>
        <v>412</v>
      </c>
      <c r="G88" s="43"/>
      <c r="H88" s="172">
        <f>+G88-F88</f>
        <v>-412</v>
      </c>
      <c r="I88" s="40">
        <v>412</v>
      </c>
      <c r="J88" s="41"/>
      <c r="K88" s="41">
        <v>197</v>
      </c>
      <c r="L88" s="42">
        <f>I88+J88-K88</f>
        <v>215</v>
      </c>
    </row>
    <row r="89" spans="1:12" s="1" customFormat="1" ht="12.75">
      <c r="A89" s="38" t="s">
        <v>256</v>
      </c>
      <c r="B89" s="39"/>
      <c r="C89" s="40">
        <v>1883</v>
      </c>
      <c r="D89" s="41">
        <v>1945</v>
      </c>
      <c r="E89" s="41">
        <v>1529</v>
      </c>
      <c r="F89" s="42">
        <f>C89+D89-E89</f>
        <v>2299</v>
      </c>
      <c r="G89" s="43"/>
      <c r="H89" s="172">
        <f>+G89-F89</f>
        <v>-2299</v>
      </c>
      <c r="I89" s="180">
        <v>2299</v>
      </c>
      <c r="J89" s="170">
        <v>1973</v>
      </c>
      <c r="K89" s="170">
        <f>L51</f>
        <v>2086</v>
      </c>
      <c r="L89" s="42">
        <f>I89+J89-K89</f>
        <v>2186</v>
      </c>
    </row>
    <row r="90" spans="1:12" s="1" customFormat="1" ht="12.75">
      <c r="A90" s="38" t="s">
        <v>237</v>
      </c>
      <c r="B90" s="39">
        <v>1150</v>
      </c>
      <c r="C90" s="50" t="s">
        <v>234</v>
      </c>
      <c r="D90" s="35" t="s">
        <v>234</v>
      </c>
      <c r="E90" s="51" t="s">
        <v>234</v>
      </c>
      <c r="F90" s="42"/>
      <c r="G90" s="43">
        <v>1146</v>
      </c>
      <c r="H90" s="50" t="s">
        <v>234</v>
      </c>
      <c r="I90" s="34"/>
      <c r="J90" s="35"/>
      <c r="K90" s="35"/>
      <c r="L90" s="42">
        <f>I90+J90-K90</f>
        <v>0</v>
      </c>
    </row>
    <row r="91" spans="1:12" s="1" customFormat="1" ht="13.5" thickBot="1">
      <c r="A91" s="44" t="s">
        <v>238</v>
      </c>
      <c r="B91" s="45">
        <v>169</v>
      </c>
      <c r="C91" s="46">
        <v>169</v>
      </c>
      <c r="D91" s="47">
        <v>185</v>
      </c>
      <c r="E91" s="47">
        <v>166</v>
      </c>
      <c r="F91" s="48">
        <f>C91+D91-E91</f>
        <v>188</v>
      </c>
      <c r="G91" s="49">
        <v>188</v>
      </c>
      <c r="H91" s="173">
        <f>+G91-F91</f>
        <v>0</v>
      </c>
      <c r="I91" s="46">
        <v>188</v>
      </c>
      <c r="J91" s="47">
        <v>188</v>
      </c>
      <c r="K91" s="47">
        <v>263</v>
      </c>
      <c r="L91" s="48">
        <f>I91+J91-K91</f>
        <v>113</v>
      </c>
    </row>
    <row r="92" spans="1:12" s="1" customFormat="1" ht="12.75">
      <c r="A92" s="20"/>
      <c r="B92" s="21"/>
      <c r="C92" s="21"/>
      <c r="D92" s="21"/>
      <c r="E92" s="2"/>
      <c r="F92" s="200"/>
      <c r="G92" s="4"/>
      <c r="H92" s="20"/>
      <c r="I92" s="21"/>
      <c r="J92" s="21"/>
      <c r="K92" s="21"/>
      <c r="L92" s="2"/>
    </row>
    <row r="93" spans="1:12" s="1" customFormat="1" ht="12.75">
      <c r="A93" s="20"/>
      <c r="B93" s="21"/>
      <c r="C93" s="21"/>
      <c r="D93" s="21"/>
      <c r="E93" s="2"/>
      <c r="F93" s="200"/>
      <c r="G93" s="4"/>
      <c r="H93" s="20"/>
      <c r="I93" s="21"/>
      <c r="J93" s="21"/>
      <c r="K93" s="21"/>
      <c r="L93" s="2"/>
    </row>
    <row r="94" spans="1:12" s="1" customFormat="1" ht="12.75">
      <c r="A94" s="20"/>
      <c r="B94" s="21"/>
      <c r="C94" s="21"/>
      <c r="D94" s="21"/>
      <c r="E94" s="2"/>
      <c r="F94" s="200"/>
      <c r="G94" s="4"/>
      <c r="H94" s="20"/>
      <c r="I94" s="21"/>
      <c r="J94" s="21"/>
      <c r="K94" s="21"/>
      <c r="L94" s="2"/>
    </row>
    <row r="95" spans="1:12" s="1" customFormat="1" ht="12.75">
      <c r="A95" s="20"/>
      <c r="B95" s="21"/>
      <c r="C95" s="21"/>
      <c r="D95" s="21"/>
      <c r="E95" s="2"/>
      <c r="F95" s="200"/>
      <c r="G95" s="4"/>
      <c r="H95" s="20"/>
      <c r="I95" s="21"/>
      <c r="J95" s="21"/>
      <c r="K95" s="21"/>
      <c r="L95" s="2"/>
    </row>
    <row r="96" spans="1:12" s="1" customFormat="1" ht="12.75">
      <c r="A96" s="20"/>
      <c r="B96" s="21"/>
      <c r="C96" s="21"/>
      <c r="D96" s="21"/>
      <c r="E96" s="2"/>
      <c r="F96" s="200"/>
      <c r="G96" s="4"/>
      <c r="H96" s="20"/>
      <c r="I96" s="21"/>
      <c r="J96" s="21"/>
      <c r="K96" s="21"/>
      <c r="L96" s="2"/>
    </row>
    <row r="97" spans="1:12" s="1" customFormat="1" ht="12.75">
      <c r="A97" s="20"/>
      <c r="B97" s="21"/>
      <c r="C97" s="21"/>
      <c r="D97" s="21"/>
      <c r="E97" s="2"/>
      <c r="F97" s="4"/>
      <c r="G97" s="4"/>
      <c r="H97" s="20"/>
      <c r="I97" s="21"/>
      <c r="J97" s="21"/>
      <c r="K97" s="21"/>
      <c r="L97" s="2"/>
    </row>
    <row r="98" spans="1:12" s="1" customFormat="1" ht="12.75">
      <c r="A98" s="20"/>
      <c r="B98" s="21"/>
      <c r="C98" s="21"/>
      <c r="D98" s="21"/>
      <c r="E98" s="2"/>
      <c r="F98" s="4"/>
      <c r="G98" s="4"/>
      <c r="H98" s="20"/>
      <c r="I98" s="21"/>
      <c r="J98" s="21"/>
      <c r="K98" s="21"/>
      <c r="L98" s="2"/>
    </row>
    <row r="99" spans="8:12" ht="13.5" thickBot="1">
      <c r="H99" s="21" t="s">
        <v>307</v>
      </c>
      <c r="L99" s="21" t="s">
        <v>307</v>
      </c>
    </row>
    <row r="100" spans="1:12" ht="13.5" thickBot="1">
      <c r="A100" s="823" t="s">
        <v>444</v>
      </c>
      <c r="B100" s="824" t="s">
        <v>168</v>
      </c>
      <c r="C100" s="810" t="s">
        <v>239</v>
      </c>
      <c r="D100" s="810"/>
      <c r="E100" s="810"/>
      <c r="F100" s="810"/>
      <c r="G100" s="810"/>
      <c r="H100" s="810"/>
      <c r="I100" s="24"/>
      <c r="J100" s="825" t="s">
        <v>208</v>
      </c>
      <c r="K100" s="825"/>
      <c r="L100" s="825"/>
    </row>
    <row r="101" spans="1:12" ht="13.5" thickBot="1">
      <c r="A101" s="823"/>
      <c r="B101" s="824"/>
      <c r="C101" s="126" t="s">
        <v>240</v>
      </c>
      <c r="D101" s="127" t="s">
        <v>241</v>
      </c>
      <c r="E101" s="127" t="s">
        <v>242</v>
      </c>
      <c r="F101" s="127" t="s">
        <v>243</v>
      </c>
      <c r="G101" s="128" t="s">
        <v>244</v>
      </c>
      <c r="H101" s="129" t="s">
        <v>228</v>
      </c>
      <c r="I101" s="24"/>
      <c r="J101" s="130"/>
      <c r="K101" s="131" t="s">
        <v>209</v>
      </c>
      <c r="L101" s="132" t="s">
        <v>210</v>
      </c>
    </row>
    <row r="102" spans="1:12" ht="12.75">
      <c r="A102" s="133" t="s">
        <v>245</v>
      </c>
      <c r="B102" s="134">
        <v>67</v>
      </c>
      <c r="C102" s="135">
        <v>59</v>
      </c>
      <c r="D102" s="135"/>
      <c r="E102" s="135"/>
      <c r="F102" s="135"/>
      <c r="G102" s="134"/>
      <c r="H102" s="136">
        <f>SUM(C102:G102)</f>
        <v>59</v>
      </c>
      <c r="I102" s="24"/>
      <c r="J102" s="137">
        <v>2007</v>
      </c>
      <c r="K102" s="138">
        <v>9230</v>
      </c>
      <c r="L102" s="139">
        <f>+G30</f>
        <v>9230</v>
      </c>
    </row>
    <row r="103" spans="1:12" ht="13.5" thickBot="1">
      <c r="A103" s="140" t="s">
        <v>246</v>
      </c>
      <c r="B103" s="141">
        <v>1883</v>
      </c>
      <c r="C103" s="142">
        <v>251</v>
      </c>
      <c r="D103" s="142"/>
      <c r="E103" s="142"/>
      <c r="F103" s="142"/>
      <c r="G103" s="141"/>
      <c r="H103" s="143">
        <f>SUM(C103:G103)</f>
        <v>251</v>
      </c>
      <c r="I103" s="24"/>
      <c r="J103" s="144">
        <v>2008</v>
      </c>
      <c r="K103" s="145">
        <f>L30</f>
        <v>9480</v>
      </c>
      <c r="L103" s="146"/>
    </row>
    <row r="104" ht="12.75" customHeight="1"/>
    <row r="105" ht="13.5" thickBot="1">
      <c r="J105" s="208" t="s">
        <v>323</v>
      </c>
    </row>
    <row r="106" spans="1:10" ht="21" customHeight="1" thickBot="1">
      <c r="A106" s="823" t="s">
        <v>211</v>
      </c>
      <c r="B106" s="826" t="s">
        <v>212</v>
      </c>
      <c r="C106" s="826"/>
      <c r="D106" s="826"/>
      <c r="E106" s="827" t="s">
        <v>274</v>
      </c>
      <c r="F106" s="827"/>
      <c r="G106" s="827"/>
      <c r="H106" s="828" t="s">
        <v>213</v>
      </c>
      <c r="I106" s="828"/>
      <c r="J106" s="828"/>
    </row>
    <row r="107" spans="1:10" ht="12.75">
      <c r="A107" s="823"/>
      <c r="B107" s="147">
        <v>2006</v>
      </c>
      <c r="C107" s="147">
        <v>2007</v>
      </c>
      <c r="D107" s="147" t="s">
        <v>214</v>
      </c>
      <c r="E107" s="147">
        <v>2006</v>
      </c>
      <c r="F107" s="147">
        <v>2007</v>
      </c>
      <c r="G107" s="148" t="s">
        <v>214</v>
      </c>
      <c r="H107" s="149">
        <v>2006</v>
      </c>
      <c r="I107" s="147">
        <v>2007</v>
      </c>
      <c r="J107" s="148" t="s">
        <v>214</v>
      </c>
    </row>
    <row r="108" spans="1:10" ht="18.75">
      <c r="A108" s="150" t="s">
        <v>215</v>
      </c>
      <c r="B108" s="151">
        <v>4</v>
      </c>
      <c r="C108" s="151">
        <v>4</v>
      </c>
      <c r="D108" s="151">
        <f aca="true" t="shared" si="14" ref="D108:D118">+C108-B108</f>
        <v>0</v>
      </c>
      <c r="E108" s="151">
        <v>4</v>
      </c>
      <c r="F108" s="151">
        <v>4</v>
      </c>
      <c r="G108" s="152">
        <f aca="true" t="shared" si="15" ref="G108:G118">+F108-E108</f>
        <v>0</v>
      </c>
      <c r="H108" s="153">
        <v>20657</v>
      </c>
      <c r="I108" s="154">
        <v>22476</v>
      </c>
      <c r="J108" s="155">
        <f aca="true" t="shared" si="16" ref="J108:J118">+I108-H108</f>
        <v>1819</v>
      </c>
    </row>
    <row r="109" spans="1:10" ht="12.75">
      <c r="A109" s="150" t="s">
        <v>248</v>
      </c>
      <c r="B109" s="151">
        <v>6.49</v>
      </c>
      <c r="C109" s="151">
        <v>6</v>
      </c>
      <c r="D109" s="151">
        <f t="shared" si="14"/>
        <v>-0.4900000000000002</v>
      </c>
      <c r="E109" s="151">
        <v>6.49</v>
      </c>
      <c r="F109" s="151">
        <v>6</v>
      </c>
      <c r="G109" s="152">
        <f t="shared" si="15"/>
        <v>-0.4900000000000002</v>
      </c>
      <c r="H109" s="153">
        <v>18527</v>
      </c>
      <c r="I109" s="156">
        <v>21894</v>
      </c>
      <c r="J109" s="155">
        <f t="shared" si="16"/>
        <v>3367</v>
      </c>
    </row>
    <row r="110" spans="1:10" ht="12.75">
      <c r="A110" s="150" t="s">
        <v>216</v>
      </c>
      <c r="B110" s="151"/>
      <c r="C110" s="151"/>
      <c r="D110" s="151">
        <f t="shared" si="14"/>
        <v>0</v>
      </c>
      <c r="E110" s="151"/>
      <c r="F110" s="151"/>
      <c r="G110" s="152">
        <f t="shared" si="15"/>
        <v>0</v>
      </c>
      <c r="H110" s="153"/>
      <c r="I110" s="156"/>
      <c r="J110" s="155">
        <f t="shared" si="16"/>
        <v>0</v>
      </c>
    </row>
    <row r="111" spans="1:10" ht="12.75">
      <c r="A111" s="150" t="s">
        <v>217</v>
      </c>
      <c r="B111" s="151">
        <v>4</v>
      </c>
      <c r="C111" s="151"/>
      <c r="D111" s="151">
        <f t="shared" si="14"/>
        <v>-4</v>
      </c>
      <c r="E111" s="151">
        <v>4</v>
      </c>
      <c r="F111" s="151"/>
      <c r="G111" s="152">
        <f t="shared" si="15"/>
        <v>-4</v>
      </c>
      <c r="H111" s="153">
        <v>13703</v>
      </c>
      <c r="I111" s="156"/>
      <c r="J111" s="155">
        <f t="shared" si="16"/>
        <v>-13703</v>
      </c>
    </row>
    <row r="112" spans="1:10" ht="12.75">
      <c r="A112" s="150" t="s">
        <v>299</v>
      </c>
      <c r="B112" s="151"/>
      <c r="C112" s="151"/>
      <c r="D112" s="151">
        <f t="shared" si="14"/>
        <v>0</v>
      </c>
      <c r="E112" s="151"/>
      <c r="F112" s="151"/>
      <c r="G112" s="152">
        <f t="shared" si="15"/>
        <v>0</v>
      </c>
      <c r="H112" s="153"/>
      <c r="I112" s="156"/>
      <c r="J112" s="155">
        <f t="shared" si="16"/>
        <v>0</v>
      </c>
    </row>
    <row r="113" spans="1:10" ht="12.75">
      <c r="A113" s="150" t="s">
        <v>297</v>
      </c>
      <c r="B113" s="151"/>
      <c r="C113" s="151"/>
      <c r="D113" s="151">
        <f t="shared" si="14"/>
        <v>0</v>
      </c>
      <c r="E113" s="151"/>
      <c r="F113" s="151"/>
      <c r="G113" s="152">
        <f t="shared" si="15"/>
        <v>0</v>
      </c>
      <c r="H113" s="153"/>
      <c r="I113" s="156"/>
      <c r="J113" s="155">
        <f t="shared" si="16"/>
        <v>0</v>
      </c>
    </row>
    <row r="114" spans="1:10" ht="12.75">
      <c r="A114" s="150" t="s">
        <v>325</v>
      </c>
      <c r="B114" s="151"/>
      <c r="C114" s="151"/>
      <c r="D114" s="151">
        <f t="shared" si="14"/>
        <v>0</v>
      </c>
      <c r="E114" s="151"/>
      <c r="F114" s="151"/>
      <c r="G114" s="152">
        <f t="shared" si="15"/>
        <v>0</v>
      </c>
      <c r="H114" s="153"/>
      <c r="I114" s="156"/>
      <c r="J114" s="155">
        <f t="shared" si="16"/>
        <v>0</v>
      </c>
    </row>
    <row r="115" spans="1:10" ht="12.75">
      <c r="A115" s="150" t="s">
        <v>219</v>
      </c>
      <c r="B115" s="151">
        <v>16.19</v>
      </c>
      <c r="C115" s="151">
        <v>20.81</v>
      </c>
      <c r="D115" s="151">
        <f t="shared" si="14"/>
        <v>4.619999999999997</v>
      </c>
      <c r="E115" s="151">
        <v>16.19</v>
      </c>
      <c r="F115" s="151">
        <v>21.75</v>
      </c>
      <c r="G115" s="152">
        <f t="shared" si="15"/>
        <v>5.559999999999999</v>
      </c>
      <c r="H115" s="153">
        <v>12436</v>
      </c>
      <c r="I115" s="156">
        <v>13842</v>
      </c>
      <c r="J115" s="155">
        <f t="shared" si="16"/>
        <v>1406</v>
      </c>
    </row>
    <row r="116" spans="1:10" ht="12.75">
      <c r="A116" s="150" t="s">
        <v>220</v>
      </c>
      <c r="B116" s="151">
        <v>1</v>
      </c>
      <c r="C116" s="151">
        <v>1</v>
      </c>
      <c r="D116" s="151">
        <f t="shared" si="14"/>
        <v>0</v>
      </c>
      <c r="E116" s="151">
        <v>1</v>
      </c>
      <c r="F116" s="151">
        <v>1</v>
      </c>
      <c r="G116" s="152">
        <f t="shared" si="15"/>
        <v>0</v>
      </c>
      <c r="H116" s="153">
        <v>15126</v>
      </c>
      <c r="I116" s="156">
        <v>17041</v>
      </c>
      <c r="J116" s="155">
        <f t="shared" si="16"/>
        <v>1915</v>
      </c>
    </row>
    <row r="117" spans="1:10" ht="12.75">
      <c r="A117" s="150" t="s">
        <v>221</v>
      </c>
      <c r="B117" s="151">
        <v>19.51</v>
      </c>
      <c r="C117" s="151">
        <v>18.93</v>
      </c>
      <c r="D117" s="151">
        <f t="shared" si="14"/>
        <v>-0.5800000000000018</v>
      </c>
      <c r="E117" s="151">
        <v>19.51</v>
      </c>
      <c r="F117" s="151">
        <v>18.69</v>
      </c>
      <c r="G117" s="152">
        <f t="shared" si="15"/>
        <v>-0.8200000000000003</v>
      </c>
      <c r="H117" s="153">
        <v>11179</v>
      </c>
      <c r="I117" s="156">
        <v>12295</v>
      </c>
      <c r="J117" s="155">
        <f t="shared" si="16"/>
        <v>1116</v>
      </c>
    </row>
    <row r="118" spans="1:10" ht="13.5" thickBot="1">
      <c r="A118" s="157" t="s">
        <v>168</v>
      </c>
      <c r="B118" s="158">
        <f>SUM(B108:B117)</f>
        <v>51.19</v>
      </c>
      <c r="C118" s="158">
        <f>SUM(C108:C117)</f>
        <v>50.739999999999995</v>
      </c>
      <c r="D118" s="158">
        <f t="shared" si="14"/>
        <v>-0.45000000000000284</v>
      </c>
      <c r="E118" s="158">
        <f>SUM(E108:E117)</f>
        <v>51.19</v>
      </c>
      <c r="F118" s="158">
        <f>SUM(F108:F117)</f>
        <v>51.44</v>
      </c>
      <c r="G118" s="159">
        <f t="shared" si="15"/>
        <v>0.25</v>
      </c>
      <c r="H118" s="160">
        <v>13523</v>
      </c>
      <c r="I118" s="161">
        <v>14953</v>
      </c>
      <c r="J118" s="162">
        <f t="shared" si="16"/>
        <v>1430</v>
      </c>
    </row>
    <row r="119" ht="13.5" thickBot="1"/>
    <row r="120" spans="1:16" ht="12.75">
      <c r="A120" s="829" t="s">
        <v>222</v>
      </c>
      <c r="B120" s="829"/>
      <c r="C120" s="829"/>
      <c r="D120" s="24"/>
      <c r="E120" s="829" t="s">
        <v>223</v>
      </c>
      <c r="F120" s="829"/>
      <c r="G120" s="829"/>
      <c r="H120"/>
      <c r="I120"/>
      <c r="J120"/>
      <c r="K120"/>
      <c r="L120"/>
      <c r="M120"/>
      <c r="N120"/>
      <c r="O120"/>
      <c r="P120"/>
    </row>
    <row r="121" spans="1:16" ht="13.5" thickBot="1">
      <c r="A121" s="130" t="s">
        <v>224</v>
      </c>
      <c r="B121" s="131" t="s">
        <v>225</v>
      </c>
      <c r="C121" s="132" t="s">
        <v>210</v>
      </c>
      <c r="D121" s="24"/>
      <c r="E121" s="130"/>
      <c r="F121" s="832" t="s">
        <v>226</v>
      </c>
      <c r="G121" s="832"/>
      <c r="H121"/>
      <c r="I121"/>
      <c r="J121"/>
      <c r="K121"/>
      <c r="L121"/>
      <c r="M121"/>
      <c r="N121"/>
      <c r="O121"/>
      <c r="P121"/>
    </row>
    <row r="122" spans="1:16" ht="12.75">
      <c r="A122" s="137">
        <v>2007</v>
      </c>
      <c r="B122" s="138">
        <v>52</v>
      </c>
      <c r="C122" s="139">
        <v>52</v>
      </c>
      <c r="D122" s="24"/>
      <c r="E122" s="137">
        <v>2007</v>
      </c>
      <c r="F122" s="830">
        <v>92</v>
      </c>
      <c r="G122" s="830"/>
      <c r="H122"/>
      <c r="I122"/>
      <c r="J122"/>
      <c r="K122"/>
      <c r="L122"/>
      <c r="M122"/>
      <c r="N122"/>
      <c r="O122"/>
      <c r="P122"/>
    </row>
    <row r="123" spans="1:16" ht="13.5" thickBot="1">
      <c r="A123" s="144">
        <v>2008</v>
      </c>
      <c r="B123" s="145">
        <v>52</v>
      </c>
      <c r="C123" s="146"/>
      <c r="D123" s="24"/>
      <c r="E123" s="144">
        <v>2008</v>
      </c>
      <c r="F123" s="831">
        <v>92</v>
      </c>
      <c r="G123" s="831"/>
      <c r="H123"/>
      <c r="I123"/>
      <c r="J123"/>
      <c r="K123"/>
      <c r="L123"/>
      <c r="M123"/>
      <c r="N123"/>
      <c r="O123"/>
      <c r="P123"/>
    </row>
  </sheetData>
  <mergeCells count="123">
    <mergeCell ref="C72:D72"/>
    <mergeCell ref="F72:G72"/>
    <mergeCell ref="I72:K72"/>
    <mergeCell ref="F73:G73"/>
    <mergeCell ref="C70:D70"/>
    <mergeCell ref="F70:G70"/>
    <mergeCell ref="I70:K70"/>
    <mergeCell ref="C71:D71"/>
    <mergeCell ref="F71:G71"/>
    <mergeCell ref="I71:K71"/>
    <mergeCell ref="C68:D68"/>
    <mergeCell ref="F68:G68"/>
    <mergeCell ref="I68:K68"/>
    <mergeCell ref="C69:D69"/>
    <mergeCell ref="F69:G69"/>
    <mergeCell ref="I69:K69"/>
    <mergeCell ref="A66:E66"/>
    <mergeCell ref="F66:L66"/>
    <mergeCell ref="C67:D67"/>
    <mergeCell ref="F67:G67"/>
    <mergeCell ref="I67:K67"/>
    <mergeCell ref="A100:A101"/>
    <mergeCell ref="F123:G123"/>
    <mergeCell ref="A120:C120"/>
    <mergeCell ref="E120:G120"/>
    <mergeCell ref="F121:G121"/>
    <mergeCell ref="F122:G122"/>
    <mergeCell ref="A106:A107"/>
    <mergeCell ref="B106:D106"/>
    <mergeCell ref="E106:G106"/>
    <mergeCell ref="H106:J106"/>
    <mergeCell ref="H84:H85"/>
    <mergeCell ref="I84:L84"/>
    <mergeCell ref="B100:B101"/>
    <mergeCell ref="C100:H100"/>
    <mergeCell ref="J100:L100"/>
    <mergeCell ref="A84:A85"/>
    <mergeCell ref="B84:B85"/>
    <mergeCell ref="C84:F84"/>
    <mergeCell ref="G84:G85"/>
    <mergeCell ref="L53:L54"/>
    <mergeCell ref="A63:B63"/>
    <mergeCell ref="D63:F63"/>
    <mergeCell ref="H63:K63"/>
    <mergeCell ref="A55:B55"/>
    <mergeCell ref="D55:F55"/>
    <mergeCell ref="H55:K55"/>
    <mergeCell ref="A56:B56"/>
    <mergeCell ref="D56:F56"/>
    <mergeCell ref="H56:K56"/>
    <mergeCell ref="A44:B44"/>
    <mergeCell ref="D44:F44"/>
    <mergeCell ref="H44:K44"/>
    <mergeCell ref="A45:B45"/>
    <mergeCell ref="D45:F45"/>
    <mergeCell ref="H45:K45"/>
    <mergeCell ref="A1:N1"/>
    <mergeCell ref="J39:L39"/>
    <mergeCell ref="B40:D40"/>
    <mergeCell ref="E40:G40"/>
    <mergeCell ref="B4:D4"/>
    <mergeCell ref="E4:G4"/>
    <mergeCell ref="J4:L4"/>
    <mergeCell ref="A3:A6"/>
    <mergeCell ref="B3:N3"/>
    <mergeCell ref="H4:I4"/>
    <mergeCell ref="G53:G54"/>
    <mergeCell ref="D48:F48"/>
    <mergeCell ref="H48:K48"/>
    <mergeCell ref="A49:B49"/>
    <mergeCell ref="D49:F49"/>
    <mergeCell ref="H49:K49"/>
    <mergeCell ref="A51:B51"/>
    <mergeCell ref="D51:F51"/>
    <mergeCell ref="H51:K51"/>
    <mergeCell ref="A48:B48"/>
    <mergeCell ref="H53:K54"/>
    <mergeCell ref="A50:B50"/>
    <mergeCell ref="D50:F50"/>
    <mergeCell ref="A57:B57"/>
    <mergeCell ref="D57:F57"/>
    <mergeCell ref="H57:K57"/>
    <mergeCell ref="H50:K50"/>
    <mergeCell ref="A53:B54"/>
    <mergeCell ref="C53:C54"/>
    <mergeCell ref="D53:F54"/>
    <mergeCell ref="A58:B58"/>
    <mergeCell ref="D58:F58"/>
    <mergeCell ref="H58:K58"/>
    <mergeCell ref="A59:B59"/>
    <mergeCell ref="D59:F59"/>
    <mergeCell ref="H59:K59"/>
    <mergeCell ref="H60:K60"/>
    <mergeCell ref="A60:B60"/>
    <mergeCell ref="D60:F60"/>
    <mergeCell ref="H61:K61"/>
    <mergeCell ref="A61:B61"/>
    <mergeCell ref="D61:F61"/>
    <mergeCell ref="L78:M78"/>
    <mergeCell ref="A62:B62"/>
    <mergeCell ref="D62:F62"/>
    <mergeCell ref="H62:K62"/>
    <mergeCell ref="A78:A80"/>
    <mergeCell ref="B78:B80"/>
    <mergeCell ref="C78:I78"/>
    <mergeCell ref="J78:J80"/>
    <mergeCell ref="C79:C80"/>
    <mergeCell ref="D79:I79"/>
    <mergeCell ref="M4:N4"/>
    <mergeCell ref="B39:D39"/>
    <mergeCell ref="E39:G39"/>
    <mergeCell ref="A42:B43"/>
    <mergeCell ref="C42:C43"/>
    <mergeCell ref="D42:F43"/>
    <mergeCell ref="G42:G43"/>
    <mergeCell ref="H42:K43"/>
    <mergeCell ref="L42:L43"/>
    <mergeCell ref="A46:B46"/>
    <mergeCell ref="D46:F46"/>
    <mergeCell ref="H46:K46"/>
    <mergeCell ref="A47:B47"/>
    <mergeCell ref="D47:F47"/>
    <mergeCell ref="H47:K47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3" r:id="rId1"/>
  <headerFooter alignWithMargins="0">
    <oddFooter>&amp;C&amp;P</oddFooter>
  </headerFooter>
  <rowBreaks count="1" manualBreakCount="1">
    <brk id="7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SheetLayoutView="100" workbookViewId="0" topLeftCell="A1">
      <selection activeCell="J89" sqref="J89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875"/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307</v>
      </c>
    </row>
    <row r="3" spans="1:14" ht="24" customHeight="1" thickBot="1">
      <c r="A3" s="876" t="s">
        <v>165</v>
      </c>
      <c r="B3" s="792" t="s">
        <v>404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4" ht="14.25" thickBot="1" thickTop="1">
      <c r="A4" s="876"/>
      <c r="B4" s="790" t="s">
        <v>308</v>
      </c>
      <c r="C4" s="790"/>
      <c r="D4" s="790"/>
      <c r="E4" s="790" t="s">
        <v>417</v>
      </c>
      <c r="F4" s="790"/>
      <c r="G4" s="790"/>
      <c r="H4" s="793" t="s">
        <v>309</v>
      </c>
      <c r="I4" s="793"/>
      <c r="J4" s="790" t="s">
        <v>418</v>
      </c>
      <c r="K4" s="790"/>
      <c r="L4" s="790"/>
      <c r="M4" s="790" t="s">
        <v>419</v>
      </c>
      <c r="N4" s="790"/>
    </row>
    <row r="5" spans="1:14" ht="14.25" thickBot="1" thickTop="1">
      <c r="A5" s="876"/>
      <c r="B5" s="66" t="s">
        <v>166</v>
      </c>
      <c r="C5" s="67" t="s">
        <v>167</v>
      </c>
      <c r="D5" s="68" t="s">
        <v>168</v>
      </c>
      <c r="E5" s="66" t="s">
        <v>166</v>
      </c>
      <c r="F5" s="67" t="s">
        <v>167</v>
      </c>
      <c r="G5" s="68" t="s">
        <v>168</v>
      </c>
      <c r="H5" s="69" t="s">
        <v>168</v>
      </c>
      <c r="I5" s="69" t="s">
        <v>169</v>
      </c>
      <c r="J5" s="70" t="s">
        <v>166</v>
      </c>
      <c r="K5" s="67" t="s">
        <v>167</v>
      </c>
      <c r="L5" s="68" t="s">
        <v>168</v>
      </c>
      <c r="M5" s="69" t="s">
        <v>168</v>
      </c>
      <c r="N5" s="68" t="s">
        <v>169</v>
      </c>
    </row>
    <row r="6" spans="1:14" ht="14.25" thickBot="1" thickTop="1">
      <c r="A6" s="791"/>
      <c r="B6" s="183" t="s">
        <v>170</v>
      </c>
      <c r="C6" s="184" t="s">
        <v>170</v>
      </c>
      <c r="D6" s="185"/>
      <c r="E6" s="183" t="s">
        <v>170</v>
      </c>
      <c r="F6" s="184" t="s">
        <v>170</v>
      </c>
      <c r="G6" s="185"/>
      <c r="H6" s="189" t="s">
        <v>171</v>
      </c>
      <c r="I6" s="189" t="s">
        <v>172</v>
      </c>
      <c r="J6" s="197" t="s">
        <v>170</v>
      </c>
      <c r="K6" s="184" t="s">
        <v>170</v>
      </c>
      <c r="L6" s="185"/>
      <c r="M6" s="189" t="s">
        <v>171</v>
      </c>
      <c r="N6" s="185" t="s">
        <v>172</v>
      </c>
    </row>
    <row r="7" spans="1:14" ht="13.5" customHeight="1">
      <c r="A7" s="274" t="s">
        <v>173</v>
      </c>
      <c r="B7" s="163"/>
      <c r="C7" s="164"/>
      <c r="D7" s="167">
        <f aca="true" t="shared" si="0" ref="D7:D18">SUM(B7:C7)</f>
        <v>0</v>
      </c>
      <c r="E7" s="163"/>
      <c r="F7" s="164"/>
      <c r="G7" s="167">
        <f aca="true" t="shared" si="1" ref="G7:G18">SUM(E7:F7)</f>
        <v>0</v>
      </c>
      <c r="H7" s="191">
        <f aca="true" t="shared" si="2" ref="H7:H38">+G7-D7</f>
        <v>0</v>
      </c>
      <c r="I7" s="195"/>
      <c r="J7" s="163"/>
      <c r="K7" s="164"/>
      <c r="L7" s="167">
        <f aca="true" t="shared" si="3" ref="L7:L18">SUM(J7:K7)</f>
        <v>0</v>
      </c>
      <c r="M7" s="191">
        <f aca="true" t="shared" si="4" ref="M7:M38">+L7-G7</f>
        <v>0</v>
      </c>
      <c r="N7" s="192"/>
    </row>
    <row r="8" spans="1:14" ht="13.5" customHeight="1">
      <c r="A8" s="275" t="s">
        <v>174</v>
      </c>
      <c r="B8" s="14">
        <v>9785</v>
      </c>
      <c r="C8" s="13"/>
      <c r="D8" s="168">
        <f t="shared" si="0"/>
        <v>9785</v>
      </c>
      <c r="E8" s="14">
        <v>17224.51</v>
      </c>
      <c r="F8" s="13"/>
      <c r="G8" s="168">
        <f t="shared" si="1"/>
        <v>17224.51</v>
      </c>
      <c r="H8" s="193">
        <f t="shared" si="2"/>
        <v>7439.509999999998</v>
      </c>
      <c r="I8" s="196">
        <f aca="true" t="shared" si="5" ref="I8:I22">+G8/D8</f>
        <v>1.7602973939703626</v>
      </c>
      <c r="J8" s="14">
        <v>17500</v>
      </c>
      <c r="K8" s="13"/>
      <c r="L8" s="168">
        <f t="shared" si="3"/>
        <v>17500</v>
      </c>
      <c r="M8" s="193">
        <f t="shared" si="4"/>
        <v>275.4900000000016</v>
      </c>
      <c r="N8" s="194">
        <f aca="true" t="shared" si="6" ref="N8:N22">+L8/G8</f>
        <v>1.0159940689169098</v>
      </c>
    </row>
    <row r="9" spans="1:14" ht="13.5" customHeight="1">
      <c r="A9" s="275" t="s">
        <v>175</v>
      </c>
      <c r="B9" s="14"/>
      <c r="C9" s="13"/>
      <c r="D9" s="168">
        <f t="shared" si="0"/>
        <v>0</v>
      </c>
      <c r="E9" s="14"/>
      <c r="F9" s="13"/>
      <c r="G9" s="168">
        <f t="shared" si="1"/>
        <v>0</v>
      </c>
      <c r="H9" s="193">
        <f t="shared" si="2"/>
        <v>0</v>
      </c>
      <c r="I9" s="196"/>
      <c r="J9" s="14"/>
      <c r="K9" s="13"/>
      <c r="L9" s="168">
        <f t="shared" si="3"/>
        <v>0</v>
      </c>
      <c r="M9" s="193">
        <f t="shared" si="4"/>
        <v>0</v>
      </c>
      <c r="N9" s="194"/>
    </row>
    <row r="10" spans="1:14" ht="13.5" customHeight="1">
      <c r="A10" s="275" t="s">
        <v>176</v>
      </c>
      <c r="B10" s="14"/>
      <c r="C10" s="13"/>
      <c r="D10" s="168">
        <f t="shared" si="0"/>
        <v>0</v>
      </c>
      <c r="E10" s="14"/>
      <c r="F10" s="13"/>
      <c r="G10" s="168">
        <f t="shared" si="1"/>
        <v>0</v>
      </c>
      <c r="H10" s="193">
        <f t="shared" si="2"/>
        <v>0</v>
      </c>
      <c r="I10" s="196"/>
      <c r="J10" s="14"/>
      <c r="K10" s="13"/>
      <c r="L10" s="168">
        <f t="shared" si="3"/>
        <v>0</v>
      </c>
      <c r="M10" s="193">
        <f t="shared" si="4"/>
        <v>0</v>
      </c>
      <c r="N10" s="194"/>
    </row>
    <row r="11" spans="1:14" ht="13.5" customHeight="1">
      <c r="A11" s="275" t="s">
        <v>177</v>
      </c>
      <c r="B11" s="14">
        <v>222</v>
      </c>
      <c r="C11" s="13"/>
      <c r="D11" s="168">
        <f t="shared" si="0"/>
        <v>222</v>
      </c>
      <c r="E11" s="14">
        <v>133.98</v>
      </c>
      <c r="F11" s="13"/>
      <c r="G11" s="168">
        <f t="shared" si="1"/>
        <v>133.98</v>
      </c>
      <c r="H11" s="193">
        <f t="shared" si="2"/>
        <v>-88.02000000000001</v>
      </c>
      <c r="I11" s="196">
        <f t="shared" si="5"/>
        <v>0.6035135135135135</v>
      </c>
      <c r="J11" s="14"/>
      <c r="K11" s="13"/>
      <c r="L11" s="168">
        <f t="shared" si="3"/>
        <v>0</v>
      </c>
      <c r="M11" s="193">
        <f t="shared" si="4"/>
        <v>-133.98</v>
      </c>
      <c r="N11" s="194">
        <f t="shared" si="6"/>
        <v>0</v>
      </c>
    </row>
    <row r="12" spans="1:14" ht="13.5" customHeight="1">
      <c r="A12" s="276" t="s">
        <v>178</v>
      </c>
      <c r="B12" s="14">
        <v>88</v>
      </c>
      <c r="C12" s="13"/>
      <c r="D12" s="168">
        <f t="shared" si="0"/>
        <v>88</v>
      </c>
      <c r="E12" s="14">
        <v>8.82</v>
      </c>
      <c r="F12" s="13"/>
      <c r="G12" s="168">
        <f t="shared" si="1"/>
        <v>8.82</v>
      </c>
      <c r="H12" s="193">
        <f t="shared" si="2"/>
        <v>-79.18</v>
      </c>
      <c r="I12" s="196">
        <f t="shared" si="5"/>
        <v>0.10022727272727273</v>
      </c>
      <c r="J12" s="14"/>
      <c r="K12" s="13"/>
      <c r="L12" s="168">
        <f t="shared" si="3"/>
        <v>0</v>
      </c>
      <c r="M12" s="193">
        <f t="shared" si="4"/>
        <v>-8.82</v>
      </c>
      <c r="N12" s="194">
        <f t="shared" si="6"/>
        <v>0</v>
      </c>
    </row>
    <row r="13" spans="1:14" ht="13.5" customHeight="1">
      <c r="A13" s="276" t="s">
        <v>179</v>
      </c>
      <c r="B13" s="14"/>
      <c r="C13" s="13"/>
      <c r="D13" s="168">
        <f t="shared" si="0"/>
        <v>0</v>
      </c>
      <c r="E13" s="14"/>
      <c r="F13" s="13"/>
      <c r="G13" s="168">
        <f t="shared" si="1"/>
        <v>0</v>
      </c>
      <c r="H13" s="193">
        <f t="shared" si="2"/>
        <v>0</v>
      </c>
      <c r="I13" s="196"/>
      <c r="J13" s="14"/>
      <c r="K13" s="13"/>
      <c r="L13" s="168">
        <f t="shared" si="3"/>
        <v>0</v>
      </c>
      <c r="M13" s="193">
        <f t="shared" si="4"/>
        <v>0</v>
      </c>
      <c r="N13" s="194"/>
    </row>
    <row r="14" spans="1:14" ht="23.25" customHeight="1">
      <c r="A14" s="276" t="s">
        <v>180</v>
      </c>
      <c r="B14" s="14"/>
      <c r="C14" s="13"/>
      <c r="D14" s="168">
        <f t="shared" si="0"/>
        <v>0</v>
      </c>
      <c r="E14" s="14"/>
      <c r="F14" s="13"/>
      <c r="G14" s="168">
        <f t="shared" si="1"/>
        <v>0</v>
      </c>
      <c r="H14" s="193">
        <f t="shared" si="2"/>
        <v>0</v>
      </c>
      <c r="I14" s="196"/>
      <c r="J14" s="14"/>
      <c r="K14" s="13"/>
      <c r="L14" s="168">
        <f t="shared" si="3"/>
        <v>0</v>
      </c>
      <c r="M14" s="193">
        <f t="shared" si="4"/>
        <v>0</v>
      </c>
      <c r="N14" s="194"/>
    </row>
    <row r="15" spans="1:14" ht="13.5" customHeight="1">
      <c r="A15" s="275" t="s">
        <v>181</v>
      </c>
      <c r="B15" s="14">
        <v>11940</v>
      </c>
      <c r="C15" s="13"/>
      <c r="D15" s="168">
        <f t="shared" si="0"/>
        <v>11940</v>
      </c>
      <c r="E15" s="14">
        <v>11229</v>
      </c>
      <c r="F15" s="13"/>
      <c r="G15" s="168">
        <f t="shared" si="1"/>
        <v>11229</v>
      </c>
      <c r="H15" s="193">
        <f t="shared" si="2"/>
        <v>-711</v>
      </c>
      <c r="I15" s="196">
        <f t="shared" si="5"/>
        <v>0.9404522613065327</v>
      </c>
      <c r="J15" s="15">
        <v>7566</v>
      </c>
      <c r="K15" s="279"/>
      <c r="L15" s="168">
        <f t="shared" si="3"/>
        <v>7566</v>
      </c>
      <c r="M15" s="193">
        <f t="shared" si="4"/>
        <v>-3663</v>
      </c>
      <c r="N15" s="194">
        <f t="shared" si="6"/>
        <v>0.6737910766764628</v>
      </c>
    </row>
    <row r="16" spans="1:14" ht="13.5" customHeight="1">
      <c r="A16" s="277" t="s">
        <v>310</v>
      </c>
      <c r="B16" s="14">
        <v>11940</v>
      </c>
      <c r="C16" s="13"/>
      <c r="D16" s="168">
        <f t="shared" si="0"/>
        <v>11940</v>
      </c>
      <c r="E16" s="14">
        <v>3316</v>
      </c>
      <c r="F16" s="13"/>
      <c r="G16" s="168">
        <f t="shared" si="1"/>
        <v>3316</v>
      </c>
      <c r="H16" s="193">
        <f t="shared" si="2"/>
        <v>-8624</v>
      </c>
      <c r="I16" s="196">
        <f t="shared" si="5"/>
        <v>0.2777219430485762</v>
      </c>
      <c r="J16" s="15">
        <v>626</v>
      </c>
      <c r="K16" s="13"/>
      <c r="L16" s="168">
        <f t="shared" si="3"/>
        <v>626</v>
      </c>
      <c r="M16" s="193">
        <f t="shared" si="4"/>
        <v>-2690</v>
      </c>
      <c r="N16" s="194">
        <f t="shared" si="6"/>
        <v>0.1887816646562123</v>
      </c>
    </row>
    <row r="17" spans="1:14" ht="13.5" customHeight="1">
      <c r="A17" s="277" t="s">
        <v>311</v>
      </c>
      <c r="B17" s="14"/>
      <c r="C17" s="13"/>
      <c r="D17" s="168">
        <f t="shared" si="0"/>
        <v>0</v>
      </c>
      <c r="E17" s="14">
        <v>7913</v>
      </c>
      <c r="F17" s="13"/>
      <c r="G17" s="168">
        <f t="shared" si="1"/>
        <v>7913</v>
      </c>
      <c r="H17" s="193">
        <f t="shared" si="2"/>
        <v>7913</v>
      </c>
      <c r="I17" s="196"/>
      <c r="J17" s="15">
        <v>6940</v>
      </c>
      <c r="K17" s="13"/>
      <c r="L17" s="168">
        <f t="shared" si="3"/>
        <v>6940</v>
      </c>
      <c r="M17" s="193">
        <f t="shared" si="4"/>
        <v>-973</v>
      </c>
      <c r="N17" s="194">
        <f t="shared" si="6"/>
        <v>0.8770377859219006</v>
      </c>
    </row>
    <row r="18" spans="1:14" ht="13.5" customHeight="1" thickBot="1">
      <c r="A18" s="278" t="s">
        <v>416</v>
      </c>
      <c r="B18" s="165"/>
      <c r="C18" s="166"/>
      <c r="D18" s="168">
        <f t="shared" si="0"/>
        <v>0</v>
      </c>
      <c r="E18" s="165"/>
      <c r="F18" s="166"/>
      <c r="G18" s="168">
        <f t="shared" si="1"/>
        <v>0</v>
      </c>
      <c r="H18" s="271"/>
      <c r="I18" s="273"/>
      <c r="J18" s="169"/>
      <c r="K18" s="166"/>
      <c r="L18" s="168">
        <f t="shared" si="3"/>
        <v>0</v>
      </c>
      <c r="M18" s="271"/>
      <c r="N18" s="272"/>
    </row>
    <row r="19" spans="1:14" ht="13.5" customHeight="1" thickBot="1">
      <c r="A19" s="182" t="s">
        <v>182</v>
      </c>
      <c r="B19" s="186">
        <f aca="true" t="shared" si="7" ref="B19:G19">SUM(B7+B8+B9+B10+B11+B13+B15)</f>
        <v>21947</v>
      </c>
      <c r="C19" s="187">
        <f t="shared" si="7"/>
        <v>0</v>
      </c>
      <c r="D19" s="188">
        <f t="shared" si="7"/>
        <v>21947</v>
      </c>
      <c r="E19" s="186">
        <f t="shared" si="7"/>
        <v>28587.489999999998</v>
      </c>
      <c r="F19" s="187">
        <f t="shared" si="7"/>
        <v>0</v>
      </c>
      <c r="G19" s="188">
        <f t="shared" si="7"/>
        <v>28587.489999999998</v>
      </c>
      <c r="H19" s="190">
        <f t="shared" si="2"/>
        <v>6640.489999999998</v>
      </c>
      <c r="I19" s="108">
        <f t="shared" si="5"/>
        <v>1.3025693716681095</v>
      </c>
      <c r="J19" s="198">
        <f>SUM(J7+J8+J9+J10+J11+J13+J15)</f>
        <v>25066</v>
      </c>
      <c r="K19" s="187">
        <f>SUM(K7+K8+K9+K10+K11+K13+K15)</f>
        <v>0</v>
      </c>
      <c r="L19" s="188">
        <f>SUM(L7+L8+L9+L10+L11+L13+L15)</f>
        <v>25066</v>
      </c>
      <c r="M19" s="190">
        <f t="shared" si="4"/>
        <v>-3521.489999999998</v>
      </c>
      <c r="N19" s="199">
        <f t="shared" si="6"/>
        <v>0.8768170972687704</v>
      </c>
    </row>
    <row r="20" spans="1:14" ht="13.5" customHeight="1">
      <c r="A20" s="96" t="s">
        <v>183</v>
      </c>
      <c r="B20" s="71">
        <v>4930</v>
      </c>
      <c r="C20" s="72"/>
      <c r="D20" s="73">
        <f aca="true" t="shared" si="8" ref="D20:D37">SUM(B20:C20)</f>
        <v>4930</v>
      </c>
      <c r="E20" s="71">
        <v>9506.19</v>
      </c>
      <c r="F20" s="72"/>
      <c r="G20" s="97">
        <f aca="true" t="shared" si="9" ref="G20:G37">SUM(E20:F20)</f>
        <v>9506.19</v>
      </c>
      <c r="H20" s="98">
        <f t="shared" si="2"/>
        <v>4576.1900000000005</v>
      </c>
      <c r="I20" s="99">
        <f t="shared" si="5"/>
        <v>1.9282332657200811</v>
      </c>
      <c r="J20" s="76">
        <v>5199</v>
      </c>
      <c r="K20" s="72"/>
      <c r="L20" s="100">
        <f aca="true" t="shared" si="10" ref="L20:L37">SUM(J20:K20)</f>
        <v>5199</v>
      </c>
      <c r="M20" s="98">
        <f t="shared" si="4"/>
        <v>-4307.1900000000005</v>
      </c>
      <c r="N20" s="101">
        <f t="shared" si="6"/>
        <v>0.546906804934469</v>
      </c>
    </row>
    <row r="21" spans="1:14" ht="21" customHeight="1">
      <c r="A21" s="82" t="s">
        <v>184</v>
      </c>
      <c r="B21" s="71">
        <v>1134</v>
      </c>
      <c r="C21" s="72"/>
      <c r="D21" s="73">
        <f t="shared" si="8"/>
        <v>1134</v>
      </c>
      <c r="E21" s="71">
        <v>5615</v>
      </c>
      <c r="F21" s="72"/>
      <c r="G21" s="97">
        <f t="shared" si="9"/>
        <v>5615</v>
      </c>
      <c r="H21" s="74">
        <f t="shared" si="2"/>
        <v>4481</v>
      </c>
      <c r="I21" s="75">
        <f t="shared" si="5"/>
        <v>4.951499118165785</v>
      </c>
      <c r="J21" s="76">
        <v>300</v>
      </c>
      <c r="K21" s="72"/>
      <c r="L21" s="100">
        <f t="shared" si="10"/>
        <v>300</v>
      </c>
      <c r="M21" s="74">
        <f t="shared" si="4"/>
        <v>-5315</v>
      </c>
      <c r="N21" s="77">
        <f t="shared" si="6"/>
        <v>0.053428317008014245</v>
      </c>
    </row>
    <row r="22" spans="1:14" ht="13.5" customHeight="1">
      <c r="A22" s="78" t="s">
        <v>185</v>
      </c>
      <c r="B22" s="79">
        <v>1377</v>
      </c>
      <c r="C22" s="80"/>
      <c r="D22" s="73">
        <f t="shared" si="8"/>
        <v>1377</v>
      </c>
      <c r="E22" s="79">
        <v>1363.17</v>
      </c>
      <c r="F22" s="80"/>
      <c r="G22" s="97">
        <f t="shared" si="9"/>
        <v>1363.17</v>
      </c>
      <c r="H22" s="74">
        <f t="shared" si="2"/>
        <v>-13.829999999999927</v>
      </c>
      <c r="I22" s="75">
        <f t="shared" si="5"/>
        <v>0.9899564270152506</v>
      </c>
      <c r="J22" s="81">
        <v>1560</v>
      </c>
      <c r="K22" s="80"/>
      <c r="L22" s="100">
        <f t="shared" si="10"/>
        <v>1560</v>
      </c>
      <c r="M22" s="74">
        <f t="shared" si="4"/>
        <v>196.82999999999993</v>
      </c>
      <c r="N22" s="77">
        <f t="shared" si="6"/>
        <v>1.1443913818525935</v>
      </c>
    </row>
    <row r="23" spans="1:14" ht="13.5" customHeight="1">
      <c r="A23" s="82" t="s">
        <v>186</v>
      </c>
      <c r="B23" s="79"/>
      <c r="C23" s="80"/>
      <c r="D23" s="73">
        <f t="shared" si="8"/>
        <v>0</v>
      </c>
      <c r="E23" s="79"/>
      <c r="F23" s="80"/>
      <c r="G23" s="97">
        <f t="shared" si="9"/>
        <v>0</v>
      </c>
      <c r="H23" s="74">
        <f t="shared" si="2"/>
        <v>0</v>
      </c>
      <c r="I23" s="75"/>
      <c r="J23" s="81"/>
      <c r="K23" s="80"/>
      <c r="L23" s="100">
        <f t="shared" si="10"/>
        <v>0</v>
      </c>
      <c r="M23" s="74">
        <f t="shared" si="4"/>
        <v>0</v>
      </c>
      <c r="N23" s="77"/>
    </row>
    <row r="24" spans="1:14" ht="13.5" customHeight="1">
      <c r="A24" s="78" t="s">
        <v>298</v>
      </c>
      <c r="B24" s="79">
        <v>20</v>
      </c>
      <c r="C24" s="80"/>
      <c r="D24" s="73">
        <f t="shared" si="8"/>
        <v>20</v>
      </c>
      <c r="E24" s="79">
        <v>53.65</v>
      </c>
      <c r="F24" s="80"/>
      <c r="G24" s="97">
        <f t="shared" si="9"/>
        <v>53.65</v>
      </c>
      <c r="H24" s="74">
        <f t="shared" si="2"/>
        <v>33.65</v>
      </c>
      <c r="I24" s="75">
        <f aca="true" t="shared" si="11" ref="I24:I38">+G24/D24</f>
        <v>2.6825</v>
      </c>
      <c r="J24" s="81">
        <v>30</v>
      </c>
      <c r="K24" s="80"/>
      <c r="L24" s="100">
        <f t="shared" si="10"/>
        <v>30</v>
      </c>
      <c r="M24" s="74">
        <f t="shared" si="4"/>
        <v>-23.65</v>
      </c>
      <c r="N24" s="77">
        <f aca="true" t="shared" si="12" ref="N24:N38">+L24/G24</f>
        <v>0.5591798695246971</v>
      </c>
    </row>
    <row r="25" spans="1:14" ht="13.5" customHeight="1">
      <c r="A25" s="78" t="s">
        <v>187</v>
      </c>
      <c r="B25" s="81">
        <v>1486</v>
      </c>
      <c r="C25" s="80"/>
      <c r="D25" s="73">
        <f t="shared" si="8"/>
        <v>1486</v>
      </c>
      <c r="E25" s="81">
        <v>1722</v>
      </c>
      <c r="F25" s="80"/>
      <c r="G25" s="97">
        <f t="shared" si="9"/>
        <v>1722</v>
      </c>
      <c r="H25" s="74">
        <f t="shared" si="2"/>
        <v>236</v>
      </c>
      <c r="I25" s="75">
        <f t="shared" si="11"/>
        <v>1.1588156123822342</v>
      </c>
      <c r="J25" s="81">
        <v>1400</v>
      </c>
      <c r="K25" s="80"/>
      <c r="L25" s="100">
        <f t="shared" si="10"/>
        <v>1400</v>
      </c>
      <c r="M25" s="74">
        <f t="shared" si="4"/>
        <v>-322</v>
      </c>
      <c r="N25" s="77">
        <f t="shared" si="12"/>
        <v>0.8130081300813008</v>
      </c>
    </row>
    <row r="26" spans="1:14" ht="13.5" customHeight="1">
      <c r="A26" s="82" t="s">
        <v>188</v>
      </c>
      <c r="B26" s="79">
        <v>205</v>
      </c>
      <c r="C26" s="80"/>
      <c r="D26" s="73">
        <f t="shared" si="8"/>
        <v>205</v>
      </c>
      <c r="E26" s="79">
        <v>390.84</v>
      </c>
      <c r="F26" s="80"/>
      <c r="G26" s="97">
        <f t="shared" si="9"/>
        <v>390.84</v>
      </c>
      <c r="H26" s="74">
        <f t="shared" si="2"/>
        <v>185.83999999999997</v>
      </c>
      <c r="I26" s="75">
        <f t="shared" si="11"/>
        <v>1.9065365853658536</v>
      </c>
      <c r="J26" s="102">
        <v>200</v>
      </c>
      <c r="K26" s="80"/>
      <c r="L26" s="100">
        <f t="shared" si="10"/>
        <v>200</v>
      </c>
      <c r="M26" s="74">
        <f t="shared" si="4"/>
        <v>-190.83999999999997</v>
      </c>
      <c r="N26" s="77">
        <f t="shared" si="12"/>
        <v>0.511718350220039</v>
      </c>
    </row>
    <row r="27" spans="1:14" ht="13.5" customHeight="1">
      <c r="A27" s="78" t="s">
        <v>189</v>
      </c>
      <c r="B27" s="79">
        <v>1281</v>
      </c>
      <c r="C27" s="80"/>
      <c r="D27" s="73">
        <f t="shared" si="8"/>
        <v>1281</v>
      </c>
      <c r="E27" s="79">
        <v>1331.04</v>
      </c>
      <c r="F27" s="80"/>
      <c r="G27" s="97">
        <f t="shared" si="9"/>
        <v>1331.04</v>
      </c>
      <c r="H27" s="74">
        <f t="shared" si="2"/>
        <v>50.039999999999964</v>
      </c>
      <c r="I27" s="75">
        <f t="shared" si="11"/>
        <v>1.0390632318501172</v>
      </c>
      <c r="J27" s="102">
        <v>1200</v>
      </c>
      <c r="K27" s="80"/>
      <c r="L27" s="100">
        <f t="shared" si="10"/>
        <v>1200</v>
      </c>
      <c r="M27" s="74">
        <f t="shared" si="4"/>
        <v>-131.03999999999996</v>
      </c>
      <c r="N27" s="77">
        <f t="shared" si="12"/>
        <v>0.9015506671474938</v>
      </c>
    </row>
    <row r="28" spans="1:14" ht="13.5" customHeight="1">
      <c r="A28" s="103" t="s">
        <v>190</v>
      </c>
      <c r="B28" s="81">
        <v>13752</v>
      </c>
      <c r="C28" s="80"/>
      <c r="D28" s="73">
        <f t="shared" si="8"/>
        <v>13752</v>
      </c>
      <c r="E28" s="81">
        <v>15541.72</v>
      </c>
      <c r="F28" s="80"/>
      <c r="G28" s="97">
        <f t="shared" si="9"/>
        <v>15541.72</v>
      </c>
      <c r="H28" s="74">
        <f t="shared" si="2"/>
        <v>1789.7199999999993</v>
      </c>
      <c r="I28" s="75">
        <f t="shared" si="11"/>
        <v>1.1301425247236765</v>
      </c>
      <c r="J28" s="81">
        <v>16933</v>
      </c>
      <c r="K28" s="80"/>
      <c r="L28" s="100">
        <f t="shared" si="10"/>
        <v>16933</v>
      </c>
      <c r="M28" s="74">
        <f t="shared" si="4"/>
        <v>1391.2800000000007</v>
      </c>
      <c r="N28" s="77">
        <f t="shared" si="12"/>
        <v>1.089519049371627</v>
      </c>
    </row>
    <row r="29" spans="1:14" ht="13.5" customHeight="1">
      <c r="A29" s="82" t="s">
        <v>191</v>
      </c>
      <c r="B29" s="79">
        <v>10036</v>
      </c>
      <c r="C29" s="80"/>
      <c r="D29" s="73">
        <f t="shared" si="8"/>
        <v>10036</v>
      </c>
      <c r="E29" s="79">
        <v>11355.11</v>
      </c>
      <c r="F29" s="80"/>
      <c r="G29" s="97">
        <f t="shared" si="9"/>
        <v>11355.11</v>
      </c>
      <c r="H29" s="74">
        <f t="shared" si="2"/>
        <v>1319.1100000000006</v>
      </c>
      <c r="I29" s="75">
        <f t="shared" si="11"/>
        <v>1.1314378238341969</v>
      </c>
      <c r="J29" s="102">
        <v>12360</v>
      </c>
      <c r="K29" s="104"/>
      <c r="L29" s="100">
        <f t="shared" si="10"/>
        <v>12360</v>
      </c>
      <c r="M29" s="74">
        <f t="shared" si="4"/>
        <v>1004.8899999999994</v>
      </c>
      <c r="N29" s="77">
        <f t="shared" si="12"/>
        <v>1.0884967208595953</v>
      </c>
    </row>
    <row r="30" spans="1:14" ht="13.5" customHeight="1">
      <c r="A30" s="103" t="s">
        <v>192</v>
      </c>
      <c r="B30" s="79">
        <v>10032</v>
      </c>
      <c r="C30" s="80"/>
      <c r="D30" s="73">
        <f t="shared" si="8"/>
        <v>10032</v>
      </c>
      <c r="E30" s="79">
        <v>11351</v>
      </c>
      <c r="F30" s="80"/>
      <c r="G30" s="97">
        <f t="shared" si="9"/>
        <v>11351</v>
      </c>
      <c r="H30" s="74">
        <f t="shared" si="2"/>
        <v>1319</v>
      </c>
      <c r="I30" s="75">
        <f t="shared" si="11"/>
        <v>1.1314792663476874</v>
      </c>
      <c r="J30" s="81">
        <v>12350</v>
      </c>
      <c r="K30" s="80"/>
      <c r="L30" s="100">
        <f t="shared" si="10"/>
        <v>12350</v>
      </c>
      <c r="M30" s="74">
        <f t="shared" si="4"/>
        <v>999</v>
      </c>
      <c r="N30" s="77">
        <f t="shared" si="12"/>
        <v>1.088009866972073</v>
      </c>
    </row>
    <row r="31" spans="1:14" ht="13.5" customHeight="1">
      <c r="A31" s="82" t="s">
        <v>193</v>
      </c>
      <c r="B31" s="79">
        <v>4</v>
      </c>
      <c r="C31" s="80"/>
      <c r="D31" s="73">
        <f t="shared" si="8"/>
        <v>4</v>
      </c>
      <c r="E31" s="79">
        <v>4</v>
      </c>
      <c r="F31" s="80"/>
      <c r="G31" s="97">
        <f t="shared" si="9"/>
        <v>4</v>
      </c>
      <c r="H31" s="74">
        <f t="shared" si="2"/>
        <v>0</v>
      </c>
      <c r="I31" s="75">
        <f t="shared" si="11"/>
        <v>1</v>
      </c>
      <c r="J31" s="81">
        <v>10</v>
      </c>
      <c r="K31" s="80"/>
      <c r="L31" s="100">
        <f t="shared" si="10"/>
        <v>10</v>
      </c>
      <c r="M31" s="74">
        <f t="shared" si="4"/>
        <v>6</v>
      </c>
      <c r="N31" s="77">
        <f t="shared" si="12"/>
        <v>2.5</v>
      </c>
    </row>
    <row r="32" spans="1:14" ht="13.5" customHeight="1">
      <c r="A32" s="82" t="s">
        <v>194</v>
      </c>
      <c r="B32" s="79">
        <v>3715</v>
      </c>
      <c r="C32" s="80"/>
      <c r="D32" s="73">
        <f t="shared" si="8"/>
        <v>3715</v>
      </c>
      <c r="E32" s="79">
        <v>4186.61</v>
      </c>
      <c r="F32" s="80"/>
      <c r="G32" s="97">
        <f t="shared" si="9"/>
        <v>4186.61</v>
      </c>
      <c r="H32" s="74">
        <f t="shared" si="2"/>
        <v>471.6099999999997</v>
      </c>
      <c r="I32" s="75">
        <f t="shared" si="11"/>
        <v>1.1269475100942126</v>
      </c>
      <c r="J32" s="81">
        <v>4573</v>
      </c>
      <c r="K32" s="80"/>
      <c r="L32" s="100">
        <f t="shared" si="10"/>
        <v>4573</v>
      </c>
      <c r="M32" s="74">
        <f t="shared" si="4"/>
        <v>386.3900000000003</v>
      </c>
      <c r="N32" s="77">
        <f t="shared" si="12"/>
        <v>1.0922918542687283</v>
      </c>
    </row>
    <row r="33" spans="1:14" ht="13.5" customHeight="1">
      <c r="A33" s="103" t="s">
        <v>195</v>
      </c>
      <c r="B33" s="79">
        <v>59</v>
      </c>
      <c r="C33" s="80"/>
      <c r="D33" s="73">
        <f t="shared" si="8"/>
        <v>59</v>
      </c>
      <c r="E33" s="79">
        <v>8.85</v>
      </c>
      <c r="F33" s="80"/>
      <c r="G33" s="97">
        <f t="shared" si="9"/>
        <v>8.85</v>
      </c>
      <c r="H33" s="74">
        <f t="shared" si="2"/>
        <v>-50.15</v>
      </c>
      <c r="I33" s="75">
        <f t="shared" si="11"/>
        <v>0.15</v>
      </c>
      <c r="J33" s="81"/>
      <c r="K33" s="80"/>
      <c r="L33" s="100">
        <f t="shared" si="10"/>
        <v>0</v>
      </c>
      <c r="M33" s="74">
        <f t="shared" si="4"/>
        <v>-8.85</v>
      </c>
      <c r="N33" s="77">
        <f t="shared" si="12"/>
        <v>0</v>
      </c>
    </row>
    <row r="34" spans="1:14" ht="13.5" customHeight="1">
      <c r="A34" s="103" t="s">
        <v>196</v>
      </c>
      <c r="B34" s="79">
        <v>101</v>
      </c>
      <c r="C34" s="80"/>
      <c r="D34" s="73">
        <f t="shared" si="8"/>
        <v>101</v>
      </c>
      <c r="E34" s="79">
        <v>112.2</v>
      </c>
      <c r="F34" s="80"/>
      <c r="G34" s="97">
        <f t="shared" si="9"/>
        <v>112.2</v>
      </c>
      <c r="H34" s="74">
        <f t="shared" si="2"/>
        <v>11.200000000000003</v>
      </c>
      <c r="I34" s="75">
        <f t="shared" si="11"/>
        <v>1.110891089108911</v>
      </c>
      <c r="J34" s="81">
        <v>100</v>
      </c>
      <c r="K34" s="80"/>
      <c r="L34" s="100">
        <f t="shared" si="10"/>
        <v>100</v>
      </c>
      <c r="M34" s="74">
        <f t="shared" si="4"/>
        <v>-12.200000000000003</v>
      </c>
      <c r="N34" s="77">
        <f t="shared" si="12"/>
        <v>0.8912655971479501</v>
      </c>
    </row>
    <row r="35" spans="1:14" ht="13.5" customHeight="1">
      <c r="A35" s="82" t="s">
        <v>197</v>
      </c>
      <c r="B35" s="79">
        <v>205</v>
      </c>
      <c r="C35" s="80"/>
      <c r="D35" s="73">
        <f t="shared" si="8"/>
        <v>205</v>
      </c>
      <c r="E35" s="79">
        <v>235.19</v>
      </c>
      <c r="F35" s="80"/>
      <c r="G35" s="97">
        <f t="shared" si="9"/>
        <v>235.19</v>
      </c>
      <c r="H35" s="74">
        <f t="shared" si="2"/>
        <v>30.189999999999998</v>
      </c>
      <c r="I35" s="75">
        <f t="shared" si="11"/>
        <v>1.1472682926829267</v>
      </c>
      <c r="J35" s="102">
        <v>218</v>
      </c>
      <c r="K35" s="80"/>
      <c r="L35" s="100">
        <f t="shared" si="10"/>
        <v>218</v>
      </c>
      <c r="M35" s="74">
        <f t="shared" si="4"/>
        <v>-17.189999999999998</v>
      </c>
      <c r="N35" s="77">
        <f t="shared" si="12"/>
        <v>0.9269101577448021</v>
      </c>
    </row>
    <row r="36" spans="1:14" ht="22.5" customHeight="1">
      <c r="A36" s="82" t="s">
        <v>198</v>
      </c>
      <c r="B36" s="79">
        <v>188</v>
      </c>
      <c r="C36" s="80"/>
      <c r="D36" s="73">
        <f t="shared" si="8"/>
        <v>188</v>
      </c>
      <c r="E36" s="79"/>
      <c r="F36" s="80"/>
      <c r="G36" s="97">
        <f t="shared" si="9"/>
        <v>0</v>
      </c>
      <c r="H36" s="74">
        <f t="shared" si="2"/>
        <v>-188</v>
      </c>
      <c r="I36" s="75">
        <f t="shared" si="11"/>
        <v>0</v>
      </c>
      <c r="J36" s="102"/>
      <c r="K36" s="80"/>
      <c r="L36" s="100">
        <f t="shared" si="10"/>
        <v>0</v>
      </c>
      <c r="M36" s="74">
        <f t="shared" si="4"/>
        <v>0</v>
      </c>
      <c r="N36" s="77"/>
    </row>
    <row r="37" spans="1:14" ht="13.5" customHeight="1" thickBot="1">
      <c r="A37" s="105" t="s">
        <v>199</v>
      </c>
      <c r="B37" s="83"/>
      <c r="C37" s="84"/>
      <c r="D37" s="73">
        <f t="shared" si="8"/>
        <v>0</v>
      </c>
      <c r="E37" s="83"/>
      <c r="F37" s="84"/>
      <c r="G37" s="97">
        <f t="shared" si="9"/>
        <v>0</v>
      </c>
      <c r="H37" s="85">
        <f t="shared" si="2"/>
        <v>0</v>
      </c>
      <c r="I37" s="86"/>
      <c r="J37" s="106"/>
      <c r="K37" s="84"/>
      <c r="L37" s="100">
        <f t="shared" si="10"/>
        <v>0</v>
      </c>
      <c r="M37" s="85">
        <f t="shared" si="4"/>
        <v>0</v>
      </c>
      <c r="N37" s="87"/>
    </row>
    <row r="38" spans="1:14" ht="13.5" customHeight="1" thickBot="1">
      <c r="A38" s="88" t="s">
        <v>200</v>
      </c>
      <c r="B38" s="89">
        <f aca="true" t="shared" si="13" ref="B38:G38">SUM(B20+B22+B23+B24+B25+B28+B33+B34+B35+B37)</f>
        <v>21930</v>
      </c>
      <c r="C38" s="90">
        <f t="shared" si="13"/>
        <v>0</v>
      </c>
      <c r="D38" s="91">
        <f t="shared" si="13"/>
        <v>21930</v>
      </c>
      <c r="E38" s="89">
        <f t="shared" si="13"/>
        <v>28542.969999999998</v>
      </c>
      <c r="F38" s="90">
        <f t="shared" si="13"/>
        <v>0</v>
      </c>
      <c r="G38" s="91">
        <f t="shared" si="13"/>
        <v>28542.969999999998</v>
      </c>
      <c r="H38" s="92">
        <f t="shared" si="2"/>
        <v>6612.9699999999975</v>
      </c>
      <c r="I38" s="93">
        <f t="shared" si="11"/>
        <v>1.301549019607843</v>
      </c>
      <c r="J38" s="94">
        <f>SUM(J20+J22+J23+J24+J25+J28+J33+J34+J35+J37)</f>
        <v>25440</v>
      </c>
      <c r="K38" s="90">
        <f>SUM(K20+K22+K23+K24+K25+K28+K33+K34+K35+K37)</f>
        <v>0</v>
      </c>
      <c r="L38" s="91">
        <f>SUM(L20+L22+L23+L24+L25+L28+L33+L34+L35+L37)</f>
        <v>25440</v>
      </c>
      <c r="M38" s="92">
        <f t="shared" si="4"/>
        <v>-3102.9699999999975</v>
      </c>
      <c r="N38" s="95">
        <f t="shared" si="12"/>
        <v>0.8912877671805002</v>
      </c>
    </row>
    <row r="39" spans="1:14" ht="13.5" customHeight="1" thickBot="1">
      <c r="A39" s="88" t="s">
        <v>201</v>
      </c>
      <c r="B39" s="787">
        <f>+D19-D38</f>
        <v>17</v>
      </c>
      <c r="C39" s="787"/>
      <c r="D39" s="787"/>
      <c r="E39" s="787">
        <f>+G19-G38</f>
        <v>44.52000000000044</v>
      </c>
      <c r="F39" s="787"/>
      <c r="G39" s="787">
        <v>-50784</v>
      </c>
      <c r="H39" s="107"/>
      <c r="I39" s="108"/>
      <c r="J39" s="789">
        <f>+L19-L38</f>
        <v>-374</v>
      </c>
      <c r="K39" s="789"/>
      <c r="L39" s="789">
        <v>0</v>
      </c>
      <c r="M39" s="92"/>
      <c r="N39" s="95"/>
    </row>
    <row r="40" spans="1:16" ht="20.25" customHeight="1" thickBot="1">
      <c r="A40" s="109" t="s">
        <v>202</v>
      </c>
      <c r="B40" s="787"/>
      <c r="C40" s="787"/>
      <c r="D40" s="787"/>
      <c r="E40" s="787"/>
      <c r="F40" s="787"/>
      <c r="G40" s="787"/>
      <c r="H40"/>
      <c r="I40"/>
      <c r="J40"/>
      <c r="K40"/>
      <c r="L40"/>
      <c r="M40"/>
      <c r="N40"/>
      <c r="O40"/>
      <c r="P40"/>
    </row>
    <row r="41" spans="2:8" ht="14.25" customHeight="1" thickBot="1">
      <c r="B41" s="7"/>
      <c r="C41" s="7"/>
      <c r="D41" s="16"/>
      <c r="E41" s="7"/>
      <c r="F41" s="7"/>
      <c r="G41" s="7"/>
      <c r="H41" s="7"/>
    </row>
    <row r="42" spans="1:16" ht="13.5" thickBot="1">
      <c r="A42" s="805" t="s">
        <v>312</v>
      </c>
      <c r="B42" s="805"/>
      <c r="C42" s="799" t="s">
        <v>203</v>
      </c>
      <c r="D42" s="805" t="s">
        <v>420</v>
      </c>
      <c r="E42" s="805"/>
      <c r="F42" s="805"/>
      <c r="G42" s="799" t="s">
        <v>203</v>
      </c>
      <c r="H42" s="785" t="s">
        <v>421</v>
      </c>
      <c r="I42" s="785"/>
      <c r="J42" s="785"/>
      <c r="K42" s="785"/>
      <c r="L42" s="799" t="s">
        <v>203</v>
      </c>
      <c r="O42"/>
      <c r="P42"/>
    </row>
    <row r="43" spans="1:16" ht="13.5" thickBot="1">
      <c r="A43" s="805"/>
      <c r="B43" s="805"/>
      <c r="C43" s="799"/>
      <c r="D43" s="805"/>
      <c r="E43" s="805"/>
      <c r="F43" s="805"/>
      <c r="G43" s="799"/>
      <c r="H43" s="785"/>
      <c r="I43" s="785"/>
      <c r="J43" s="785"/>
      <c r="K43" s="785"/>
      <c r="L43" s="799"/>
      <c r="O43"/>
      <c r="P43"/>
    </row>
    <row r="44" spans="1:16" ht="12.75">
      <c r="A44" s="794" t="s">
        <v>455</v>
      </c>
      <c r="B44" s="794"/>
      <c r="C44" s="110">
        <v>104</v>
      </c>
      <c r="D44" s="795" t="s">
        <v>108</v>
      </c>
      <c r="E44" s="795"/>
      <c r="F44" s="795"/>
      <c r="G44" s="111">
        <v>300</v>
      </c>
      <c r="H44" s="802" t="s">
        <v>109</v>
      </c>
      <c r="I44" s="802"/>
      <c r="J44" s="802"/>
      <c r="K44" s="802"/>
      <c r="L44" s="112">
        <v>270</v>
      </c>
      <c r="O44"/>
      <c r="P44"/>
    </row>
    <row r="45" spans="1:16" ht="12.75">
      <c r="A45" s="797" t="s">
        <v>110</v>
      </c>
      <c r="B45" s="797"/>
      <c r="C45" s="113">
        <v>136</v>
      </c>
      <c r="D45" s="795"/>
      <c r="E45" s="795"/>
      <c r="F45" s="795"/>
      <c r="G45" s="114"/>
      <c r="H45" s="802" t="s">
        <v>250</v>
      </c>
      <c r="I45" s="802"/>
      <c r="J45" s="802"/>
      <c r="K45" s="802"/>
      <c r="L45" s="112">
        <v>15</v>
      </c>
      <c r="O45"/>
      <c r="P45"/>
    </row>
    <row r="46" spans="1:16" ht="12.75">
      <c r="A46" s="797"/>
      <c r="B46" s="797"/>
      <c r="C46" s="113"/>
      <c r="D46" s="795"/>
      <c r="E46" s="795"/>
      <c r="F46" s="795"/>
      <c r="G46" s="114"/>
      <c r="H46" s="802"/>
      <c r="I46" s="802"/>
      <c r="J46" s="802"/>
      <c r="K46" s="802"/>
      <c r="L46" s="112"/>
      <c r="O46"/>
      <c r="P46"/>
    </row>
    <row r="47" spans="1:16" ht="12.75">
      <c r="A47" s="797"/>
      <c r="B47" s="797"/>
      <c r="C47" s="115"/>
      <c r="D47" s="797"/>
      <c r="E47" s="797"/>
      <c r="F47" s="797"/>
      <c r="G47" s="116"/>
      <c r="H47" s="776"/>
      <c r="I47" s="776"/>
      <c r="J47" s="776"/>
      <c r="K47" s="776"/>
      <c r="L47" s="112"/>
      <c r="O47"/>
      <c r="P47"/>
    </row>
    <row r="48" spans="1:16" ht="12.75">
      <c r="A48" s="797"/>
      <c r="B48" s="797"/>
      <c r="C48" s="115"/>
      <c r="D48" s="797"/>
      <c r="E48" s="797"/>
      <c r="F48" s="797"/>
      <c r="G48" s="116"/>
      <c r="H48" s="776"/>
      <c r="I48" s="776"/>
      <c r="J48" s="776"/>
      <c r="K48" s="776"/>
      <c r="L48" s="112"/>
      <c r="O48"/>
      <c r="P48"/>
    </row>
    <row r="49" spans="1:16" ht="12.75">
      <c r="A49" s="797"/>
      <c r="B49" s="797"/>
      <c r="C49" s="115"/>
      <c r="D49" s="797"/>
      <c r="E49" s="797"/>
      <c r="F49" s="797"/>
      <c r="G49" s="116"/>
      <c r="H49" s="776"/>
      <c r="I49" s="776"/>
      <c r="J49" s="776"/>
      <c r="K49" s="776"/>
      <c r="L49" s="112"/>
      <c r="O49"/>
      <c r="P49"/>
    </row>
    <row r="50" spans="1:16" ht="13.5" thickBot="1">
      <c r="A50" s="800"/>
      <c r="B50" s="800"/>
      <c r="C50" s="115"/>
      <c r="D50" s="801"/>
      <c r="E50" s="801"/>
      <c r="F50" s="801"/>
      <c r="G50" s="116"/>
      <c r="H50" s="802"/>
      <c r="I50" s="802"/>
      <c r="J50" s="802"/>
      <c r="K50" s="802"/>
      <c r="L50" s="112"/>
      <c r="O50"/>
      <c r="P50"/>
    </row>
    <row r="51" spans="1:16" ht="13.5" thickBot="1">
      <c r="A51" s="811"/>
      <c r="B51" s="811"/>
      <c r="C51" s="117">
        <f>SUM(C44:C50)</f>
        <v>240</v>
      </c>
      <c r="D51" s="812" t="s">
        <v>168</v>
      </c>
      <c r="E51" s="812"/>
      <c r="F51" s="812"/>
      <c r="G51" s="117">
        <f>SUM(G44:G50)</f>
        <v>300</v>
      </c>
      <c r="H51" s="778" t="s">
        <v>168</v>
      </c>
      <c r="I51" s="778"/>
      <c r="J51" s="778"/>
      <c r="K51" s="778"/>
      <c r="L51" s="117">
        <f>SUM(L44:L50)</f>
        <v>285</v>
      </c>
      <c r="M51" s="17"/>
      <c r="N51" s="17"/>
      <c r="O51"/>
      <c r="P51"/>
    </row>
    <row r="52" spans="1:16" s="1" customFormat="1" ht="13.5" customHeight="1" thickBot="1">
      <c r="A52" s="18"/>
      <c r="B52" s="5"/>
      <c r="C52" s="5"/>
      <c r="D52" s="5"/>
      <c r="E52" s="5"/>
      <c r="F52" s="5"/>
      <c r="G52" s="5"/>
      <c r="H52" s="6"/>
      <c r="I52" s="3"/>
      <c r="J52" s="3"/>
      <c r="K52" s="3"/>
      <c r="L52" s="3"/>
      <c r="M52" s="3"/>
      <c r="N52" s="3"/>
      <c r="O52" s="3"/>
      <c r="P52" s="3"/>
    </row>
    <row r="53" spans="1:16" ht="13.5" thickBot="1">
      <c r="A53" s="866" t="s">
        <v>429</v>
      </c>
      <c r="B53" s="867"/>
      <c r="C53" s="869" t="s">
        <v>203</v>
      </c>
      <c r="D53" s="806" t="s">
        <v>430</v>
      </c>
      <c r="E53" s="806"/>
      <c r="F53" s="806"/>
      <c r="G53" s="798" t="s">
        <v>203</v>
      </c>
      <c r="H53" s="785" t="s">
        <v>431</v>
      </c>
      <c r="I53" s="785"/>
      <c r="J53" s="785"/>
      <c r="K53" s="785"/>
      <c r="L53" s="799" t="s">
        <v>203</v>
      </c>
      <c r="O53"/>
      <c r="P53"/>
    </row>
    <row r="54" spans="1:16" ht="13.5" thickBot="1">
      <c r="A54" s="868"/>
      <c r="B54" s="805"/>
      <c r="C54" s="870"/>
      <c r="D54" s="806"/>
      <c r="E54" s="806"/>
      <c r="F54" s="806"/>
      <c r="G54" s="798"/>
      <c r="H54" s="785"/>
      <c r="I54" s="785"/>
      <c r="J54" s="785"/>
      <c r="K54" s="785"/>
      <c r="L54" s="799"/>
      <c r="O54"/>
      <c r="P54"/>
    </row>
    <row r="55" spans="1:16" ht="12.75">
      <c r="A55" s="871" t="s">
        <v>111</v>
      </c>
      <c r="B55" s="803"/>
      <c r="C55" s="201">
        <v>205</v>
      </c>
      <c r="D55" s="804" t="s">
        <v>112</v>
      </c>
      <c r="E55" s="804"/>
      <c r="F55" s="804"/>
      <c r="G55" s="118">
        <v>391</v>
      </c>
      <c r="H55" s="802" t="s">
        <v>112</v>
      </c>
      <c r="I55" s="802"/>
      <c r="J55" s="802"/>
      <c r="K55" s="802"/>
      <c r="L55" s="112">
        <v>200</v>
      </c>
      <c r="O55"/>
      <c r="P55"/>
    </row>
    <row r="56" spans="1:16" ht="13.5" customHeight="1">
      <c r="A56" s="872"/>
      <c r="B56" s="781"/>
      <c r="C56" s="202"/>
      <c r="D56" s="782"/>
      <c r="E56" s="782"/>
      <c r="F56" s="782"/>
      <c r="G56" s="119"/>
      <c r="H56" s="776"/>
      <c r="I56" s="776"/>
      <c r="J56" s="776"/>
      <c r="K56" s="776"/>
      <c r="L56" s="120"/>
      <c r="O56"/>
      <c r="P56"/>
    </row>
    <row r="57" spans="1:16" ht="13.5" customHeight="1">
      <c r="A57" s="872"/>
      <c r="B57" s="781"/>
      <c r="C57" s="202"/>
      <c r="D57" s="782"/>
      <c r="E57" s="782"/>
      <c r="F57" s="782"/>
      <c r="G57" s="119"/>
      <c r="H57" s="776"/>
      <c r="I57" s="776"/>
      <c r="J57" s="776"/>
      <c r="K57" s="776"/>
      <c r="L57" s="120"/>
      <c r="O57"/>
      <c r="P57"/>
    </row>
    <row r="58" spans="1:16" ht="13.5" customHeight="1">
      <c r="A58" s="872"/>
      <c r="B58" s="781"/>
      <c r="C58" s="202"/>
      <c r="D58" s="782"/>
      <c r="E58" s="782"/>
      <c r="F58" s="782"/>
      <c r="G58" s="119"/>
      <c r="H58" s="776"/>
      <c r="I58" s="776"/>
      <c r="J58" s="776"/>
      <c r="K58" s="776"/>
      <c r="L58" s="120"/>
      <c r="O58"/>
      <c r="P58"/>
    </row>
    <row r="59" spans="1:16" ht="13.5" customHeight="1">
      <c r="A59" s="872"/>
      <c r="B59" s="781"/>
      <c r="C59" s="203"/>
      <c r="D59" s="782"/>
      <c r="E59" s="782"/>
      <c r="F59" s="782"/>
      <c r="G59" s="121"/>
      <c r="H59" s="776"/>
      <c r="I59" s="776"/>
      <c r="J59" s="776"/>
      <c r="K59" s="776"/>
      <c r="L59" s="122"/>
      <c r="O59"/>
      <c r="P59"/>
    </row>
    <row r="60" spans="1:16" ht="13.5" customHeight="1">
      <c r="A60" s="872"/>
      <c r="B60" s="781"/>
      <c r="C60" s="203"/>
      <c r="D60" s="782"/>
      <c r="E60" s="782"/>
      <c r="F60" s="782"/>
      <c r="G60" s="121"/>
      <c r="H60" s="776"/>
      <c r="I60" s="776"/>
      <c r="J60" s="776"/>
      <c r="K60" s="776"/>
      <c r="L60" s="122"/>
      <c r="O60"/>
      <c r="P60"/>
    </row>
    <row r="61" spans="1:16" ht="13.5" customHeight="1">
      <c r="A61" s="872"/>
      <c r="B61" s="873"/>
      <c r="C61" s="202"/>
      <c r="D61" s="782"/>
      <c r="E61" s="782"/>
      <c r="F61" s="782"/>
      <c r="G61" s="119"/>
      <c r="H61" s="776"/>
      <c r="I61" s="776"/>
      <c r="J61" s="776"/>
      <c r="K61" s="776"/>
      <c r="L61" s="120"/>
      <c r="O61"/>
      <c r="P61"/>
    </row>
    <row r="62" spans="1:16" ht="13.5" thickBot="1">
      <c r="A62" s="874"/>
      <c r="B62" s="780"/>
      <c r="C62" s="204"/>
      <c r="D62" s="783"/>
      <c r="E62" s="783"/>
      <c r="F62" s="783"/>
      <c r="G62" s="123"/>
      <c r="H62" s="777"/>
      <c r="I62" s="777"/>
      <c r="J62" s="777"/>
      <c r="K62" s="777"/>
      <c r="L62" s="124"/>
      <c r="O62"/>
      <c r="P62"/>
    </row>
    <row r="63" spans="1:16" ht="13.5" thickBot="1">
      <c r="A63" s="877" t="s">
        <v>168</v>
      </c>
      <c r="B63" s="878"/>
      <c r="C63" s="205">
        <f>SUM(C55:C62)</f>
        <v>205</v>
      </c>
      <c r="D63" s="784" t="s">
        <v>168</v>
      </c>
      <c r="E63" s="784"/>
      <c r="F63" s="784"/>
      <c r="G63" s="125">
        <f>SUM(G55:G62)</f>
        <v>391</v>
      </c>
      <c r="H63" s="778" t="s">
        <v>168</v>
      </c>
      <c r="I63" s="778"/>
      <c r="J63" s="778"/>
      <c r="K63" s="778"/>
      <c r="L63" s="117">
        <f>SUM(L55:L62)</f>
        <v>200</v>
      </c>
      <c r="M63" s="17"/>
      <c r="N63" s="17"/>
      <c r="O63"/>
      <c r="P63"/>
    </row>
    <row r="64" spans="1:14" s="1" customFormat="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1" customFormat="1" ht="13.5" thickBo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s="3" customFormat="1" ht="26.25" customHeight="1" thickBot="1">
      <c r="A66" s="833" t="s">
        <v>106</v>
      </c>
      <c r="B66" s="834"/>
      <c r="C66" s="834"/>
      <c r="D66" s="834"/>
      <c r="E66" s="835"/>
      <c r="F66" s="836" t="s">
        <v>107</v>
      </c>
      <c r="G66" s="914"/>
      <c r="H66" s="914"/>
      <c r="I66" s="914"/>
      <c r="J66" s="914"/>
      <c r="K66" s="914"/>
      <c r="L66" s="915"/>
      <c r="M66" s="19"/>
      <c r="N66" s="19"/>
    </row>
    <row r="67" spans="1:14" s="3" customFormat="1" ht="14.25" customHeight="1" thickBot="1">
      <c r="A67" s="417" t="s">
        <v>231</v>
      </c>
      <c r="B67" s="418" t="s">
        <v>96</v>
      </c>
      <c r="C67" s="908" t="s">
        <v>232</v>
      </c>
      <c r="D67" s="908"/>
      <c r="E67" s="419" t="s">
        <v>97</v>
      </c>
      <c r="F67" s="911" t="s">
        <v>231</v>
      </c>
      <c r="G67" s="912"/>
      <c r="H67" s="418" t="s">
        <v>96</v>
      </c>
      <c r="I67" s="908" t="s">
        <v>232</v>
      </c>
      <c r="J67" s="908"/>
      <c r="K67" s="908"/>
      <c r="L67" s="420" t="s">
        <v>97</v>
      </c>
      <c r="M67" s="19"/>
      <c r="N67" s="19"/>
    </row>
    <row r="68" spans="1:14" s="3" customFormat="1" ht="12.75">
      <c r="A68" s="401" t="s">
        <v>98</v>
      </c>
      <c r="B68" s="402">
        <v>81</v>
      </c>
      <c r="C68" s="842" t="s">
        <v>99</v>
      </c>
      <c r="D68" s="842"/>
      <c r="E68" s="403">
        <v>98</v>
      </c>
      <c r="F68" s="843" t="s">
        <v>98</v>
      </c>
      <c r="G68" s="909"/>
      <c r="H68" s="402">
        <v>30</v>
      </c>
      <c r="I68" s="842" t="s">
        <v>99</v>
      </c>
      <c r="J68" s="909"/>
      <c r="K68" s="909"/>
      <c r="L68" s="403">
        <v>45</v>
      </c>
      <c r="M68" s="19"/>
      <c r="N68" s="19"/>
    </row>
    <row r="69" spans="1:14" s="3" customFormat="1" ht="12.75">
      <c r="A69" s="404" t="s">
        <v>100</v>
      </c>
      <c r="B69" s="405">
        <v>18</v>
      </c>
      <c r="C69" s="845" t="s">
        <v>101</v>
      </c>
      <c r="D69" s="845"/>
      <c r="E69" s="406"/>
      <c r="F69" s="846" t="s">
        <v>102</v>
      </c>
      <c r="G69" s="901"/>
      <c r="H69" s="405">
        <v>45</v>
      </c>
      <c r="I69" s="845" t="s">
        <v>101</v>
      </c>
      <c r="J69" s="901"/>
      <c r="K69" s="901"/>
      <c r="L69" s="406"/>
      <c r="M69" s="19"/>
      <c r="N69" s="19"/>
    </row>
    <row r="70" spans="1:14" s="3" customFormat="1" ht="12.75">
      <c r="A70" s="404" t="s">
        <v>103</v>
      </c>
      <c r="B70" s="405">
        <v>39</v>
      </c>
      <c r="C70" s="845" t="s">
        <v>121</v>
      </c>
      <c r="D70" s="845"/>
      <c r="E70" s="406">
        <v>10</v>
      </c>
      <c r="F70" s="845" t="s">
        <v>104</v>
      </c>
      <c r="G70" s="845"/>
      <c r="H70" s="405"/>
      <c r="I70" s="845" t="s">
        <v>121</v>
      </c>
      <c r="J70" s="901"/>
      <c r="K70" s="901"/>
      <c r="L70" s="406">
        <v>10</v>
      </c>
      <c r="M70" s="19"/>
      <c r="N70" s="19"/>
    </row>
    <row r="71" spans="1:14" s="3" customFormat="1" ht="13.5" thickBot="1">
      <c r="A71" s="407"/>
      <c r="B71" s="408"/>
      <c r="C71" s="848"/>
      <c r="D71" s="848"/>
      <c r="E71" s="409"/>
      <c r="F71" s="849" t="s">
        <v>103</v>
      </c>
      <c r="G71" s="910"/>
      <c r="H71" s="408">
        <v>10</v>
      </c>
      <c r="I71" s="848"/>
      <c r="J71" s="910"/>
      <c r="K71" s="910"/>
      <c r="L71" s="409"/>
      <c r="M71" s="19"/>
      <c r="N71" s="19"/>
    </row>
    <row r="72" spans="1:14" s="3" customFormat="1" ht="13.5" thickBot="1">
      <c r="A72" s="410" t="s">
        <v>168</v>
      </c>
      <c r="B72" s="411">
        <f>SUM(B68:B71)</f>
        <v>138</v>
      </c>
      <c r="C72" s="851" t="s">
        <v>168</v>
      </c>
      <c r="D72" s="851"/>
      <c r="E72" s="413">
        <f>SUM(E68:E71)</f>
        <v>108</v>
      </c>
      <c r="F72" s="852" t="s">
        <v>168</v>
      </c>
      <c r="G72" s="913"/>
      <c r="H72" s="412">
        <f>SUM(H68:H71)</f>
        <v>85</v>
      </c>
      <c r="I72" s="851" t="s">
        <v>168</v>
      </c>
      <c r="J72" s="913"/>
      <c r="K72" s="913"/>
      <c r="L72" s="413">
        <f>SUM(L68:L71)</f>
        <v>55</v>
      </c>
      <c r="M72" s="19"/>
      <c r="N72" s="19"/>
    </row>
    <row r="73" spans="1:14" s="3" customFormat="1" ht="13.5" thickBot="1">
      <c r="A73" s="421" t="s">
        <v>105</v>
      </c>
      <c r="B73" s="413">
        <f>B72-E72</f>
        <v>30</v>
      </c>
      <c r="C73" s="19"/>
      <c r="D73" s="19"/>
      <c r="E73" s="19"/>
      <c r="F73" s="916" t="s">
        <v>105</v>
      </c>
      <c r="G73" s="917"/>
      <c r="H73" s="422">
        <f>H72-L72</f>
        <v>30</v>
      </c>
      <c r="I73" s="19"/>
      <c r="J73" s="19"/>
      <c r="K73" s="19"/>
      <c r="L73" s="19"/>
      <c r="M73" s="19"/>
      <c r="N73" s="19"/>
    </row>
    <row r="74" spans="1:14" s="1" customFormat="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s="1" customFormat="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2" s="1" customFormat="1" ht="12.75">
      <c r="A76" s="20"/>
      <c r="B76" s="21"/>
      <c r="C76" s="21"/>
      <c r="D76" s="21"/>
      <c r="E76" s="2"/>
      <c r="F76" s="4"/>
      <c r="G76" s="4"/>
      <c r="H76" s="20"/>
      <c r="I76" s="21"/>
      <c r="J76" s="21"/>
      <c r="K76" s="21"/>
      <c r="L76" s="2"/>
    </row>
    <row r="77" spans="1:12" s="1" customFormat="1" ht="13.5" thickBot="1">
      <c r="A77" s="20"/>
      <c r="B77" s="21"/>
      <c r="C77" s="21"/>
      <c r="D77" s="21"/>
      <c r="E77" s="2"/>
      <c r="F77" s="4"/>
      <c r="G77" s="4"/>
      <c r="H77" s="20"/>
      <c r="I77" s="21"/>
      <c r="J77" s="21" t="s">
        <v>307</v>
      </c>
      <c r="K77" s="21"/>
      <c r="L77" s="2"/>
    </row>
    <row r="78" spans="1:15" s="1" customFormat="1" ht="12.75">
      <c r="A78" s="879" t="s">
        <v>227</v>
      </c>
      <c r="B78" s="882" t="s">
        <v>435</v>
      </c>
      <c r="C78" s="885" t="s">
        <v>436</v>
      </c>
      <c r="D78" s="886"/>
      <c r="E78" s="886"/>
      <c r="F78" s="886"/>
      <c r="G78" s="886"/>
      <c r="H78" s="886"/>
      <c r="I78" s="887"/>
      <c r="J78" s="888" t="s">
        <v>437</v>
      </c>
      <c r="K78" s="7"/>
      <c r="L78" s="864" t="s">
        <v>205</v>
      </c>
      <c r="M78" s="865"/>
      <c r="N78" s="59">
        <v>2006</v>
      </c>
      <c r="O78" s="60">
        <v>2007</v>
      </c>
    </row>
    <row r="79" spans="1:15" s="1" customFormat="1" ht="12.75">
      <c r="A79" s="880"/>
      <c r="B79" s="883"/>
      <c r="C79" s="891" t="s">
        <v>228</v>
      </c>
      <c r="D79" s="893" t="s">
        <v>229</v>
      </c>
      <c r="E79" s="894"/>
      <c r="F79" s="894"/>
      <c r="G79" s="894"/>
      <c r="H79" s="894"/>
      <c r="I79" s="895"/>
      <c r="J79" s="889"/>
      <c r="K79" s="7"/>
      <c r="L79" s="63" t="s">
        <v>273</v>
      </c>
      <c r="M79" s="62"/>
      <c r="N79" s="58"/>
      <c r="O79" s="61"/>
    </row>
    <row r="80" spans="1:15" s="1" customFormat="1" ht="13.5" thickBot="1">
      <c r="A80" s="881"/>
      <c r="B80" s="884"/>
      <c r="C80" s="892"/>
      <c r="D80" s="25">
        <v>1</v>
      </c>
      <c r="E80" s="25">
        <v>2</v>
      </c>
      <c r="F80" s="25">
        <v>3</v>
      </c>
      <c r="G80" s="25">
        <v>4</v>
      </c>
      <c r="H80" s="25">
        <v>5</v>
      </c>
      <c r="I80" s="56">
        <v>6</v>
      </c>
      <c r="J80" s="890"/>
      <c r="K80" s="7"/>
      <c r="L80" s="62" t="s">
        <v>206</v>
      </c>
      <c r="M80" s="63"/>
      <c r="N80" s="22">
        <v>0</v>
      </c>
      <c r="O80" s="23">
        <v>0</v>
      </c>
    </row>
    <row r="81" spans="1:15" s="1" customFormat="1" ht="13.5" thickBot="1">
      <c r="A81" s="26">
        <v>2905</v>
      </c>
      <c r="B81" s="27">
        <v>625</v>
      </c>
      <c r="C81" s="54">
        <f>SUM(D81:I81)</f>
        <v>218</v>
      </c>
      <c r="D81" s="55">
        <v>83</v>
      </c>
      <c r="E81" s="55"/>
      <c r="F81" s="55">
        <v>120</v>
      </c>
      <c r="G81" s="55"/>
      <c r="H81" s="54">
        <v>15</v>
      </c>
      <c r="I81" s="57"/>
      <c r="J81" s="28">
        <f>SUM(A81-B81-C81)</f>
        <v>2062</v>
      </c>
      <c r="K81" s="7"/>
      <c r="L81" s="64" t="s">
        <v>207</v>
      </c>
      <c r="M81" s="65"/>
      <c r="N81" s="52">
        <v>0</v>
      </c>
      <c r="O81" s="53">
        <v>0</v>
      </c>
    </row>
    <row r="82" spans="1:12" s="1" customFormat="1" ht="12.75">
      <c r="A82" s="20"/>
      <c r="B82" s="21"/>
      <c r="C82" s="21"/>
      <c r="D82" s="21"/>
      <c r="E82" s="2"/>
      <c r="F82" s="200"/>
      <c r="G82" s="4"/>
      <c r="H82" s="20"/>
      <c r="I82" s="21"/>
      <c r="J82" s="21"/>
      <c r="K82" s="21"/>
      <c r="L82" s="2"/>
    </row>
    <row r="83" spans="1:12" s="1" customFormat="1" ht="13.5" thickBot="1">
      <c r="A83" s="20"/>
      <c r="B83" s="21"/>
      <c r="C83" s="21"/>
      <c r="D83" s="21"/>
      <c r="E83" s="2"/>
      <c r="F83" s="200"/>
      <c r="G83" s="4"/>
      <c r="H83" s="20"/>
      <c r="I83" s="21"/>
      <c r="J83" s="21"/>
      <c r="K83" s="21"/>
      <c r="L83" s="21" t="s">
        <v>307</v>
      </c>
    </row>
    <row r="84" spans="1:12" s="1" customFormat="1" ht="12.75">
      <c r="A84" s="855" t="s">
        <v>255</v>
      </c>
      <c r="B84" s="857" t="s">
        <v>438</v>
      </c>
      <c r="C84" s="859" t="s">
        <v>439</v>
      </c>
      <c r="D84" s="860"/>
      <c r="E84" s="860"/>
      <c r="F84" s="861"/>
      <c r="G84" s="862" t="s">
        <v>440</v>
      </c>
      <c r="H84" s="896" t="s">
        <v>230</v>
      </c>
      <c r="I84" s="898" t="s">
        <v>441</v>
      </c>
      <c r="J84" s="899"/>
      <c r="K84" s="899"/>
      <c r="L84" s="900"/>
    </row>
    <row r="85" spans="1:12" s="1" customFormat="1" ht="18.75" thickBot="1">
      <c r="A85" s="856"/>
      <c r="B85" s="858"/>
      <c r="C85" s="29" t="s">
        <v>321</v>
      </c>
      <c r="D85" s="30" t="s">
        <v>231</v>
      </c>
      <c r="E85" s="30" t="s">
        <v>232</v>
      </c>
      <c r="F85" s="31" t="s">
        <v>322</v>
      </c>
      <c r="G85" s="863"/>
      <c r="H85" s="897"/>
      <c r="I85" s="174" t="s">
        <v>442</v>
      </c>
      <c r="J85" s="175" t="s">
        <v>231</v>
      </c>
      <c r="K85" s="175" t="s">
        <v>232</v>
      </c>
      <c r="L85" s="176" t="s">
        <v>443</v>
      </c>
    </row>
    <row r="86" spans="1:12" s="1" customFormat="1" ht="12.75">
      <c r="A86" s="32" t="s">
        <v>233</v>
      </c>
      <c r="B86" s="33">
        <v>1226.98</v>
      </c>
      <c r="C86" s="34" t="s">
        <v>234</v>
      </c>
      <c r="D86" s="35" t="s">
        <v>234</v>
      </c>
      <c r="E86" s="35" t="s">
        <v>234</v>
      </c>
      <c r="F86" s="36"/>
      <c r="G86" s="37">
        <v>1547.24</v>
      </c>
      <c r="H86" s="171" t="s">
        <v>234</v>
      </c>
      <c r="I86" s="177" t="s">
        <v>234</v>
      </c>
      <c r="J86" s="178" t="s">
        <v>234</v>
      </c>
      <c r="K86" s="178" t="s">
        <v>234</v>
      </c>
      <c r="L86" s="179" t="s">
        <v>234</v>
      </c>
    </row>
    <row r="87" spans="1:12" s="1" customFormat="1" ht="12.75">
      <c r="A87" s="38" t="s">
        <v>235</v>
      </c>
      <c r="B87" s="39">
        <v>0</v>
      </c>
      <c r="C87" s="40">
        <v>0</v>
      </c>
      <c r="D87" s="41">
        <v>0</v>
      </c>
      <c r="E87" s="41">
        <v>0</v>
      </c>
      <c r="F87" s="42">
        <f>C87+D87-E87</f>
        <v>0</v>
      </c>
      <c r="G87" s="43">
        <v>0</v>
      </c>
      <c r="H87" s="172">
        <f>+G87-F87</f>
        <v>0</v>
      </c>
      <c r="I87" s="40">
        <v>0</v>
      </c>
      <c r="J87" s="41">
        <v>0</v>
      </c>
      <c r="K87" s="41">
        <v>0</v>
      </c>
      <c r="L87" s="42">
        <f>I87+J87-K87</f>
        <v>0</v>
      </c>
    </row>
    <row r="88" spans="1:12" s="1" customFormat="1" ht="12.75">
      <c r="A88" s="38" t="s">
        <v>236</v>
      </c>
      <c r="B88" s="39">
        <v>81.41</v>
      </c>
      <c r="C88" s="40">
        <v>81</v>
      </c>
      <c r="D88" s="41">
        <v>57</v>
      </c>
      <c r="E88" s="41">
        <v>108</v>
      </c>
      <c r="F88" s="42">
        <f>C88+D88-E88</f>
        <v>30</v>
      </c>
      <c r="G88" s="43">
        <v>30</v>
      </c>
      <c r="H88" s="172">
        <f>+G88-F88</f>
        <v>0</v>
      </c>
      <c r="I88" s="40">
        <v>30</v>
      </c>
      <c r="J88" s="41">
        <v>55</v>
      </c>
      <c r="K88" s="41">
        <v>55</v>
      </c>
      <c r="L88" s="42">
        <f>I88+J88-K88</f>
        <v>30</v>
      </c>
    </row>
    <row r="89" spans="1:12" s="1" customFormat="1" ht="12.75">
      <c r="A89" s="38" t="s">
        <v>256</v>
      </c>
      <c r="B89" s="39">
        <v>105</v>
      </c>
      <c r="C89" s="40">
        <v>105</v>
      </c>
      <c r="D89" s="41">
        <v>333</v>
      </c>
      <c r="E89" s="41">
        <v>310</v>
      </c>
      <c r="F89" s="42">
        <f>C89+D89-E89</f>
        <v>128</v>
      </c>
      <c r="G89" s="43">
        <v>128</v>
      </c>
      <c r="H89" s="172">
        <f>+G89-F89</f>
        <v>0</v>
      </c>
      <c r="I89" s="180">
        <v>128</v>
      </c>
      <c r="J89" s="170">
        <v>263</v>
      </c>
      <c r="K89" s="170">
        <v>285</v>
      </c>
      <c r="L89" s="42">
        <f>I89+J89-K89</f>
        <v>106</v>
      </c>
    </row>
    <row r="90" spans="1:12" s="1" customFormat="1" ht="12.75">
      <c r="A90" s="38" t="s">
        <v>237</v>
      </c>
      <c r="B90" s="39">
        <v>1040</v>
      </c>
      <c r="C90" s="50" t="s">
        <v>234</v>
      </c>
      <c r="D90" s="35" t="s">
        <v>234</v>
      </c>
      <c r="E90" s="51" t="s">
        <v>234</v>
      </c>
      <c r="F90" s="42"/>
      <c r="G90" s="43">
        <v>1389</v>
      </c>
      <c r="H90" s="50" t="s">
        <v>234</v>
      </c>
      <c r="I90" s="34"/>
      <c r="J90" s="35"/>
      <c r="K90" s="35"/>
      <c r="L90" s="181">
        <v>0</v>
      </c>
    </row>
    <row r="91" spans="1:12" s="1" customFormat="1" ht="13.5" thickBot="1">
      <c r="A91" s="44" t="s">
        <v>238</v>
      </c>
      <c r="B91" s="45">
        <v>198</v>
      </c>
      <c r="C91" s="46">
        <v>240</v>
      </c>
      <c r="D91" s="47">
        <v>225</v>
      </c>
      <c r="E91" s="47">
        <v>161</v>
      </c>
      <c r="F91" s="48">
        <f>C91+D91-E91</f>
        <v>304</v>
      </c>
      <c r="G91" s="49">
        <v>287</v>
      </c>
      <c r="H91" s="173">
        <f>+G91-F91</f>
        <v>-17</v>
      </c>
      <c r="I91" s="46">
        <v>304</v>
      </c>
      <c r="J91" s="47">
        <v>230</v>
      </c>
      <c r="K91" s="47">
        <v>200</v>
      </c>
      <c r="L91" s="48">
        <f>I91+J91-K91</f>
        <v>334</v>
      </c>
    </row>
    <row r="92" spans="1:12" s="1" customFormat="1" ht="12.75">
      <c r="A92" s="20"/>
      <c r="B92" s="21"/>
      <c r="C92" s="21"/>
      <c r="D92" s="21"/>
      <c r="E92" s="2"/>
      <c r="F92" s="200"/>
      <c r="G92" s="4"/>
      <c r="H92" s="20"/>
      <c r="I92" s="21"/>
      <c r="J92" s="21"/>
      <c r="K92" s="21"/>
      <c r="L92" s="2"/>
    </row>
    <row r="93" spans="1:12" s="1" customFormat="1" ht="12.75">
      <c r="A93" s="20"/>
      <c r="B93" s="21"/>
      <c r="C93" s="21"/>
      <c r="D93" s="21"/>
      <c r="E93" s="2"/>
      <c r="F93" s="200"/>
      <c r="G93" s="4"/>
      <c r="H93" s="20"/>
      <c r="I93" s="21"/>
      <c r="J93" s="21"/>
      <c r="K93" s="21"/>
      <c r="L93" s="2"/>
    </row>
    <row r="94" spans="1:12" s="1" customFormat="1" ht="12.75">
      <c r="A94" s="20"/>
      <c r="B94" s="21"/>
      <c r="C94" s="21"/>
      <c r="D94" s="21"/>
      <c r="E94" s="2"/>
      <c r="F94" s="200"/>
      <c r="G94" s="4"/>
      <c r="H94" s="20"/>
      <c r="I94" s="21"/>
      <c r="J94" s="21"/>
      <c r="K94" s="21"/>
      <c r="L94" s="2"/>
    </row>
    <row r="95" spans="1:12" s="1" customFormat="1" ht="12.75">
      <c r="A95" s="20"/>
      <c r="B95" s="21"/>
      <c r="C95" s="21"/>
      <c r="D95" s="21"/>
      <c r="E95" s="2"/>
      <c r="F95" s="200"/>
      <c r="G95" s="4"/>
      <c r="H95" s="20"/>
      <c r="I95" s="21"/>
      <c r="J95" s="21"/>
      <c r="K95" s="21"/>
      <c r="L95" s="2"/>
    </row>
    <row r="96" spans="1:12" s="1" customFormat="1" ht="12.75">
      <c r="A96" s="20"/>
      <c r="B96" s="21"/>
      <c r="C96" s="21"/>
      <c r="D96" s="21"/>
      <c r="E96" s="2"/>
      <c r="F96" s="200"/>
      <c r="G96" s="4"/>
      <c r="H96" s="20"/>
      <c r="I96" s="21"/>
      <c r="J96" s="21"/>
      <c r="K96" s="21"/>
      <c r="L96" s="2"/>
    </row>
    <row r="97" spans="1:12" s="1" customFormat="1" ht="12.75">
      <c r="A97" s="20"/>
      <c r="B97" s="21"/>
      <c r="C97" s="21"/>
      <c r="D97" s="21"/>
      <c r="E97" s="2"/>
      <c r="F97" s="4"/>
      <c r="G97" s="4"/>
      <c r="H97" s="20"/>
      <c r="I97" s="21"/>
      <c r="J97" s="21"/>
      <c r="K97" s="21"/>
      <c r="L97" s="2"/>
    </row>
    <row r="98" spans="1:12" s="1" customFormat="1" ht="12.75">
      <c r="A98" s="20"/>
      <c r="B98" s="21"/>
      <c r="C98" s="21"/>
      <c r="D98" s="21"/>
      <c r="E98" s="2"/>
      <c r="F98" s="4"/>
      <c r="G98" s="4"/>
      <c r="H98" s="20"/>
      <c r="I98" s="21"/>
      <c r="J98" s="21"/>
      <c r="K98" s="21"/>
      <c r="L98" s="2"/>
    </row>
    <row r="99" spans="8:12" ht="13.5" thickBot="1">
      <c r="H99" s="21" t="s">
        <v>307</v>
      </c>
      <c r="L99" s="21" t="s">
        <v>307</v>
      </c>
    </row>
    <row r="100" spans="1:12" ht="13.5" thickBot="1">
      <c r="A100" s="823" t="s">
        <v>444</v>
      </c>
      <c r="B100" s="824" t="s">
        <v>168</v>
      </c>
      <c r="C100" s="810" t="s">
        <v>239</v>
      </c>
      <c r="D100" s="810"/>
      <c r="E100" s="810"/>
      <c r="F100" s="810"/>
      <c r="G100" s="810"/>
      <c r="H100" s="810"/>
      <c r="I100" s="24"/>
      <c r="J100" s="825" t="s">
        <v>208</v>
      </c>
      <c r="K100" s="825"/>
      <c r="L100" s="825"/>
    </row>
    <row r="101" spans="1:12" ht="13.5" thickBot="1">
      <c r="A101" s="823"/>
      <c r="B101" s="824"/>
      <c r="C101" s="126" t="s">
        <v>240</v>
      </c>
      <c r="D101" s="127" t="s">
        <v>241</v>
      </c>
      <c r="E101" s="127" t="s">
        <v>242</v>
      </c>
      <c r="F101" s="127" t="s">
        <v>243</v>
      </c>
      <c r="G101" s="128" t="s">
        <v>244</v>
      </c>
      <c r="H101" s="129" t="s">
        <v>228</v>
      </c>
      <c r="I101" s="24"/>
      <c r="J101" s="130"/>
      <c r="K101" s="131" t="s">
        <v>209</v>
      </c>
      <c r="L101" s="132" t="s">
        <v>210</v>
      </c>
    </row>
    <row r="102" spans="1:12" ht="12.75">
      <c r="A102" s="133" t="s">
        <v>245</v>
      </c>
      <c r="B102" s="134">
        <v>1044</v>
      </c>
      <c r="C102" s="135">
        <v>411</v>
      </c>
      <c r="D102" s="135"/>
      <c r="E102" s="135"/>
      <c r="F102" s="135">
        <v>4</v>
      </c>
      <c r="G102" s="134">
        <v>4</v>
      </c>
      <c r="H102" s="136">
        <f>SUM(C102:G102)</f>
        <v>419</v>
      </c>
      <c r="I102" s="24"/>
      <c r="J102" s="137">
        <v>2007</v>
      </c>
      <c r="K102" s="138">
        <v>11296</v>
      </c>
      <c r="L102" s="139">
        <f>+G30</f>
        <v>11351</v>
      </c>
    </row>
    <row r="103" spans="1:12" ht="13.5" thickBot="1">
      <c r="A103" s="140" t="s">
        <v>246</v>
      </c>
      <c r="B103" s="141">
        <v>647</v>
      </c>
      <c r="C103" s="142"/>
      <c r="D103" s="142"/>
      <c r="E103" s="142"/>
      <c r="F103" s="142"/>
      <c r="G103" s="141"/>
      <c r="H103" s="143">
        <f>SUM(C103:G103)</f>
        <v>0</v>
      </c>
      <c r="I103" s="24"/>
      <c r="J103" s="144">
        <v>2008</v>
      </c>
      <c r="K103" s="145">
        <f>L30</f>
        <v>12350</v>
      </c>
      <c r="L103" s="146"/>
    </row>
    <row r="104" ht="12.75" customHeight="1"/>
    <row r="105" ht="13.5" thickBot="1">
      <c r="J105" s="208" t="s">
        <v>323</v>
      </c>
    </row>
    <row r="106" spans="1:10" ht="21" customHeight="1" thickBot="1">
      <c r="A106" s="823" t="s">
        <v>211</v>
      </c>
      <c r="B106" s="826" t="s">
        <v>212</v>
      </c>
      <c r="C106" s="826"/>
      <c r="D106" s="826"/>
      <c r="E106" s="827" t="s">
        <v>274</v>
      </c>
      <c r="F106" s="827"/>
      <c r="G106" s="827"/>
      <c r="H106" s="828" t="s">
        <v>213</v>
      </c>
      <c r="I106" s="828"/>
      <c r="J106" s="828"/>
    </row>
    <row r="107" spans="1:10" ht="12.75">
      <c r="A107" s="823"/>
      <c r="B107" s="147">
        <v>2006</v>
      </c>
      <c r="C107" s="147">
        <v>2007</v>
      </c>
      <c r="D107" s="147" t="s">
        <v>214</v>
      </c>
      <c r="E107" s="147">
        <v>2006</v>
      </c>
      <c r="F107" s="147">
        <v>2007</v>
      </c>
      <c r="G107" s="148" t="s">
        <v>214</v>
      </c>
      <c r="H107" s="149">
        <v>2006</v>
      </c>
      <c r="I107" s="147">
        <v>2007</v>
      </c>
      <c r="J107" s="148" t="s">
        <v>214</v>
      </c>
    </row>
    <row r="108" spans="1:10" ht="18.75">
      <c r="A108" s="150" t="s">
        <v>215</v>
      </c>
      <c r="B108" s="151">
        <v>4</v>
      </c>
      <c r="C108" s="151">
        <v>4</v>
      </c>
      <c r="D108" s="151">
        <f aca="true" t="shared" si="14" ref="D108:D118">+C108-B108</f>
        <v>0</v>
      </c>
      <c r="E108" s="151">
        <v>4</v>
      </c>
      <c r="F108" s="151">
        <v>4</v>
      </c>
      <c r="G108" s="152">
        <f aca="true" t="shared" si="15" ref="G108:G118">+F108-E108</f>
        <v>0</v>
      </c>
      <c r="H108" s="153">
        <v>24369</v>
      </c>
      <c r="I108" s="154">
        <v>27503</v>
      </c>
      <c r="J108" s="155">
        <f aca="true" t="shared" si="16" ref="J108:J118">+I108-H108</f>
        <v>3134</v>
      </c>
    </row>
    <row r="109" spans="1:10" ht="12.75">
      <c r="A109" s="150" t="s">
        <v>248</v>
      </c>
      <c r="B109" s="151">
        <v>11.91</v>
      </c>
      <c r="C109" s="151">
        <v>10.18</v>
      </c>
      <c r="D109" s="151">
        <f t="shared" si="14"/>
        <v>-1.7300000000000004</v>
      </c>
      <c r="E109" s="151">
        <v>11.91</v>
      </c>
      <c r="F109" s="151">
        <v>10.18</v>
      </c>
      <c r="G109" s="152">
        <f t="shared" si="15"/>
        <v>-1.7300000000000004</v>
      </c>
      <c r="H109" s="153">
        <v>23799</v>
      </c>
      <c r="I109" s="156">
        <v>27397</v>
      </c>
      <c r="J109" s="155">
        <f t="shared" si="16"/>
        <v>3598</v>
      </c>
    </row>
    <row r="110" spans="1:10" ht="12.75">
      <c r="A110" s="150" t="s">
        <v>216</v>
      </c>
      <c r="B110" s="151"/>
      <c r="C110" s="151"/>
      <c r="D110" s="151">
        <f t="shared" si="14"/>
        <v>0</v>
      </c>
      <c r="E110" s="151"/>
      <c r="F110" s="151"/>
      <c r="G110" s="152">
        <f t="shared" si="15"/>
        <v>0</v>
      </c>
      <c r="H110" s="153"/>
      <c r="I110" s="156"/>
      <c r="J110" s="155">
        <f t="shared" si="16"/>
        <v>0</v>
      </c>
    </row>
    <row r="111" spans="1:10" ht="12.75">
      <c r="A111" s="150" t="s">
        <v>217</v>
      </c>
      <c r="B111" s="151">
        <v>18.89</v>
      </c>
      <c r="C111" s="151">
        <v>22.12</v>
      </c>
      <c r="D111" s="151">
        <f t="shared" si="14"/>
        <v>3.2300000000000004</v>
      </c>
      <c r="E111" s="151">
        <v>18.89</v>
      </c>
      <c r="F111" s="151">
        <v>22.12</v>
      </c>
      <c r="G111" s="152">
        <f t="shared" si="15"/>
        <v>3.2300000000000004</v>
      </c>
      <c r="H111" s="153">
        <v>13986</v>
      </c>
      <c r="I111" s="156">
        <v>13716</v>
      </c>
      <c r="J111" s="155">
        <f t="shared" si="16"/>
        <v>-270</v>
      </c>
    </row>
    <row r="112" spans="1:10" ht="12.75">
      <c r="A112" s="150" t="s">
        <v>299</v>
      </c>
      <c r="B112" s="151">
        <v>1</v>
      </c>
      <c r="C112" s="151">
        <v>1</v>
      </c>
      <c r="D112" s="151">
        <f t="shared" si="14"/>
        <v>0</v>
      </c>
      <c r="E112" s="151">
        <v>1</v>
      </c>
      <c r="F112" s="151">
        <v>1</v>
      </c>
      <c r="G112" s="152">
        <f t="shared" si="15"/>
        <v>0</v>
      </c>
      <c r="H112" s="153">
        <v>11728</v>
      </c>
      <c r="I112" s="156">
        <v>13695</v>
      </c>
      <c r="J112" s="155">
        <f t="shared" si="16"/>
        <v>1967</v>
      </c>
    </row>
    <row r="113" spans="1:10" ht="12.75">
      <c r="A113" s="150" t="s">
        <v>297</v>
      </c>
      <c r="B113" s="151">
        <v>0</v>
      </c>
      <c r="C113" s="151">
        <v>1</v>
      </c>
      <c r="D113" s="151">
        <f t="shared" si="14"/>
        <v>1</v>
      </c>
      <c r="E113" s="151">
        <v>0</v>
      </c>
      <c r="F113" s="151">
        <v>1</v>
      </c>
      <c r="G113" s="152">
        <f t="shared" si="15"/>
        <v>1</v>
      </c>
      <c r="H113" s="153"/>
      <c r="I113" s="156">
        <v>23055</v>
      </c>
      <c r="J113" s="155">
        <f t="shared" si="16"/>
        <v>23055</v>
      </c>
    </row>
    <row r="114" spans="1:10" ht="12.75">
      <c r="A114" s="150" t="s">
        <v>325</v>
      </c>
      <c r="B114" s="151">
        <v>8</v>
      </c>
      <c r="C114" s="151">
        <v>8</v>
      </c>
      <c r="D114" s="151">
        <f>D112</f>
        <v>0</v>
      </c>
      <c r="E114" s="151">
        <v>8</v>
      </c>
      <c r="F114" s="151">
        <v>8</v>
      </c>
      <c r="G114" s="152">
        <f t="shared" si="15"/>
        <v>0</v>
      </c>
      <c r="H114" s="153">
        <v>11589</v>
      </c>
      <c r="I114" s="156">
        <v>12568</v>
      </c>
      <c r="J114" s="155">
        <f t="shared" si="16"/>
        <v>979</v>
      </c>
    </row>
    <row r="115" spans="1:10" ht="12.75">
      <c r="A115" s="150" t="s">
        <v>219</v>
      </c>
      <c r="B115" s="151"/>
      <c r="C115" s="151"/>
      <c r="D115" s="151">
        <f t="shared" si="14"/>
        <v>0</v>
      </c>
      <c r="E115" s="151"/>
      <c r="F115" s="151"/>
      <c r="G115" s="152">
        <f t="shared" si="15"/>
        <v>0</v>
      </c>
      <c r="H115" s="153"/>
      <c r="I115" s="156"/>
      <c r="J115" s="155">
        <f t="shared" si="16"/>
        <v>0</v>
      </c>
    </row>
    <row r="116" spans="1:10" ht="12.75">
      <c r="A116" s="150" t="s">
        <v>220</v>
      </c>
      <c r="B116" s="151">
        <v>2</v>
      </c>
      <c r="C116" s="151">
        <v>2</v>
      </c>
      <c r="D116" s="151">
        <v>0</v>
      </c>
      <c r="E116" s="151">
        <v>2</v>
      </c>
      <c r="F116" s="151">
        <v>2</v>
      </c>
      <c r="G116" s="152">
        <v>0</v>
      </c>
      <c r="H116" s="153">
        <v>15201</v>
      </c>
      <c r="I116" s="156">
        <v>19443</v>
      </c>
      <c r="J116" s="155">
        <f t="shared" si="16"/>
        <v>4242</v>
      </c>
    </row>
    <row r="117" spans="1:10" ht="12.75">
      <c r="A117" s="150" t="s">
        <v>221</v>
      </c>
      <c r="B117" s="151">
        <v>11.14</v>
      </c>
      <c r="C117" s="151">
        <v>12.91</v>
      </c>
      <c r="D117" s="151">
        <f t="shared" si="14"/>
        <v>1.7699999999999996</v>
      </c>
      <c r="E117" s="151">
        <v>11.14</v>
      </c>
      <c r="F117" s="151">
        <v>12.91</v>
      </c>
      <c r="G117" s="152">
        <f t="shared" si="15"/>
        <v>1.7699999999999996</v>
      </c>
      <c r="H117" s="153">
        <v>13833</v>
      </c>
      <c r="I117" s="156">
        <v>13320</v>
      </c>
      <c r="J117" s="155">
        <f t="shared" si="16"/>
        <v>-513</v>
      </c>
    </row>
    <row r="118" spans="1:10" ht="13.5" thickBot="1">
      <c r="A118" s="157" t="s">
        <v>168</v>
      </c>
      <c r="B118" s="158"/>
      <c r="C118" s="158"/>
      <c r="D118" s="158">
        <f t="shared" si="14"/>
        <v>0</v>
      </c>
      <c r="E118" s="158"/>
      <c r="F118" s="158"/>
      <c r="G118" s="159">
        <f t="shared" si="15"/>
        <v>0</v>
      </c>
      <c r="H118" s="160"/>
      <c r="I118" s="161"/>
      <c r="J118" s="162">
        <f t="shared" si="16"/>
        <v>0</v>
      </c>
    </row>
    <row r="119" ht="13.5" thickBot="1"/>
    <row r="120" spans="1:16" ht="12.75">
      <c r="A120" s="829" t="s">
        <v>222</v>
      </c>
      <c r="B120" s="829"/>
      <c r="C120" s="829"/>
      <c r="D120" s="24"/>
      <c r="E120" s="829" t="s">
        <v>223</v>
      </c>
      <c r="F120" s="829"/>
      <c r="G120" s="829"/>
      <c r="H120"/>
      <c r="I120"/>
      <c r="J120"/>
      <c r="K120"/>
      <c r="L120"/>
      <c r="M120"/>
      <c r="N120"/>
      <c r="O120"/>
      <c r="P120"/>
    </row>
    <row r="121" spans="1:16" ht="13.5" thickBot="1">
      <c r="A121" s="130" t="s">
        <v>224</v>
      </c>
      <c r="B121" s="131" t="s">
        <v>225</v>
      </c>
      <c r="C121" s="132" t="s">
        <v>210</v>
      </c>
      <c r="D121" s="24"/>
      <c r="E121" s="130"/>
      <c r="F121" s="832" t="s">
        <v>226</v>
      </c>
      <c r="G121" s="832"/>
      <c r="H121"/>
      <c r="I121"/>
      <c r="J121"/>
      <c r="K121"/>
      <c r="L121"/>
      <c r="M121"/>
      <c r="N121"/>
      <c r="O121"/>
      <c r="P121"/>
    </row>
    <row r="122" spans="1:16" ht="12.75">
      <c r="A122" s="137">
        <v>2007</v>
      </c>
      <c r="B122" s="138">
        <v>58.76</v>
      </c>
      <c r="C122" s="139">
        <v>58.76</v>
      </c>
      <c r="D122" s="24"/>
      <c r="E122" s="137">
        <v>2007</v>
      </c>
      <c r="F122" s="830">
        <v>135</v>
      </c>
      <c r="G122" s="830"/>
      <c r="H122"/>
      <c r="I122"/>
      <c r="J122"/>
      <c r="K122"/>
      <c r="L122"/>
      <c r="M122"/>
      <c r="N122"/>
      <c r="O122"/>
      <c r="P122"/>
    </row>
    <row r="123" spans="1:16" ht="13.5" thickBot="1">
      <c r="A123" s="144">
        <v>2008</v>
      </c>
      <c r="B123" s="145">
        <v>61</v>
      </c>
      <c r="C123" s="146"/>
      <c r="D123" s="24"/>
      <c r="E123" s="144">
        <v>2008</v>
      </c>
      <c r="F123" s="831">
        <v>132</v>
      </c>
      <c r="G123" s="831"/>
      <c r="H123"/>
      <c r="I123"/>
      <c r="J123"/>
      <c r="K123"/>
      <c r="L123"/>
      <c r="M123"/>
      <c r="N123"/>
      <c r="O123"/>
      <c r="P123"/>
    </row>
  </sheetData>
  <mergeCells count="123">
    <mergeCell ref="F123:G123"/>
    <mergeCell ref="A66:E66"/>
    <mergeCell ref="F66:L66"/>
    <mergeCell ref="C72:D72"/>
    <mergeCell ref="I72:K72"/>
    <mergeCell ref="F73:G73"/>
    <mergeCell ref="A120:C120"/>
    <mergeCell ref="E120:G120"/>
    <mergeCell ref="F121:G121"/>
    <mergeCell ref="F122:G122"/>
    <mergeCell ref="A106:A107"/>
    <mergeCell ref="B106:D106"/>
    <mergeCell ref="E106:G106"/>
    <mergeCell ref="H106:J106"/>
    <mergeCell ref="A84:A85"/>
    <mergeCell ref="B84:B85"/>
    <mergeCell ref="C84:F84"/>
    <mergeCell ref="G84:G85"/>
    <mergeCell ref="A63:B63"/>
    <mergeCell ref="D63:F63"/>
    <mergeCell ref="H63:K63"/>
    <mergeCell ref="A78:A80"/>
    <mergeCell ref="B78:B80"/>
    <mergeCell ref="C78:I78"/>
    <mergeCell ref="J78:J80"/>
    <mergeCell ref="C79:C80"/>
    <mergeCell ref="D79:I79"/>
    <mergeCell ref="F72:G72"/>
    <mergeCell ref="A51:B51"/>
    <mergeCell ref="D51:F51"/>
    <mergeCell ref="H51:K51"/>
    <mergeCell ref="C42:C43"/>
    <mergeCell ref="D42:F43"/>
    <mergeCell ref="G42:G43"/>
    <mergeCell ref="H42:K43"/>
    <mergeCell ref="A48:B48"/>
    <mergeCell ref="D48:F48"/>
    <mergeCell ref="A49:B49"/>
    <mergeCell ref="A1:N1"/>
    <mergeCell ref="J39:L39"/>
    <mergeCell ref="B40:D40"/>
    <mergeCell ref="E40:G40"/>
    <mergeCell ref="B4:D4"/>
    <mergeCell ref="E4:G4"/>
    <mergeCell ref="J4:L4"/>
    <mergeCell ref="A3:A6"/>
    <mergeCell ref="B3:N3"/>
    <mergeCell ref="H4:I4"/>
    <mergeCell ref="A61:B61"/>
    <mergeCell ref="D61:F61"/>
    <mergeCell ref="H61:K61"/>
    <mergeCell ref="A62:B62"/>
    <mergeCell ref="D62:F62"/>
    <mergeCell ref="H62:K62"/>
    <mergeCell ref="D59:F59"/>
    <mergeCell ref="H59:K59"/>
    <mergeCell ref="A60:B60"/>
    <mergeCell ref="D60:F60"/>
    <mergeCell ref="H60:K60"/>
    <mergeCell ref="A59:B59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D49:F49"/>
    <mergeCell ref="H49:K49"/>
    <mergeCell ref="H53:K54"/>
    <mergeCell ref="A50:B50"/>
    <mergeCell ref="D50:F50"/>
    <mergeCell ref="H50:K50"/>
    <mergeCell ref="A53:B54"/>
    <mergeCell ref="C53:C54"/>
    <mergeCell ref="D53:F54"/>
    <mergeCell ref="G53:G54"/>
    <mergeCell ref="A47:B47"/>
    <mergeCell ref="D47:F47"/>
    <mergeCell ref="H47:K47"/>
    <mergeCell ref="H48:K48"/>
    <mergeCell ref="B39:D39"/>
    <mergeCell ref="E39:G39"/>
    <mergeCell ref="C70:D70"/>
    <mergeCell ref="F70:G70"/>
    <mergeCell ref="F68:G68"/>
    <mergeCell ref="C67:D67"/>
    <mergeCell ref="F67:G67"/>
    <mergeCell ref="A44:B44"/>
    <mergeCell ref="D44:F44"/>
    <mergeCell ref="A45:B45"/>
    <mergeCell ref="C71:D71"/>
    <mergeCell ref="F71:G71"/>
    <mergeCell ref="I71:K71"/>
    <mergeCell ref="A42:B43"/>
    <mergeCell ref="H44:K44"/>
    <mergeCell ref="D45:F45"/>
    <mergeCell ref="H45:K45"/>
    <mergeCell ref="A46:B46"/>
    <mergeCell ref="D46:F46"/>
    <mergeCell ref="H46:K46"/>
    <mergeCell ref="C69:D69"/>
    <mergeCell ref="F69:G69"/>
    <mergeCell ref="I69:K69"/>
    <mergeCell ref="C68:D68"/>
    <mergeCell ref="M4:N4"/>
    <mergeCell ref="L78:M78"/>
    <mergeCell ref="H84:H85"/>
    <mergeCell ref="I84:L84"/>
    <mergeCell ref="I67:K67"/>
    <mergeCell ref="I68:K68"/>
    <mergeCell ref="I70:K70"/>
    <mergeCell ref="L53:L54"/>
    <mergeCell ref="L42:L43"/>
    <mergeCell ref="A100:A101"/>
    <mergeCell ref="B100:B101"/>
    <mergeCell ref="C100:H100"/>
    <mergeCell ref="J100:L100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Normal="90" zoomScaleSheetLayoutView="100" workbookViewId="0" topLeftCell="A1">
      <selection activeCell="K33" sqref="K33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875"/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307</v>
      </c>
    </row>
    <row r="3" spans="1:14" ht="24" customHeight="1" thickBot="1">
      <c r="A3" s="876" t="s">
        <v>165</v>
      </c>
      <c r="B3" s="792" t="s">
        <v>660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4" ht="14.25" thickBot="1" thickTop="1">
      <c r="A4" s="876"/>
      <c r="B4" s="790" t="s">
        <v>308</v>
      </c>
      <c r="C4" s="790"/>
      <c r="D4" s="790"/>
      <c r="E4" s="790" t="s">
        <v>417</v>
      </c>
      <c r="F4" s="790"/>
      <c r="G4" s="790"/>
      <c r="H4" s="793" t="s">
        <v>309</v>
      </c>
      <c r="I4" s="793"/>
      <c r="J4" s="790" t="s">
        <v>418</v>
      </c>
      <c r="K4" s="790"/>
      <c r="L4" s="790"/>
      <c r="M4" s="790" t="s">
        <v>419</v>
      </c>
      <c r="N4" s="790"/>
    </row>
    <row r="5" spans="1:14" ht="14.25" thickBot="1" thickTop="1">
      <c r="A5" s="876"/>
      <c r="B5" s="66" t="s">
        <v>166</v>
      </c>
      <c r="C5" s="67" t="s">
        <v>167</v>
      </c>
      <c r="D5" s="68" t="s">
        <v>168</v>
      </c>
      <c r="E5" s="66" t="s">
        <v>166</v>
      </c>
      <c r="F5" s="67" t="s">
        <v>167</v>
      </c>
      <c r="G5" s="68" t="s">
        <v>168</v>
      </c>
      <c r="H5" s="69" t="s">
        <v>168</v>
      </c>
      <c r="I5" s="69" t="s">
        <v>169</v>
      </c>
      <c r="J5" s="70" t="s">
        <v>166</v>
      </c>
      <c r="K5" s="67" t="s">
        <v>167</v>
      </c>
      <c r="L5" s="68" t="s">
        <v>168</v>
      </c>
      <c r="M5" s="69" t="s">
        <v>168</v>
      </c>
      <c r="N5" s="68" t="s">
        <v>169</v>
      </c>
    </row>
    <row r="6" spans="1:14" ht="14.25" thickBot="1" thickTop="1">
      <c r="A6" s="791"/>
      <c r="B6" s="183" t="s">
        <v>170</v>
      </c>
      <c r="C6" s="184" t="s">
        <v>170</v>
      </c>
      <c r="D6" s="185"/>
      <c r="E6" s="183" t="s">
        <v>170</v>
      </c>
      <c r="F6" s="184" t="s">
        <v>170</v>
      </c>
      <c r="G6" s="185"/>
      <c r="H6" s="189" t="s">
        <v>171</v>
      </c>
      <c r="I6" s="189" t="s">
        <v>172</v>
      </c>
      <c r="J6" s="197" t="s">
        <v>170</v>
      </c>
      <c r="K6" s="184" t="s">
        <v>170</v>
      </c>
      <c r="L6" s="185"/>
      <c r="M6" s="189" t="s">
        <v>171</v>
      </c>
      <c r="N6" s="185" t="s">
        <v>172</v>
      </c>
    </row>
    <row r="7" spans="1:14" ht="13.5" customHeight="1">
      <c r="A7" s="274" t="s">
        <v>173</v>
      </c>
      <c r="B7" s="163">
        <v>0</v>
      </c>
      <c r="C7" s="164">
        <v>0</v>
      </c>
      <c r="D7" s="167">
        <f aca="true" t="shared" si="0" ref="D7:D18">SUM(B7:C7)</f>
        <v>0</v>
      </c>
      <c r="E7" s="163">
        <v>0</v>
      </c>
      <c r="F7" s="164">
        <v>0</v>
      </c>
      <c r="G7" s="167">
        <f aca="true" t="shared" si="1" ref="G7:G18">SUM(E7:F7)</f>
        <v>0</v>
      </c>
      <c r="H7" s="191">
        <f aca="true" t="shared" si="2" ref="H7:H38">+G7-D7</f>
        <v>0</v>
      </c>
      <c r="I7" s="195"/>
      <c r="J7" s="163">
        <v>0</v>
      </c>
      <c r="K7" s="164">
        <v>0</v>
      </c>
      <c r="L7" s="167">
        <f aca="true" t="shared" si="3" ref="L7:L18">SUM(J7:K7)</f>
        <v>0</v>
      </c>
      <c r="M7" s="191">
        <f aca="true" t="shared" si="4" ref="M7:M38">+L7-G7</f>
        <v>0</v>
      </c>
      <c r="N7" s="192"/>
    </row>
    <row r="8" spans="1:14" ht="13.5" customHeight="1">
      <c r="A8" s="275" t="s">
        <v>174</v>
      </c>
      <c r="B8" s="14">
        <v>0</v>
      </c>
      <c r="C8" s="13">
        <v>0</v>
      </c>
      <c r="D8" s="168">
        <f t="shared" si="0"/>
        <v>0</v>
      </c>
      <c r="E8" s="14">
        <v>0</v>
      </c>
      <c r="F8" s="13">
        <v>0</v>
      </c>
      <c r="G8" s="168">
        <f t="shared" si="1"/>
        <v>0</v>
      </c>
      <c r="H8" s="193">
        <f t="shared" si="2"/>
        <v>0</v>
      </c>
      <c r="I8" s="196"/>
      <c r="J8" s="14">
        <v>0</v>
      </c>
      <c r="K8" s="13">
        <v>0</v>
      </c>
      <c r="L8" s="168">
        <f t="shared" si="3"/>
        <v>0</v>
      </c>
      <c r="M8" s="193">
        <f t="shared" si="4"/>
        <v>0</v>
      </c>
      <c r="N8" s="194"/>
    </row>
    <row r="9" spans="1:14" ht="13.5" customHeight="1">
      <c r="A9" s="275" t="s">
        <v>175</v>
      </c>
      <c r="B9" s="14">
        <v>0</v>
      </c>
      <c r="C9" s="13">
        <v>0</v>
      </c>
      <c r="D9" s="168">
        <f t="shared" si="0"/>
        <v>0</v>
      </c>
      <c r="E9" s="14">
        <v>0</v>
      </c>
      <c r="F9" s="13">
        <v>0</v>
      </c>
      <c r="G9" s="168">
        <f t="shared" si="1"/>
        <v>0</v>
      </c>
      <c r="H9" s="193">
        <f t="shared" si="2"/>
        <v>0</v>
      </c>
      <c r="I9" s="196"/>
      <c r="J9" s="14">
        <v>0</v>
      </c>
      <c r="K9" s="13">
        <v>0</v>
      </c>
      <c r="L9" s="168">
        <f t="shared" si="3"/>
        <v>0</v>
      </c>
      <c r="M9" s="193">
        <f t="shared" si="4"/>
        <v>0</v>
      </c>
      <c r="N9" s="194"/>
    </row>
    <row r="10" spans="1:14" ht="13.5" customHeight="1">
      <c r="A10" s="275" t="s">
        <v>176</v>
      </c>
      <c r="B10" s="14">
        <v>0</v>
      </c>
      <c r="C10" s="13">
        <v>0</v>
      </c>
      <c r="D10" s="168">
        <f t="shared" si="0"/>
        <v>0</v>
      </c>
      <c r="E10" s="14">
        <v>0</v>
      </c>
      <c r="F10" s="13">
        <v>0</v>
      </c>
      <c r="G10" s="168">
        <f t="shared" si="1"/>
        <v>0</v>
      </c>
      <c r="H10" s="193">
        <f t="shared" si="2"/>
        <v>0</v>
      </c>
      <c r="I10" s="196"/>
      <c r="J10" s="14">
        <v>0</v>
      </c>
      <c r="K10" s="13">
        <v>0</v>
      </c>
      <c r="L10" s="168">
        <f t="shared" si="3"/>
        <v>0</v>
      </c>
      <c r="M10" s="193">
        <f t="shared" si="4"/>
        <v>0</v>
      </c>
      <c r="N10" s="194"/>
    </row>
    <row r="11" spans="1:14" ht="13.5" customHeight="1">
      <c r="A11" s="275" t="s">
        <v>177</v>
      </c>
      <c r="B11" s="14">
        <v>18</v>
      </c>
      <c r="C11" s="13">
        <v>0</v>
      </c>
      <c r="D11" s="168">
        <f t="shared" si="0"/>
        <v>18</v>
      </c>
      <c r="E11" s="14">
        <v>23</v>
      </c>
      <c r="F11" s="13">
        <v>0</v>
      </c>
      <c r="G11" s="168">
        <f t="shared" si="1"/>
        <v>23</v>
      </c>
      <c r="H11" s="193">
        <f t="shared" si="2"/>
        <v>5</v>
      </c>
      <c r="I11" s="196">
        <f aca="true" t="shared" si="5" ref="I11:I22">+G11/D11</f>
        <v>1.2777777777777777</v>
      </c>
      <c r="J11" s="14">
        <v>12</v>
      </c>
      <c r="K11" s="13">
        <v>0</v>
      </c>
      <c r="L11" s="168">
        <f t="shared" si="3"/>
        <v>12</v>
      </c>
      <c r="M11" s="193">
        <f t="shared" si="4"/>
        <v>-11</v>
      </c>
      <c r="N11" s="194">
        <f aca="true" t="shared" si="6" ref="N11:N22">+L11/G11</f>
        <v>0.5217391304347826</v>
      </c>
    </row>
    <row r="12" spans="1:14" ht="13.5" customHeight="1">
      <c r="A12" s="276" t="s">
        <v>178</v>
      </c>
      <c r="B12" s="14">
        <v>10</v>
      </c>
      <c r="C12" s="13">
        <v>0</v>
      </c>
      <c r="D12" s="168">
        <f t="shared" si="0"/>
        <v>10</v>
      </c>
      <c r="E12" s="14">
        <v>13</v>
      </c>
      <c r="F12" s="13">
        <v>0</v>
      </c>
      <c r="G12" s="168">
        <f t="shared" si="1"/>
        <v>13</v>
      </c>
      <c r="H12" s="193">
        <f t="shared" si="2"/>
        <v>3</v>
      </c>
      <c r="I12" s="196">
        <f t="shared" si="5"/>
        <v>1.3</v>
      </c>
      <c r="J12" s="14">
        <v>0</v>
      </c>
      <c r="K12" s="13">
        <v>0</v>
      </c>
      <c r="L12" s="168">
        <f t="shared" si="3"/>
        <v>0</v>
      </c>
      <c r="M12" s="193">
        <f t="shared" si="4"/>
        <v>-13</v>
      </c>
      <c r="N12" s="194">
        <f t="shared" si="6"/>
        <v>0</v>
      </c>
    </row>
    <row r="13" spans="1:14" ht="13.5" customHeight="1">
      <c r="A13" s="276" t="s">
        <v>179</v>
      </c>
      <c r="B13" s="14">
        <v>0</v>
      </c>
      <c r="C13" s="13">
        <v>0</v>
      </c>
      <c r="D13" s="168">
        <f t="shared" si="0"/>
        <v>0</v>
      </c>
      <c r="E13" s="14">
        <v>0</v>
      </c>
      <c r="F13" s="13">
        <v>0</v>
      </c>
      <c r="G13" s="168">
        <f t="shared" si="1"/>
        <v>0</v>
      </c>
      <c r="H13" s="193">
        <f t="shared" si="2"/>
        <v>0</v>
      </c>
      <c r="I13" s="196"/>
      <c r="J13" s="14">
        <v>0</v>
      </c>
      <c r="K13" s="13">
        <v>0</v>
      </c>
      <c r="L13" s="168">
        <f t="shared" si="3"/>
        <v>0</v>
      </c>
      <c r="M13" s="193">
        <f t="shared" si="4"/>
        <v>0</v>
      </c>
      <c r="N13" s="194"/>
    </row>
    <row r="14" spans="1:14" ht="23.25" customHeight="1">
      <c r="A14" s="276" t="s">
        <v>180</v>
      </c>
      <c r="B14" s="14">
        <v>0</v>
      </c>
      <c r="C14" s="13">
        <v>0</v>
      </c>
      <c r="D14" s="168">
        <f t="shared" si="0"/>
        <v>0</v>
      </c>
      <c r="E14" s="14">
        <v>0</v>
      </c>
      <c r="F14" s="13">
        <v>0</v>
      </c>
      <c r="G14" s="168">
        <f t="shared" si="1"/>
        <v>0</v>
      </c>
      <c r="H14" s="193">
        <f t="shared" si="2"/>
        <v>0</v>
      </c>
      <c r="I14" s="196"/>
      <c r="J14" s="14">
        <v>0</v>
      </c>
      <c r="K14" s="13">
        <v>0</v>
      </c>
      <c r="L14" s="168">
        <f t="shared" si="3"/>
        <v>0</v>
      </c>
      <c r="M14" s="193">
        <f t="shared" si="4"/>
        <v>0</v>
      </c>
      <c r="N14" s="194"/>
    </row>
    <row r="15" spans="1:14" ht="13.5" customHeight="1">
      <c r="A15" s="275" t="s">
        <v>181</v>
      </c>
      <c r="B15" s="14">
        <v>5462</v>
      </c>
      <c r="C15" s="13">
        <v>0</v>
      </c>
      <c r="D15" s="168">
        <f t="shared" si="0"/>
        <v>5462</v>
      </c>
      <c r="E15" s="14">
        <v>6818.5</v>
      </c>
      <c r="F15" s="13">
        <v>0</v>
      </c>
      <c r="G15" s="168">
        <f t="shared" si="1"/>
        <v>6818.5</v>
      </c>
      <c r="H15" s="193">
        <f t="shared" si="2"/>
        <v>1356.5</v>
      </c>
      <c r="I15" s="196">
        <f t="shared" si="5"/>
        <v>1.2483522519223726</v>
      </c>
      <c r="J15" s="15">
        <v>7155</v>
      </c>
      <c r="K15" s="279">
        <v>0</v>
      </c>
      <c r="L15" s="168">
        <f t="shared" si="3"/>
        <v>7155</v>
      </c>
      <c r="M15" s="193">
        <f t="shared" si="4"/>
        <v>336.5</v>
      </c>
      <c r="N15" s="194">
        <f t="shared" si="6"/>
        <v>1.0493510302852533</v>
      </c>
    </row>
    <row r="16" spans="1:14" ht="13.5" customHeight="1">
      <c r="A16" s="277" t="s">
        <v>310</v>
      </c>
      <c r="B16" s="14">
        <v>5280</v>
      </c>
      <c r="C16" s="13">
        <v>0</v>
      </c>
      <c r="D16" s="168">
        <f t="shared" si="0"/>
        <v>5280</v>
      </c>
      <c r="E16" s="14">
        <v>1107</v>
      </c>
      <c r="F16" s="13">
        <v>0</v>
      </c>
      <c r="G16" s="168">
        <f t="shared" si="1"/>
        <v>1107</v>
      </c>
      <c r="H16" s="193">
        <f t="shared" si="2"/>
        <v>-4173</v>
      </c>
      <c r="I16" s="196">
        <f t="shared" si="5"/>
        <v>0.2096590909090909</v>
      </c>
      <c r="J16" s="15">
        <v>635</v>
      </c>
      <c r="K16" s="13">
        <v>0</v>
      </c>
      <c r="L16" s="168">
        <f t="shared" si="3"/>
        <v>635</v>
      </c>
      <c r="M16" s="193">
        <f t="shared" si="4"/>
        <v>-472</v>
      </c>
      <c r="N16" s="194">
        <f t="shared" si="6"/>
        <v>0.5736224028906955</v>
      </c>
    </row>
    <row r="17" spans="1:14" ht="13.5" customHeight="1">
      <c r="A17" s="277" t="s">
        <v>311</v>
      </c>
      <c r="B17" s="14">
        <v>182</v>
      </c>
      <c r="C17" s="13">
        <v>0</v>
      </c>
      <c r="D17" s="168">
        <f t="shared" si="0"/>
        <v>182</v>
      </c>
      <c r="E17" s="14">
        <v>5712</v>
      </c>
      <c r="F17" s="13">
        <v>0</v>
      </c>
      <c r="G17" s="168">
        <f t="shared" si="1"/>
        <v>5712</v>
      </c>
      <c r="H17" s="193">
        <f t="shared" si="2"/>
        <v>5530</v>
      </c>
      <c r="I17" s="196"/>
      <c r="J17" s="15">
        <v>6520</v>
      </c>
      <c r="K17" s="13">
        <v>0</v>
      </c>
      <c r="L17" s="168">
        <f t="shared" si="3"/>
        <v>6520</v>
      </c>
      <c r="M17" s="193">
        <f t="shared" si="4"/>
        <v>808</v>
      </c>
      <c r="N17" s="194">
        <f t="shared" si="6"/>
        <v>1.1414565826330532</v>
      </c>
    </row>
    <row r="18" spans="1:14" ht="13.5" customHeight="1" thickBot="1">
      <c r="A18" s="278" t="s">
        <v>416</v>
      </c>
      <c r="B18" s="165"/>
      <c r="C18" s="166">
        <v>0</v>
      </c>
      <c r="D18" s="168">
        <f t="shared" si="0"/>
        <v>0</v>
      </c>
      <c r="E18" s="165"/>
      <c r="F18" s="166">
        <v>0</v>
      </c>
      <c r="G18" s="168">
        <f t="shared" si="1"/>
        <v>0</v>
      </c>
      <c r="H18" s="271"/>
      <c r="I18" s="273"/>
      <c r="J18" s="169"/>
      <c r="K18" s="166">
        <v>0</v>
      </c>
      <c r="L18" s="168">
        <f t="shared" si="3"/>
        <v>0</v>
      </c>
      <c r="M18" s="271"/>
      <c r="N18" s="272"/>
    </row>
    <row r="19" spans="1:14" ht="13.5" customHeight="1" thickBot="1">
      <c r="A19" s="182" t="s">
        <v>182</v>
      </c>
      <c r="B19" s="186">
        <f aca="true" t="shared" si="7" ref="B19:G19">SUM(B7+B8+B9+B10+B11+B13+B15)</f>
        <v>5480</v>
      </c>
      <c r="C19" s="187">
        <v>0</v>
      </c>
      <c r="D19" s="188">
        <f t="shared" si="7"/>
        <v>5480</v>
      </c>
      <c r="E19" s="186">
        <f t="shared" si="7"/>
        <v>6841.5</v>
      </c>
      <c r="F19" s="187">
        <v>0</v>
      </c>
      <c r="G19" s="188">
        <f t="shared" si="7"/>
        <v>6841.5</v>
      </c>
      <c r="H19" s="190">
        <f t="shared" si="2"/>
        <v>1361.5</v>
      </c>
      <c r="I19" s="108">
        <f t="shared" si="5"/>
        <v>1.2484489051094891</v>
      </c>
      <c r="J19" s="198">
        <f>SUM(J7+J8+J9+J10+J11+J13+J15)</f>
        <v>7167</v>
      </c>
      <c r="K19" s="187">
        <f>SUM(K7+K8+K9+K10+K11+K13+K15)</f>
        <v>0</v>
      </c>
      <c r="L19" s="188">
        <f>SUM(L7+L8+L9+L10+L11+L13+L15)</f>
        <v>7167</v>
      </c>
      <c r="M19" s="190">
        <f t="shared" si="4"/>
        <v>325.5</v>
      </c>
      <c r="N19" s="199">
        <f t="shared" si="6"/>
        <v>1.0475772856829642</v>
      </c>
    </row>
    <row r="20" spans="1:14" ht="13.5" customHeight="1">
      <c r="A20" s="96" t="s">
        <v>183</v>
      </c>
      <c r="B20" s="71">
        <v>250</v>
      </c>
      <c r="C20" s="72">
        <v>0</v>
      </c>
      <c r="D20" s="73">
        <f aca="true" t="shared" si="8" ref="D20:D37">SUM(B20:C20)</f>
        <v>250</v>
      </c>
      <c r="E20" s="71">
        <v>238</v>
      </c>
      <c r="F20" s="72">
        <v>0</v>
      </c>
      <c r="G20" s="97">
        <f aca="true" t="shared" si="9" ref="G20:G37">SUM(E20:F20)</f>
        <v>238</v>
      </c>
      <c r="H20" s="98">
        <f t="shared" si="2"/>
        <v>-12</v>
      </c>
      <c r="I20" s="99">
        <f t="shared" si="5"/>
        <v>0.952</v>
      </c>
      <c r="J20" s="76">
        <v>345</v>
      </c>
      <c r="K20" s="72">
        <v>0</v>
      </c>
      <c r="L20" s="100">
        <f aca="true" t="shared" si="10" ref="L20:L37">SUM(J20:K20)</f>
        <v>345</v>
      </c>
      <c r="M20" s="98">
        <f t="shared" si="4"/>
        <v>107</v>
      </c>
      <c r="N20" s="101">
        <f t="shared" si="6"/>
        <v>1.449579831932773</v>
      </c>
    </row>
    <row r="21" spans="1:14" ht="21" customHeight="1">
      <c r="A21" s="82" t="s">
        <v>184</v>
      </c>
      <c r="B21" s="71">
        <v>152</v>
      </c>
      <c r="C21" s="72">
        <v>0</v>
      </c>
      <c r="D21" s="73">
        <f t="shared" si="8"/>
        <v>152</v>
      </c>
      <c r="E21" s="71">
        <v>118</v>
      </c>
      <c r="F21" s="72">
        <v>0</v>
      </c>
      <c r="G21" s="97">
        <f t="shared" si="9"/>
        <v>118</v>
      </c>
      <c r="H21" s="74">
        <f t="shared" si="2"/>
        <v>-34</v>
      </c>
      <c r="I21" s="75">
        <f t="shared" si="5"/>
        <v>0.7763157894736842</v>
      </c>
      <c r="J21" s="76">
        <v>210</v>
      </c>
      <c r="K21" s="72">
        <v>0</v>
      </c>
      <c r="L21" s="100">
        <f t="shared" si="10"/>
        <v>210</v>
      </c>
      <c r="M21" s="74">
        <f t="shared" si="4"/>
        <v>92</v>
      </c>
      <c r="N21" s="77">
        <f t="shared" si="6"/>
        <v>1.7796610169491525</v>
      </c>
    </row>
    <row r="22" spans="1:14" ht="13.5" customHeight="1">
      <c r="A22" s="78" t="s">
        <v>185</v>
      </c>
      <c r="B22" s="79">
        <v>165</v>
      </c>
      <c r="C22" s="80">
        <v>0</v>
      </c>
      <c r="D22" s="73">
        <f t="shared" si="8"/>
        <v>165</v>
      </c>
      <c r="E22" s="79">
        <v>208</v>
      </c>
      <c r="F22" s="80">
        <v>0</v>
      </c>
      <c r="G22" s="97">
        <f t="shared" si="9"/>
        <v>208</v>
      </c>
      <c r="H22" s="74">
        <f t="shared" si="2"/>
        <v>43</v>
      </c>
      <c r="I22" s="75">
        <f t="shared" si="5"/>
        <v>1.2606060606060605</v>
      </c>
      <c r="J22" s="81">
        <v>253</v>
      </c>
      <c r="K22" s="80">
        <v>0</v>
      </c>
      <c r="L22" s="100">
        <f t="shared" si="10"/>
        <v>253</v>
      </c>
      <c r="M22" s="74">
        <f t="shared" si="4"/>
        <v>45</v>
      </c>
      <c r="N22" s="77">
        <f t="shared" si="6"/>
        <v>1.2163461538461537</v>
      </c>
    </row>
    <row r="23" spans="1:14" ht="13.5" customHeight="1">
      <c r="A23" s="82" t="s">
        <v>186</v>
      </c>
      <c r="B23" s="79">
        <v>0</v>
      </c>
      <c r="C23" s="80">
        <v>0</v>
      </c>
      <c r="D23" s="73">
        <f t="shared" si="8"/>
        <v>0</v>
      </c>
      <c r="E23" s="79">
        <v>0</v>
      </c>
      <c r="F23" s="80">
        <v>0</v>
      </c>
      <c r="G23" s="97">
        <f t="shared" si="9"/>
        <v>0</v>
      </c>
      <c r="H23" s="74">
        <f t="shared" si="2"/>
        <v>0</v>
      </c>
      <c r="I23" s="75"/>
      <c r="J23" s="81">
        <v>0</v>
      </c>
      <c r="K23" s="80">
        <v>0</v>
      </c>
      <c r="L23" s="100">
        <f t="shared" si="10"/>
        <v>0</v>
      </c>
      <c r="M23" s="74">
        <f t="shared" si="4"/>
        <v>0</v>
      </c>
      <c r="N23" s="77"/>
    </row>
    <row r="24" spans="1:14" ht="13.5" customHeight="1">
      <c r="A24" s="78" t="s">
        <v>298</v>
      </c>
      <c r="B24" s="79">
        <v>38</v>
      </c>
      <c r="C24" s="80">
        <v>0</v>
      </c>
      <c r="D24" s="73">
        <f t="shared" si="8"/>
        <v>38</v>
      </c>
      <c r="E24" s="79">
        <v>70</v>
      </c>
      <c r="F24" s="80">
        <v>0</v>
      </c>
      <c r="G24" s="97">
        <f t="shared" si="9"/>
        <v>70</v>
      </c>
      <c r="H24" s="74">
        <f t="shared" si="2"/>
        <v>32</v>
      </c>
      <c r="I24" s="75">
        <f aca="true" t="shared" si="11" ref="I24:I38">+G24/D24</f>
        <v>1.8421052631578947</v>
      </c>
      <c r="J24" s="81">
        <v>119</v>
      </c>
      <c r="K24" s="80">
        <v>0</v>
      </c>
      <c r="L24" s="100">
        <f t="shared" si="10"/>
        <v>119</v>
      </c>
      <c r="M24" s="74">
        <f t="shared" si="4"/>
        <v>49</v>
      </c>
      <c r="N24" s="77">
        <f aca="true" t="shared" si="12" ref="N24:N38">+L24/G24</f>
        <v>1.7</v>
      </c>
    </row>
    <row r="25" spans="1:14" ht="13.5" customHeight="1">
      <c r="A25" s="78" t="s">
        <v>187</v>
      </c>
      <c r="B25" s="81">
        <v>755</v>
      </c>
      <c r="C25" s="80">
        <v>0</v>
      </c>
      <c r="D25" s="73">
        <f t="shared" si="8"/>
        <v>755</v>
      </c>
      <c r="E25" s="81">
        <v>1264</v>
      </c>
      <c r="F25" s="80">
        <v>0</v>
      </c>
      <c r="G25" s="97">
        <f t="shared" si="9"/>
        <v>1264</v>
      </c>
      <c r="H25" s="74">
        <f t="shared" si="2"/>
        <v>509</v>
      </c>
      <c r="I25" s="75">
        <f t="shared" si="11"/>
        <v>1.6741721854304636</v>
      </c>
      <c r="J25" s="81">
        <v>854</v>
      </c>
      <c r="K25" s="80">
        <v>0</v>
      </c>
      <c r="L25" s="100">
        <f t="shared" si="10"/>
        <v>854</v>
      </c>
      <c r="M25" s="74">
        <f t="shared" si="4"/>
        <v>-410</v>
      </c>
      <c r="N25" s="77">
        <f t="shared" si="12"/>
        <v>0.6756329113924051</v>
      </c>
    </row>
    <row r="26" spans="1:14" ht="13.5" customHeight="1">
      <c r="A26" s="82" t="s">
        <v>188</v>
      </c>
      <c r="B26" s="79">
        <v>47</v>
      </c>
      <c r="C26" s="80">
        <v>0</v>
      </c>
      <c r="D26" s="73">
        <f t="shared" si="8"/>
        <v>47</v>
      </c>
      <c r="E26" s="79">
        <v>540</v>
      </c>
      <c r="F26" s="80">
        <v>0</v>
      </c>
      <c r="G26" s="97">
        <f t="shared" si="9"/>
        <v>540</v>
      </c>
      <c r="H26" s="74">
        <f t="shared" si="2"/>
        <v>493</v>
      </c>
      <c r="I26" s="75">
        <f t="shared" si="11"/>
        <v>11.48936170212766</v>
      </c>
      <c r="J26" s="102">
        <v>88</v>
      </c>
      <c r="K26" s="80">
        <v>0</v>
      </c>
      <c r="L26" s="100">
        <f t="shared" si="10"/>
        <v>88</v>
      </c>
      <c r="M26" s="74">
        <f t="shared" si="4"/>
        <v>-452</v>
      </c>
      <c r="N26" s="77">
        <f t="shared" si="12"/>
        <v>0.16296296296296298</v>
      </c>
    </row>
    <row r="27" spans="1:14" ht="13.5" customHeight="1">
      <c r="A27" s="78" t="s">
        <v>189</v>
      </c>
      <c r="B27" s="79">
        <v>708</v>
      </c>
      <c r="C27" s="80">
        <v>0</v>
      </c>
      <c r="D27" s="73">
        <f t="shared" si="8"/>
        <v>708</v>
      </c>
      <c r="E27" s="79">
        <v>724</v>
      </c>
      <c r="F27" s="80">
        <v>0</v>
      </c>
      <c r="G27" s="97">
        <f t="shared" si="9"/>
        <v>724</v>
      </c>
      <c r="H27" s="74">
        <f t="shared" si="2"/>
        <v>16</v>
      </c>
      <c r="I27" s="75">
        <f t="shared" si="11"/>
        <v>1.0225988700564972</v>
      </c>
      <c r="J27" s="102">
        <v>766</v>
      </c>
      <c r="K27" s="80">
        <v>0</v>
      </c>
      <c r="L27" s="100">
        <f t="shared" si="10"/>
        <v>766</v>
      </c>
      <c r="M27" s="74">
        <f t="shared" si="4"/>
        <v>42</v>
      </c>
      <c r="N27" s="77">
        <f t="shared" si="12"/>
        <v>1.058011049723757</v>
      </c>
    </row>
    <row r="28" spans="1:14" ht="13.5" customHeight="1">
      <c r="A28" s="103" t="s">
        <v>190</v>
      </c>
      <c r="B28" s="81">
        <v>4148</v>
      </c>
      <c r="C28" s="80">
        <v>0</v>
      </c>
      <c r="D28" s="73">
        <f t="shared" si="8"/>
        <v>4148</v>
      </c>
      <c r="E28" s="81">
        <v>4936</v>
      </c>
      <c r="F28" s="80">
        <v>0</v>
      </c>
      <c r="G28" s="97">
        <f t="shared" si="9"/>
        <v>4936</v>
      </c>
      <c r="H28" s="74">
        <f t="shared" si="2"/>
        <v>788</v>
      </c>
      <c r="I28" s="75">
        <f t="shared" si="11"/>
        <v>1.1899710703953712</v>
      </c>
      <c r="J28" s="81">
        <v>6238</v>
      </c>
      <c r="K28" s="80">
        <v>0</v>
      </c>
      <c r="L28" s="100">
        <f t="shared" si="10"/>
        <v>6238</v>
      </c>
      <c r="M28" s="74">
        <f t="shared" si="4"/>
        <v>1302</v>
      </c>
      <c r="N28" s="77">
        <f t="shared" si="12"/>
        <v>1.263776337115073</v>
      </c>
    </row>
    <row r="29" spans="1:14" ht="13.5" customHeight="1">
      <c r="A29" s="82" t="s">
        <v>191</v>
      </c>
      <c r="B29" s="79">
        <v>3032</v>
      </c>
      <c r="C29" s="80">
        <v>0</v>
      </c>
      <c r="D29" s="73">
        <f t="shared" si="8"/>
        <v>3032</v>
      </c>
      <c r="E29" s="79">
        <v>3620</v>
      </c>
      <c r="F29" s="80">
        <v>0</v>
      </c>
      <c r="G29" s="97">
        <f t="shared" si="9"/>
        <v>3620</v>
      </c>
      <c r="H29" s="74">
        <f t="shared" si="2"/>
        <v>588</v>
      </c>
      <c r="I29" s="75">
        <f t="shared" si="11"/>
        <v>1.1939313984168864</v>
      </c>
      <c r="J29" s="102">
        <v>4569</v>
      </c>
      <c r="K29" s="104">
        <v>0</v>
      </c>
      <c r="L29" s="100">
        <f t="shared" si="10"/>
        <v>4569</v>
      </c>
      <c r="M29" s="74">
        <f t="shared" si="4"/>
        <v>949</v>
      </c>
      <c r="N29" s="77">
        <f t="shared" si="12"/>
        <v>1.2621546961325967</v>
      </c>
    </row>
    <row r="30" spans="1:14" ht="13.5" customHeight="1">
      <c r="A30" s="103" t="s">
        <v>192</v>
      </c>
      <c r="B30" s="79">
        <v>2949</v>
      </c>
      <c r="C30" s="80">
        <v>0</v>
      </c>
      <c r="D30" s="73">
        <f t="shared" si="8"/>
        <v>2949</v>
      </c>
      <c r="E30" s="79">
        <v>3489</v>
      </c>
      <c r="F30" s="80">
        <v>0</v>
      </c>
      <c r="G30" s="97">
        <f t="shared" si="9"/>
        <v>3489</v>
      </c>
      <c r="H30" s="74">
        <f t="shared" si="2"/>
        <v>540</v>
      </c>
      <c r="I30" s="75">
        <f t="shared" si="11"/>
        <v>1.1831129196337742</v>
      </c>
      <c r="J30" s="81">
        <v>4373</v>
      </c>
      <c r="K30" s="80">
        <v>0</v>
      </c>
      <c r="L30" s="100">
        <f t="shared" si="10"/>
        <v>4373</v>
      </c>
      <c r="M30" s="74">
        <f t="shared" si="4"/>
        <v>884</v>
      </c>
      <c r="N30" s="77">
        <f t="shared" si="12"/>
        <v>1.2533677271424477</v>
      </c>
    </row>
    <row r="31" spans="1:14" ht="13.5" customHeight="1">
      <c r="A31" s="82" t="s">
        <v>193</v>
      </c>
      <c r="B31" s="79">
        <v>83</v>
      </c>
      <c r="C31" s="80">
        <v>0</v>
      </c>
      <c r="D31" s="73">
        <f t="shared" si="8"/>
        <v>83</v>
      </c>
      <c r="E31" s="79">
        <v>131</v>
      </c>
      <c r="F31" s="80">
        <v>0</v>
      </c>
      <c r="G31" s="97">
        <f t="shared" si="9"/>
        <v>131</v>
      </c>
      <c r="H31" s="74">
        <f t="shared" si="2"/>
        <v>48</v>
      </c>
      <c r="I31" s="75">
        <f t="shared" si="11"/>
        <v>1.5783132530120483</v>
      </c>
      <c r="J31" s="81">
        <v>196</v>
      </c>
      <c r="K31" s="80">
        <v>0</v>
      </c>
      <c r="L31" s="100">
        <f t="shared" si="10"/>
        <v>196</v>
      </c>
      <c r="M31" s="74">
        <f t="shared" si="4"/>
        <v>65</v>
      </c>
      <c r="N31" s="77">
        <f t="shared" si="12"/>
        <v>1.4961832061068703</v>
      </c>
    </row>
    <row r="32" spans="1:14" ht="13.5" customHeight="1">
      <c r="A32" s="82" t="s">
        <v>194</v>
      </c>
      <c r="B32" s="79">
        <v>1116</v>
      </c>
      <c r="C32" s="80">
        <v>0</v>
      </c>
      <c r="D32" s="73">
        <f t="shared" si="8"/>
        <v>1116</v>
      </c>
      <c r="E32" s="79">
        <v>1316</v>
      </c>
      <c r="F32" s="80">
        <v>0</v>
      </c>
      <c r="G32" s="97">
        <f t="shared" si="9"/>
        <v>1316</v>
      </c>
      <c r="H32" s="74">
        <f t="shared" si="2"/>
        <v>200</v>
      </c>
      <c r="I32" s="75">
        <f t="shared" si="11"/>
        <v>1.17921146953405</v>
      </c>
      <c r="J32" s="81">
        <v>1669</v>
      </c>
      <c r="K32" s="80">
        <v>0</v>
      </c>
      <c r="L32" s="100">
        <f t="shared" si="10"/>
        <v>1669</v>
      </c>
      <c r="M32" s="74">
        <f t="shared" si="4"/>
        <v>353</v>
      </c>
      <c r="N32" s="77">
        <f t="shared" si="12"/>
        <v>1.2682370820668694</v>
      </c>
    </row>
    <row r="33" spans="1:14" ht="13.5" customHeight="1">
      <c r="A33" s="103" t="s">
        <v>195</v>
      </c>
      <c r="B33" s="79">
        <v>0</v>
      </c>
      <c r="C33" s="80">
        <v>0</v>
      </c>
      <c r="D33" s="73">
        <f t="shared" si="8"/>
        <v>0</v>
      </c>
      <c r="E33" s="79">
        <v>0</v>
      </c>
      <c r="F33" s="80">
        <v>0</v>
      </c>
      <c r="G33" s="97">
        <f t="shared" si="9"/>
        <v>0</v>
      </c>
      <c r="H33" s="74">
        <f t="shared" si="2"/>
        <v>0</v>
      </c>
      <c r="I33" s="75"/>
      <c r="J33" s="81">
        <v>0</v>
      </c>
      <c r="K33" s="80">
        <v>0</v>
      </c>
      <c r="L33" s="100">
        <f t="shared" si="10"/>
        <v>0</v>
      </c>
      <c r="M33" s="74">
        <f t="shared" si="4"/>
        <v>0</v>
      </c>
      <c r="N33" s="77"/>
    </row>
    <row r="34" spans="1:14" ht="13.5" customHeight="1">
      <c r="A34" s="103" t="s">
        <v>196</v>
      </c>
      <c r="B34" s="79">
        <v>31</v>
      </c>
      <c r="C34" s="80">
        <v>0</v>
      </c>
      <c r="D34" s="73">
        <f t="shared" si="8"/>
        <v>31</v>
      </c>
      <c r="E34" s="79">
        <v>39</v>
      </c>
      <c r="F34" s="80">
        <v>0</v>
      </c>
      <c r="G34" s="97">
        <f t="shared" si="9"/>
        <v>39</v>
      </c>
      <c r="H34" s="74">
        <f t="shared" si="2"/>
        <v>8</v>
      </c>
      <c r="I34" s="75">
        <f t="shared" si="11"/>
        <v>1.2580645161290323</v>
      </c>
      <c r="J34" s="81">
        <v>57</v>
      </c>
      <c r="K34" s="80">
        <v>0</v>
      </c>
      <c r="L34" s="100">
        <f t="shared" si="10"/>
        <v>57</v>
      </c>
      <c r="M34" s="74">
        <f t="shared" si="4"/>
        <v>18</v>
      </c>
      <c r="N34" s="77">
        <f t="shared" si="12"/>
        <v>1.4615384615384615</v>
      </c>
    </row>
    <row r="35" spans="1:14" ht="13.5" customHeight="1">
      <c r="A35" s="82" t="s">
        <v>197</v>
      </c>
      <c r="B35" s="79">
        <v>79</v>
      </c>
      <c r="C35" s="80">
        <v>0</v>
      </c>
      <c r="D35" s="73">
        <f t="shared" si="8"/>
        <v>79</v>
      </c>
      <c r="E35" s="79">
        <v>84</v>
      </c>
      <c r="F35" s="80">
        <v>0</v>
      </c>
      <c r="G35" s="97">
        <f t="shared" si="9"/>
        <v>84</v>
      </c>
      <c r="H35" s="74">
        <f t="shared" si="2"/>
        <v>5</v>
      </c>
      <c r="I35" s="75">
        <f t="shared" si="11"/>
        <v>1.0632911392405062</v>
      </c>
      <c r="J35" s="102">
        <v>86</v>
      </c>
      <c r="K35" s="80">
        <v>0</v>
      </c>
      <c r="L35" s="100">
        <f t="shared" si="10"/>
        <v>86</v>
      </c>
      <c r="M35" s="74">
        <f t="shared" si="4"/>
        <v>2</v>
      </c>
      <c r="N35" s="77">
        <f t="shared" si="12"/>
        <v>1.0238095238095237</v>
      </c>
    </row>
    <row r="36" spans="1:14" ht="22.5" customHeight="1">
      <c r="A36" s="82" t="s">
        <v>198</v>
      </c>
      <c r="B36" s="79">
        <v>0</v>
      </c>
      <c r="C36" s="80">
        <v>0</v>
      </c>
      <c r="D36" s="73">
        <f t="shared" si="8"/>
        <v>0</v>
      </c>
      <c r="E36" s="79">
        <v>0</v>
      </c>
      <c r="F36" s="80">
        <v>0</v>
      </c>
      <c r="G36" s="97">
        <f t="shared" si="9"/>
        <v>0</v>
      </c>
      <c r="H36" s="74">
        <f t="shared" si="2"/>
        <v>0</v>
      </c>
      <c r="I36" s="75"/>
      <c r="J36" s="102">
        <v>0</v>
      </c>
      <c r="K36" s="80">
        <v>0</v>
      </c>
      <c r="L36" s="100">
        <f t="shared" si="10"/>
        <v>0</v>
      </c>
      <c r="M36" s="74">
        <f t="shared" si="4"/>
        <v>0</v>
      </c>
      <c r="N36" s="77"/>
    </row>
    <row r="37" spans="1:14" ht="13.5" customHeight="1" thickBot="1">
      <c r="A37" s="105" t="s">
        <v>199</v>
      </c>
      <c r="B37" s="83"/>
      <c r="C37" s="84">
        <v>0</v>
      </c>
      <c r="D37" s="73">
        <f t="shared" si="8"/>
        <v>0</v>
      </c>
      <c r="E37" s="83">
        <v>0</v>
      </c>
      <c r="F37" s="84">
        <v>0</v>
      </c>
      <c r="G37" s="97">
        <f t="shared" si="9"/>
        <v>0</v>
      </c>
      <c r="H37" s="85">
        <f t="shared" si="2"/>
        <v>0</v>
      </c>
      <c r="I37" s="86"/>
      <c r="J37" s="106">
        <v>0</v>
      </c>
      <c r="K37" s="84">
        <v>0</v>
      </c>
      <c r="L37" s="100">
        <f t="shared" si="10"/>
        <v>0</v>
      </c>
      <c r="M37" s="85">
        <f t="shared" si="4"/>
        <v>0</v>
      </c>
      <c r="N37" s="87"/>
    </row>
    <row r="38" spans="1:14" ht="13.5" customHeight="1" thickBot="1">
      <c r="A38" s="88" t="s">
        <v>200</v>
      </c>
      <c r="B38" s="89">
        <f aca="true" t="shared" si="13" ref="B38:G38">SUM(B20+B22+B23+B24+B25+B28+B33+B34+B35+B37)</f>
        <v>5466</v>
      </c>
      <c r="C38" s="90">
        <v>0</v>
      </c>
      <c r="D38" s="91">
        <f t="shared" si="13"/>
        <v>5466</v>
      </c>
      <c r="E38" s="89">
        <f t="shared" si="13"/>
        <v>6839</v>
      </c>
      <c r="F38" s="90">
        <v>0</v>
      </c>
      <c r="G38" s="91">
        <f t="shared" si="13"/>
        <v>6839</v>
      </c>
      <c r="H38" s="92">
        <f t="shared" si="2"/>
        <v>1373</v>
      </c>
      <c r="I38" s="93">
        <f t="shared" si="11"/>
        <v>1.2511891694109039</v>
      </c>
      <c r="J38" s="94">
        <f>SUM(J20+J22+J23+J24+J25+J28+J33+J34+J35+J37)</f>
        <v>7952</v>
      </c>
      <c r="K38" s="90">
        <f>SUM(K20+K22+K23+K24+K25+K28+K33+K34+K35+K37)</f>
        <v>0</v>
      </c>
      <c r="L38" s="91">
        <f>SUM(L20+L22+L23+L24+L25+L28+L33+L34+L35+L37)</f>
        <v>7952</v>
      </c>
      <c r="M38" s="92">
        <f t="shared" si="4"/>
        <v>1113</v>
      </c>
      <c r="N38" s="95">
        <f t="shared" si="12"/>
        <v>1.1627430910951893</v>
      </c>
    </row>
    <row r="39" spans="1:14" ht="13.5" customHeight="1" thickBot="1">
      <c r="A39" s="88" t="s">
        <v>201</v>
      </c>
      <c r="B39" s="787">
        <f>+D19-D38</f>
        <v>14</v>
      </c>
      <c r="C39" s="787"/>
      <c r="D39" s="787"/>
      <c r="E39" s="787">
        <f>+G19-G38</f>
        <v>2.5</v>
      </c>
      <c r="F39" s="787"/>
      <c r="G39" s="787">
        <v>-50784</v>
      </c>
      <c r="H39" s="107"/>
      <c r="I39" s="108"/>
      <c r="J39" s="789">
        <f>+L19-L38</f>
        <v>-785</v>
      </c>
      <c r="K39" s="789"/>
      <c r="L39" s="789">
        <v>0</v>
      </c>
      <c r="M39" s="92"/>
      <c r="N39" s="95"/>
    </row>
    <row r="40" spans="1:16" ht="20.25" customHeight="1" thickBot="1">
      <c r="A40" s="109" t="s">
        <v>202</v>
      </c>
      <c r="B40" s="787"/>
      <c r="C40" s="787"/>
      <c r="D40" s="787"/>
      <c r="E40" s="787"/>
      <c r="F40" s="787"/>
      <c r="G40" s="787"/>
      <c r="H40"/>
      <c r="I40"/>
      <c r="J40"/>
      <c r="K40"/>
      <c r="L40"/>
      <c r="M40"/>
      <c r="N40"/>
      <c r="O40"/>
      <c r="P40"/>
    </row>
    <row r="41" spans="2:8" ht="14.25" customHeight="1" thickBot="1">
      <c r="B41" s="7"/>
      <c r="C41" s="7"/>
      <c r="D41" s="16"/>
      <c r="E41" s="7"/>
      <c r="F41" s="7"/>
      <c r="G41" s="7"/>
      <c r="H41" s="7"/>
    </row>
    <row r="42" spans="1:16" ht="13.5" thickBot="1">
      <c r="A42" s="805" t="s">
        <v>312</v>
      </c>
      <c r="B42" s="805"/>
      <c r="C42" s="799" t="s">
        <v>203</v>
      </c>
      <c r="D42" s="805" t="s">
        <v>420</v>
      </c>
      <c r="E42" s="805"/>
      <c r="F42" s="805"/>
      <c r="G42" s="799" t="s">
        <v>203</v>
      </c>
      <c r="H42" s="785" t="s">
        <v>421</v>
      </c>
      <c r="I42" s="785"/>
      <c r="J42" s="785"/>
      <c r="K42" s="785"/>
      <c r="L42" s="799" t="s">
        <v>203</v>
      </c>
      <c r="O42"/>
      <c r="P42"/>
    </row>
    <row r="43" spans="1:16" ht="13.5" thickBot="1">
      <c r="A43" s="805"/>
      <c r="B43" s="805"/>
      <c r="C43" s="799"/>
      <c r="D43" s="805"/>
      <c r="E43" s="805"/>
      <c r="F43" s="805"/>
      <c r="G43" s="799"/>
      <c r="H43" s="785"/>
      <c r="I43" s="785"/>
      <c r="J43" s="785"/>
      <c r="K43" s="785"/>
      <c r="L43" s="799"/>
      <c r="O43"/>
      <c r="P43"/>
    </row>
    <row r="44" spans="1:16" ht="12.75">
      <c r="A44" s="794"/>
      <c r="B44" s="794"/>
      <c r="C44" s="110">
        <v>0</v>
      </c>
      <c r="D44" s="795"/>
      <c r="E44" s="795"/>
      <c r="F44" s="795"/>
      <c r="G44" s="111">
        <v>0</v>
      </c>
      <c r="H44" s="802" t="s">
        <v>204</v>
      </c>
      <c r="I44" s="802"/>
      <c r="J44" s="802"/>
      <c r="K44" s="802"/>
      <c r="L44" s="112">
        <v>9</v>
      </c>
      <c r="O44"/>
      <c r="P44"/>
    </row>
    <row r="45" spans="1:16" ht="12.75">
      <c r="A45" s="797"/>
      <c r="B45" s="797"/>
      <c r="C45" s="113"/>
      <c r="D45" s="795"/>
      <c r="E45" s="795"/>
      <c r="F45" s="795"/>
      <c r="G45" s="114"/>
      <c r="H45" s="802"/>
      <c r="I45" s="802"/>
      <c r="J45" s="802"/>
      <c r="K45" s="802"/>
      <c r="L45" s="112"/>
      <c r="O45"/>
      <c r="P45"/>
    </row>
    <row r="46" spans="1:16" ht="12.75">
      <c r="A46" s="797"/>
      <c r="B46" s="797"/>
      <c r="C46" s="113"/>
      <c r="D46" s="795"/>
      <c r="E46" s="795"/>
      <c r="F46" s="795"/>
      <c r="G46" s="114"/>
      <c r="H46" s="802"/>
      <c r="I46" s="802"/>
      <c r="J46" s="802"/>
      <c r="K46" s="802"/>
      <c r="L46" s="112"/>
      <c r="O46"/>
      <c r="P46"/>
    </row>
    <row r="47" spans="1:16" ht="12.75">
      <c r="A47" s="797"/>
      <c r="B47" s="797"/>
      <c r="C47" s="115"/>
      <c r="D47" s="797"/>
      <c r="E47" s="797"/>
      <c r="F47" s="797"/>
      <c r="G47" s="116"/>
      <c r="H47" s="776"/>
      <c r="I47" s="776"/>
      <c r="J47" s="776"/>
      <c r="K47" s="776"/>
      <c r="L47" s="112"/>
      <c r="O47"/>
      <c r="P47"/>
    </row>
    <row r="48" spans="1:16" ht="12.75">
      <c r="A48" s="797"/>
      <c r="B48" s="797"/>
      <c r="C48" s="115"/>
      <c r="D48" s="797"/>
      <c r="E48" s="797"/>
      <c r="F48" s="797"/>
      <c r="G48" s="116"/>
      <c r="H48" s="776"/>
      <c r="I48" s="776"/>
      <c r="J48" s="776"/>
      <c r="K48" s="776"/>
      <c r="L48" s="112"/>
      <c r="O48"/>
      <c r="P48"/>
    </row>
    <row r="49" spans="1:16" ht="12.75">
      <c r="A49" s="797"/>
      <c r="B49" s="797"/>
      <c r="C49" s="115"/>
      <c r="D49" s="797"/>
      <c r="E49" s="797"/>
      <c r="F49" s="797"/>
      <c r="G49" s="116"/>
      <c r="H49" s="776"/>
      <c r="I49" s="776"/>
      <c r="J49" s="776"/>
      <c r="K49" s="776"/>
      <c r="L49" s="112"/>
      <c r="O49"/>
      <c r="P49"/>
    </row>
    <row r="50" spans="1:16" ht="13.5" thickBot="1">
      <c r="A50" s="800"/>
      <c r="B50" s="800"/>
      <c r="C50" s="115"/>
      <c r="D50" s="801"/>
      <c r="E50" s="801"/>
      <c r="F50" s="801"/>
      <c r="G50" s="116"/>
      <c r="H50" s="802"/>
      <c r="I50" s="802"/>
      <c r="J50" s="802"/>
      <c r="K50" s="802"/>
      <c r="L50" s="112"/>
      <c r="O50"/>
      <c r="P50"/>
    </row>
    <row r="51" spans="1:16" ht="13.5" thickBot="1">
      <c r="A51" s="811"/>
      <c r="B51" s="811"/>
      <c r="C51" s="117">
        <f>SUM(C44:C50)</f>
        <v>0</v>
      </c>
      <c r="D51" s="812" t="s">
        <v>168</v>
      </c>
      <c r="E51" s="812"/>
      <c r="F51" s="812"/>
      <c r="G51" s="117">
        <f>SUM(G44:G50)</f>
        <v>0</v>
      </c>
      <c r="H51" s="778" t="s">
        <v>168</v>
      </c>
      <c r="I51" s="778"/>
      <c r="J51" s="778"/>
      <c r="K51" s="778"/>
      <c r="L51" s="117">
        <f>SUM(L44:L50)</f>
        <v>9</v>
      </c>
      <c r="M51" s="17"/>
      <c r="N51" s="17"/>
      <c r="O51"/>
      <c r="P51"/>
    </row>
    <row r="52" spans="1:16" s="1" customFormat="1" ht="13.5" customHeight="1" thickBot="1">
      <c r="A52" s="18"/>
      <c r="B52" s="5"/>
      <c r="C52" s="5"/>
      <c r="D52" s="5"/>
      <c r="E52" s="5"/>
      <c r="F52" s="5"/>
      <c r="G52" s="5"/>
      <c r="H52" s="6"/>
      <c r="I52" s="3"/>
      <c r="J52" s="3"/>
      <c r="K52" s="3"/>
      <c r="L52" s="3"/>
      <c r="M52" s="3"/>
      <c r="N52" s="3"/>
      <c r="O52" s="3"/>
      <c r="P52" s="3"/>
    </row>
    <row r="53" spans="1:16" ht="13.5" thickBot="1">
      <c r="A53" s="866" t="s">
        <v>429</v>
      </c>
      <c r="B53" s="867"/>
      <c r="C53" s="869" t="s">
        <v>203</v>
      </c>
      <c r="D53" s="806" t="s">
        <v>430</v>
      </c>
      <c r="E53" s="806"/>
      <c r="F53" s="806"/>
      <c r="G53" s="798" t="s">
        <v>203</v>
      </c>
      <c r="H53" s="785" t="s">
        <v>431</v>
      </c>
      <c r="I53" s="785"/>
      <c r="J53" s="785"/>
      <c r="K53" s="785"/>
      <c r="L53" s="799" t="s">
        <v>203</v>
      </c>
      <c r="O53"/>
      <c r="P53"/>
    </row>
    <row r="54" spans="1:16" ht="13.5" thickBot="1">
      <c r="A54" s="868"/>
      <c r="B54" s="805"/>
      <c r="C54" s="870"/>
      <c r="D54" s="806"/>
      <c r="E54" s="806"/>
      <c r="F54" s="806"/>
      <c r="G54" s="798"/>
      <c r="H54" s="785"/>
      <c r="I54" s="785"/>
      <c r="J54" s="785"/>
      <c r="K54" s="785"/>
      <c r="L54" s="799"/>
      <c r="O54"/>
      <c r="P54"/>
    </row>
    <row r="55" spans="1:16" ht="12.75">
      <c r="A55" s="871" t="s">
        <v>0</v>
      </c>
      <c r="B55" s="803"/>
      <c r="C55" s="201">
        <v>28</v>
      </c>
      <c r="D55" s="804" t="s">
        <v>1</v>
      </c>
      <c r="E55" s="804"/>
      <c r="F55" s="804"/>
      <c r="G55" s="118">
        <v>473</v>
      </c>
      <c r="H55" s="802" t="s">
        <v>2</v>
      </c>
      <c r="I55" s="802"/>
      <c r="J55" s="802"/>
      <c r="K55" s="802"/>
      <c r="L55" s="112">
        <v>28</v>
      </c>
      <c r="O55"/>
      <c r="P55"/>
    </row>
    <row r="56" spans="1:16" ht="13.5" customHeight="1">
      <c r="A56" s="872" t="s">
        <v>3</v>
      </c>
      <c r="B56" s="781"/>
      <c r="C56" s="202">
        <v>3</v>
      </c>
      <c r="D56" s="782" t="s">
        <v>2</v>
      </c>
      <c r="E56" s="782"/>
      <c r="F56" s="782"/>
      <c r="G56" s="119">
        <v>14</v>
      </c>
      <c r="H56" s="776" t="s">
        <v>4</v>
      </c>
      <c r="I56" s="776"/>
      <c r="J56" s="776"/>
      <c r="K56" s="776"/>
      <c r="L56" s="120">
        <v>40</v>
      </c>
      <c r="O56"/>
      <c r="P56"/>
    </row>
    <row r="57" spans="1:16" ht="13.5" customHeight="1">
      <c r="A57" s="872" t="s">
        <v>5</v>
      </c>
      <c r="B57" s="781"/>
      <c r="C57" s="202">
        <v>8</v>
      </c>
      <c r="D57" s="782" t="s">
        <v>6</v>
      </c>
      <c r="E57" s="782"/>
      <c r="F57" s="782"/>
      <c r="G57" s="119">
        <v>10</v>
      </c>
      <c r="H57" s="776" t="s">
        <v>7</v>
      </c>
      <c r="I57" s="776"/>
      <c r="J57" s="776"/>
      <c r="K57" s="776"/>
      <c r="L57" s="120">
        <v>20</v>
      </c>
      <c r="O57"/>
      <c r="P57"/>
    </row>
    <row r="58" spans="1:16" ht="13.5" customHeight="1">
      <c r="A58" s="872" t="s">
        <v>8</v>
      </c>
      <c r="B58" s="781"/>
      <c r="C58" s="202">
        <v>4</v>
      </c>
      <c r="D58" s="782" t="s">
        <v>9</v>
      </c>
      <c r="E58" s="782"/>
      <c r="F58" s="782"/>
      <c r="G58" s="119">
        <v>5</v>
      </c>
      <c r="H58" s="776"/>
      <c r="I58" s="776"/>
      <c r="J58" s="776"/>
      <c r="K58" s="776"/>
      <c r="L58" s="120"/>
      <c r="O58"/>
      <c r="P58"/>
    </row>
    <row r="59" spans="1:16" ht="13.5" customHeight="1">
      <c r="A59" s="872" t="s">
        <v>10</v>
      </c>
      <c r="B59" s="781"/>
      <c r="C59" s="203">
        <v>4</v>
      </c>
      <c r="D59" s="782" t="s">
        <v>11</v>
      </c>
      <c r="E59" s="782"/>
      <c r="F59" s="782"/>
      <c r="G59" s="121">
        <v>4</v>
      </c>
      <c r="H59" s="776"/>
      <c r="I59" s="776"/>
      <c r="J59" s="776"/>
      <c r="K59" s="776"/>
      <c r="L59" s="122"/>
      <c r="O59"/>
      <c r="P59"/>
    </row>
    <row r="60" spans="1:16" ht="13.5" customHeight="1">
      <c r="A60" s="872"/>
      <c r="B60" s="781"/>
      <c r="C60" s="203"/>
      <c r="D60" s="782" t="s">
        <v>12</v>
      </c>
      <c r="E60" s="782"/>
      <c r="F60" s="782"/>
      <c r="G60" s="121">
        <v>24</v>
      </c>
      <c r="H60" s="776"/>
      <c r="I60" s="776"/>
      <c r="J60" s="776"/>
      <c r="K60" s="776"/>
      <c r="L60" s="122"/>
      <c r="O60"/>
      <c r="P60"/>
    </row>
    <row r="61" spans="1:16" ht="13.5" customHeight="1">
      <c r="A61" s="872"/>
      <c r="B61" s="873"/>
      <c r="C61" s="202"/>
      <c r="D61" s="782" t="s">
        <v>13</v>
      </c>
      <c r="E61" s="782"/>
      <c r="F61" s="782"/>
      <c r="G61" s="119">
        <v>10</v>
      </c>
      <c r="H61" s="776"/>
      <c r="I61" s="776"/>
      <c r="J61" s="776"/>
      <c r="K61" s="776"/>
      <c r="L61" s="120"/>
      <c r="O61"/>
      <c r="P61"/>
    </row>
    <row r="62" spans="1:16" ht="13.5" thickBot="1">
      <c r="A62" s="874"/>
      <c r="B62" s="780"/>
      <c r="C62" s="204"/>
      <c r="D62" s="783"/>
      <c r="E62" s="783"/>
      <c r="F62" s="783"/>
      <c r="G62" s="123"/>
      <c r="H62" s="777"/>
      <c r="I62" s="777"/>
      <c r="J62" s="777"/>
      <c r="K62" s="777"/>
      <c r="L62" s="124"/>
      <c r="O62"/>
      <c r="P62"/>
    </row>
    <row r="63" spans="1:16" ht="13.5" thickBot="1">
      <c r="A63" s="877" t="s">
        <v>168</v>
      </c>
      <c r="B63" s="878"/>
      <c r="C63" s="205">
        <f>SUM(C55:C62)</f>
        <v>47</v>
      </c>
      <c r="D63" s="784" t="s">
        <v>168</v>
      </c>
      <c r="E63" s="784"/>
      <c r="F63" s="784"/>
      <c r="G63" s="125">
        <f>SUM(G55:G62)</f>
        <v>540</v>
      </c>
      <c r="H63" s="778" t="s">
        <v>168</v>
      </c>
      <c r="I63" s="778"/>
      <c r="J63" s="778"/>
      <c r="K63" s="778"/>
      <c r="L63" s="117">
        <f>SUM(L55:L62)</f>
        <v>88</v>
      </c>
      <c r="M63" s="17"/>
      <c r="N63" s="17"/>
      <c r="O63"/>
      <c r="P63"/>
    </row>
    <row r="64" spans="1:14" s="1" customFormat="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1" customFormat="1" ht="13.5" thickBo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s="1" customFormat="1" ht="26.25" customHeight="1" thickBot="1">
      <c r="A66" s="833" t="s">
        <v>106</v>
      </c>
      <c r="B66" s="834"/>
      <c r="C66" s="834"/>
      <c r="D66" s="834"/>
      <c r="E66" s="835"/>
      <c r="F66" s="836" t="s">
        <v>107</v>
      </c>
      <c r="G66" s="837"/>
      <c r="H66" s="837"/>
      <c r="I66" s="837"/>
      <c r="J66" s="837"/>
      <c r="K66" s="837"/>
      <c r="L66" s="838"/>
      <c r="M66" s="19"/>
      <c r="N66" s="19"/>
    </row>
    <row r="67" spans="1:14" s="1" customFormat="1" ht="14.25" customHeight="1" thickBot="1">
      <c r="A67" s="397" t="s">
        <v>231</v>
      </c>
      <c r="B67" s="398" t="s">
        <v>96</v>
      </c>
      <c r="C67" s="839" t="s">
        <v>232</v>
      </c>
      <c r="D67" s="839"/>
      <c r="E67" s="399" t="s">
        <v>97</v>
      </c>
      <c r="F67" s="840" t="s">
        <v>231</v>
      </c>
      <c r="G67" s="841"/>
      <c r="H67" s="398" t="s">
        <v>96</v>
      </c>
      <c r="I67" s="839" t="s">
        <v>232</v>
      </c>
      <c r="J67" s="839"/>
      <c r="K67" s="839"/>
      <c r="L67" s="400" t="s">
        <v>97</v>
      </c>
      <c r="M67" s="19"/>
      <c r="N67" s="19"/>
    </row>
    <row r="68" spans="1:14" s="1" customFormat="1" ht="12.75">
      <c r="A68" s="401" t="s">
        <v>98</v>
      </c>
      <c r="B68" s="402">
        <v>33</v>
      </c>
      <c r="C68" s="842" t="s">
        <v>99</v>
      </c>
      <c r="D68" s="842"/>
      <c r="E68" s="403"/>
      <c r="F68" s="843" t="s">
        <v>98</v>
      </c>
      <c r="G68" s="844"/>
      <c r="H68" s="402">
        <v>47</v>
      </c>
      <c r="I68" s="842" t="s">
        <v>99</v>
      </c>
      <c r="J68" s="844"/>
      <c r="K68" s="844"/>
      <c r="L68" s="403"/>
      <c r="M68" s="19"/>
      <c r="N68" s="19"/>
    </row>
    <row r="69" spans="1:14" s="1" customFormat="1" ht="12.75">
      <c r="A69" s="404" t="s">
        <v>100</v>
      </c>
      <c r="B69" s="405">
        <v>14</v>
      </c>
      <c r="C69" s="845" t="s">
        <v>101</v>
      </c>
      <c r="D69" s="845"/>
      <c r="E69" s="406">
        <v>13</v>
      </c>
      <c r="F69" s="846" t="s">
        <v>102</v>
      </c>
      <c r="G69" s="847"/>
      <c r="H69" s="405">
        <v>3</v>
      </c>
      <c r="I69" s="845" t="s">
        <v>101</v>
      </c>
      <c r="J69" s="847"/>
      <c r="K69" s="847"/>
      <c r="L69" s="406"/>
      <c r="M69" s="19"/>
      <c r="N69" s="19"/>
    </row>
    <row r="70" spans="1:14" s="1" customFormat="1" ht="12.75">
      <c r="A70" s="404" t="s">
        <v>103</v>
      </c>
      <c r="B70" s="405">
        <v>13</v>
      </c>
      <c r="C70" s="845"/>
      <c r="D70" s="845"/>
      <c r="E70" s="406"/>
      <c r="F70" s="845" t="s">
        <v>104</v>
      </c>
      <c r="G70" s="845"/>
      <c r="H70" s="405"/>
      <c r="I70" s="845"/>
      <c r="J70" s="847"/>
      <c r="K70" s="847"/>
      <c r="L70" s="406"/>
      <c r="M70" s="19"/>
      <c r="N70" s="19"/>
    </row>
    <row r="71" spans="1:14" s="1" customFormat="1" ht="13.5" thickBot="1">
      <c r="A71" s="407"/>
      <c r="B71" s="408"/>
      <c r="C71" s="848"/>
      <c r="D71" s="848"/>
      <c r="E71" s="409"/>
      <c r="F71" s="849"/>
      <c r="G71" s="850"/>
      <c r="H71" s="408"/>
      <c r="I71" s="848"/>
      <c r="J71" s="850"/>
      <c r="K71" s="850"/>
      <c r="L71" s="409"/>
      <c r="M71" s="19"/>
      <c r="N71" s="19"/>
    </row>
    <row r="72" spans="1:14" s="1" customFormat="1" ht="13.5" thickBot="1">
      <c r="A72" s="410" t="s">
        <v>168</v>
      </c>
      <c r="B72" s="411">
        <f>SUM(B68:B71)</f>
        <v>60</v>
      </c>
      <c r="C72" s="851" t="s">
        <v>168</v>
      </c>
      <c r="D72" s="851"/>
      <c r="E72" s="413">
        <f>SUM(E68:E71)</f>
        <v>13</v>
      </c>
      <c r="F72" s="852" t="s">
        <v>168</v>
      </c>
      <c r="G72" s="853"/>
      <c r="H72" s="412">
        <f>SUM(H68:H71)</f>
        <v>50</v>
      </c>
      <c r="I72" s="851" t="s">
        <v>168</v>
      </c>
      <c r="J72" s="853"/>
      <c r="K72" s="853"/>
      <c r="L72" s="413">
        <f>SUM(L68:L71)</f>
        <v>0</v>
      </c>
      <c r="M72" s="19"/>
      <c r="N72" s="19"/>
    </row>
    <row r="73" spans="1:14" s="1" customFormat="1" ht="13.5" thickBot="1">
      <c r="A73" s="414" t="s">
        <v>105</v>
      </c>
      <c r="B73" s="415">
        <f>B72-E72</f>
        <v>47</v>
      </c>
      <c r="C73" s="19"/>
      <c r="D73" s="19"/>
      <c r="E73" s="19"/>
      <c r="F73" s="854" t="s">
        <v>105</v>
      </c>
      <c r="G73" s="701"/>
      <c r="H73" s="416">
        <f>H72-L72</f>
        <v>50</v>
      </c>
      <c r="I73" s="19"/>
      <c r="J73" s="19"/>
      <c r="K73" s="19"/>
      <c r="L73" s="19"/>
      <c r="M73" s="19"/>
      <c r="N73" s="19"/>
    </row>
    <row r="74" spans="1:14" s="1" customFormat="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s="1" customFormat="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2" s="1" customFormat="1" ht="12.75">
      <c r="A76" s="20"/>
      <c r="B76" s="21"/>
      <c r="C76" s="21"/>
      <c r="D76" s="21"/>
      <c r="E76" s="2"/>
      <c r="F76" s="4"/>
      <c r="G76" s="4"/>
      <c r="H76" s="20"/>
      <c r="I76" s="21"/>
      <c r="J76" s="21"/>
      <c r="K76" s="21"/>
      <c r="L76" s="2"/>
    </row>
    <row r="77" spans="1:12" s="1" customFormat="1" ht="13.5" thickBot="1">
      <c r="A77" s="20"/>
      <c r="B77" s="21"/>
      <c r="C77" s="21"/>
      <c r="D77" s="21"/>
      <c r="E77" s="2"/>
      <c r="F77" s="4"/>
      <c r="G77" s="4"/>
      <c r="H77" s="20"/>
      <c r="I77" s="21"/>
      <c r="J77" s="21" t="s">
        <v>307</v>
      </c>
      <c r="K77" s="21"/>
      <c r="L77" s="2"/>
    </row>
    <row r="78" spans="1:15" s="1" customFormat="1" ht="12.75">
      <c r="A78" s="879" t="s">
        <v>227</v>
      </c>
      <c r="B78" s="882" t="s">
        <v>435</v>
      </c>
      <c r="C78" s="885" t="s">
        <v>436</v>
      </c>
      <c r="D78" s="886"/>
      <c r="E78" s="886"/>
      <c r="F78" s="886"/>
      <c r="G78" s="886"/>
      <c r="H78" s="886"/>
      <c r="I78" s="887"/>
      <c r="J78" s="888" t="s">
        <v>437</v>
      </c>
      <c r="K78" s="7"/>
      <c r="L78" s="864" t="s">
        <v>205</v>
      </c>
      <c r="M78" s="865"/>
      <c r="N78" s="59">
        <v>2006</v>
      </c>
      <c r="O78" s="60">
        <v>2007</v>
      </c>
    </row>
    <row r="79" spans="1:15" s="1" customFormat="1" ht="12.75">
      <c r="A79" s="880"/>
      <c r="B79" s="883"/>
      <c r="C79" s="891" t="s">
        <v>228</v>
      </c>
      <c r="D79" s="893" t="s">
        <v>229</v>
      </c>
      <c r="E79" s="894"/>
      <c r="F79" s="894"/>
      <c r="G79" s="894"/>
      <c r="H79" s="894"/>
      <c r="I79" s="895"/>
      <c r="J79" s="889"/>
      <c r="K79" s="7"/>
      <c r="L79" s="63" t="s">
        <v>273</v>
      </c>
      <c r="M79" s="62"/>
      <c r="N79" s="58">
        <v>0</v>
      </c>
      <c r="O79" s="61">
        <v>0</v>
      </c>
    </row>
    <row r="80" spans="1:15" s="1" customFormat="1" ht="13.5" thickBot="1">
      <c r="A80" s="881"/>
      <c r="B80" s="884"/>
      <c r="C80" s="892"/>
      <c r="D80" s="25">
        <v>1</v>
      </c>
      <c r="E80" s="25">
        <v>2</v>
      </c>
      <c r="F80" s="25">
        <v>3</v>
      </c>
      <c r="G80" s="25">
        <v>4</v>
      </c>
      <c r="H80" s="25">
        <v>5</v>
      </c>
      <c r="I80" s="56">
        <v>6</v>
      </c>
      <c r="J80" s="890"/>
      <c r="K80" s="7"/>
      <c r="L80" s="62" t="s">
        <v>206</v>
      </c>
      <c r="M80" s="63"/>
      <c r="N80" s="22">
        <v>0</v>
      </c>
      <c r="O80" s="23">
        <v>0</v>
      </c>
    </row>
    <row r="81" spans="1:15" s="1" customFormat="1" ht="13.5" thickBot="1">
      <c r="A81" s="26">
        <v>2862</v>
      </c>
      <c r="B81" s="27">
        <v>542</v>
      </c>
      <c r="C81" s="54">
        <v>86</v>
      </c>
      <c r="D81" s="55">
        <v>62</v>
      </c>
      <c r="E81" s="55">
        <v>0</v>
      </c>
      <c r="F81" s="55">
        <v>0</v>
      </c>
      <c r="G81" s="55">
        <v>0</v>
      </c>
      <c r="H81" s="54">
        <v>24</v>
      </c>
      <c r="I81" s="57">
        <v>0</v>
      </c>
      <c r="J81" s="28">
        <f>SUM(A81-B81-C81)</f>
        <v>2234</v>
      </c>
      <c r="K81" s="7"/>
      <c r="L81" s="64" t="s">
        <v>207</v>
      </c>
      <c r="M81" s="65"/>
      <c r="N81" s="52">
        <v>0</v>
      </c>
      <c r="O81" s="53">
        <v>0</v>
      </c>
    </row>
    <row r="82" spans="1:12" s="1" customFormat="1" ht="12.75">
      <c r="A82" s="20"/>
      <c r="B82" s="21"/>
      <c r="C82" s="21"/>
      <c r="D82" s="21"/>
      <c r="E82" s="2"/>
      <c r="F82" s="200"/>
      <c r="G82" s="4"/>
      <c r="H82" s="20"/>
      <c r="I82" s="21"/>
      <c r="J82" s="21"/>
      <c r="K82" s="21"/>
      <c r="L82" s="2"/>
    </row>
    <row r="83" spans="1:12" s="1" customFormat="1" ht="13.5" thickBot="1">
      <c r="A83" s="20"/>
      <c r="B83" s="21"/>
      <c r="C83" s="21"/>
      <c r="D83" s="21"/>
      <c r="E83" s="2"/>
      <c r="F83" s="200"/>
      <c r="G83" s="4"/>
      <c r="H83" s="20"/>
      <c r="I83" s="21"/>
      <c r="J83" s="21"/>
      <c r="K83" s="21"/>
      <c r="L83" s="21" t="s">
        <v>307</v>
      </c>
    </row>
    <row r="84" spans="1:12" s="1" customFormat="1" ht="12.75">
      <c r="A84" s="855" t="s">
        <v>255</v>
      </c>
      <c r="B84" s="857" t="s">
        <v>438</v>
      </c>
      <c r="C84" s="859" t="s">
        <v>439</v>
      </c>
      <c r="D84" s="860"/>
      <c r="E84" s="860"/>
      <c r="F84" s="861"/>
      <c r="G84" s="862" t="s">
        <v>440</v>
      </c>
      <c r="H84" s="896" t="s">
        <v>230</v>
      </c>
      <c r="I84" s="898" t="s">
        <v>441</v>
      </c>
      <c r="J84" s="899"/>
      <c r="K84" s="899"/>
      <c r="L84" s="900"/>
    </row>
    <row r="85" spans="1:12" s="1" customFormat="1" ht="18.75" thickBot="1">
      <c r="A85" s="856"/>
      <c r="B85" s="858"/>
      <c r="C85" s="29" t="s">
        <v>321</v>
      </c>
      <c r="D85" s="30" t="s">
        <v>231</v>
      </c>
      <c r="E85" s="30" t="s">
        <v>232</v>
      </c>
      <c r="F85" s="31" t="s">
        <v>322</v>
      </c>
      <c r="G85" s="863"/>
      <c r="H85" s="897"/>
      <c r="I85" s="174" t="s">
        <v>442</v>
      </c>
      <c r="J85" s="175" t="s">
        <v>231</v>
      </c>
      <c r="K85" s="175" t="s">
        <v>232</v>
      </c>
      <c r="L85" s="176" t="s">
        <v>443</v>
      </c>
    </row>
    <row r="86" spans="1:12" s="1" customFormat="1" ht="12.75">
      <c r="A86" s="32" t="s">
        <v>233</v>
      </c>
      <c r="B86" s="33">
        <v>694</v>
      </c>
      <c r="C86" s="34" t="s">
        <v>234</v>
      </c>
      <c r="D86" s="35" t="s">
        <v>234</v>
      </c>
      <c r="E86" s="35" t="s">
        <v>234</v>
      </c>
      <c r="F86" s="36"/>
      <c r="G86" s="37">
        <v>290</v>
      </c>
      <c r="H86" s="171" t="s">
        <v>234</v>
      </c>
      <c r="I86" s="177" t="s">
        <v>234</v>
      </c>
      <c r="J86" s="178" t="s">
        <v>234</v>
      </c>
      <c r="K86" s="178" t="s">
        <v>234</v>
      </c>
      <c r="L86" s="179" t="s">
        <v>234</v>
      </c>
    </row>
    <row r="87" spans="1:12" s="1" customFormat="1" ht="12.75">
      <c r="A87" s="38" t="s">
        <v>235</v>
      </c>
      <c r="B87" s="39">
        <v>8</v>
      </c>
      <c r="C87" s="40">
        <v>8</v>
      </c>
      <c r="D87" s="41">
        <v>0</v>
      </c>
      <c r="E87" s="41">
        <v>0</v>
      </c>
      <c r="F87" s="42">
        <v>8</v>
      </c>
      <c r="G87" s="43">
        <v>8</v>
      </c>
      <c r="H87" s="172">
        <f>+G87-F87</f>
        <v>0</v>
      </c>
      <c r="I87" s="40">
        <v>8</v>
      </c>
      <c r="J87" s="41">
        <v>0</v>
      </c>
      <c r="K87" s="41">
        <v>0</v>
      </c>
      <c r="L87" s="42">
        <f>I87+J87-K87</f>
        <v>8</v>
      </c>
    </row>
    <row r="88" spans="1:12" s="1" customFormat="1" ht="12.75">
      <c r="A88" s="38" t="s">
        <v>236</v>
      </c>
      <c r="B88" s="39">
        <v>33</v>
      </c>
      <c r="C88" s="40">
        <v>33</v>
      </c>
      <c r="D88" s="41">
        <v>27</v>
      </c>
      <c r="E88" s="41">
        <v>13</v>
      </c>
      <c r="F88" s="42">
        <f>C88+D88-E88</f>
        <v>47</v>
      </c>
      <c r="G88" s="43">
        <v>47</v>
      </c>
      <c r="H88" s="172">
        <f>+G88-F88</f>
        <v>0</v>
      </c>
      <c r="I88" s="40">
        <v>47</v>
      </c>
      <c r="J88" s="41">
        <v>3</v>
      </c>
      <c r="K88" s="41">
        <v>0</v>
      </c>
      <c r="L88" s="42">
        <f>I88+J88-K88</f>
        <v>50</v>
      </c>
    </row>
    <row r="89" spans="1:12" s="1" customFormat="1" ht="12.75">
      <c r="A89" s="38" t="s">
        <v>256</v>
      </c>
      <c r="B89" s="39">
        <v>159</v>
      </c>
      <c r="C89" s="40">
        <v>159</v>
      </c>
      <c r="D89" s="41">
        <v>84</v>
      </c>
      <c r="E89" s="41">
        <v>9</v>
      </c>
      <c r="F89" s="42">
        <f>C89+D89-E89</f>
        <v>234</v>
      </c>
      <c r="G89" s="43">
        <v>234</v>
      </c>
      <c r="H89" s="172">
        <f>+G89-F89</f>
        <v>0</v>
      </c>
      <c r="I89" s="180">
        <v>234</v>
      </c>
      <c r="J89" s="170">
        <v>86</v>
      </c>
      <c r="K89" s="170">
        <v>9</v>
      </c>
      <c r="L89" s="42">
        <f>I89+J89-K89</f>
        <v>311</v>
      </c>
    </row>
    <row r="90" spans="1:12" s="1" customFormat="1" ht="12.75">
      <c r="A90" s="38" t="s">
        <v>237</v>
      </c>
      <c r="B90" s="39">
        <v>494</v>
      </c>
      <c r="C90" s="50" t="s">
        <v>234</v>
      </c>
      <c r="D90" s="35" t="s">
        <v>234</v>
      </c>
      <c r="E90" s="51" t="s">
        <v>234</v>
      </c>
      <c r="F90" s="42"/>
      <c r="G90" s="43">
        <v>1</v>
      </c>
      <c r="H90" s="50" t="s">
        <v>234</v>
      </c>
      <c r="I90" s="34"/>
      <c r="J90" s="35"/>
      <c r="K90" s="35"/>
      <c r="L90" s="181"/>
    </row>
    <row r="91" spans="1:12" s="1" customFormat="1" ht="13.5" thickBot="1">
      <c r="A91" s="44" t="s">
        <v>238</v>
      </c>
      <c r="B91" s="45">
        <v>47</v>
      </c>
      <c r="C91" s="46">
        <v>47</v>
      </c>
      <c r="D91" s="47">
        <v>70</v>
      </c>
      <c r="E91" s="47">
        <v>44</v>
      </c>
      <c r="F91" s="48">
        <f>C91+D91-E91</f>
        <v>73</v>
      </c>
      <c r="G91" s="49">
        <v>73</v>
      </c>
      <c r="H91" s="173">
        <f>+G91-F91</f>
        <v>0</v>
      </c>
      <c r="I91" s="46">
        <v>73</v>
      </c>
      <c r="J91" s="47">
        <v>87</v>
      </c>
      <c r="K91" s="47">
        <v>136</v>
      </c>
      <c r="L91" s="48">
        <f>I91+J91-K91</f>
        <v>24</v>
      </c>
    </row>
    <row r="92" spans="1:12" s="1" customFormat="1" ht="12.75">
      <c r="A92" s="20"/>
      <c r="B92" s="21"/>
      <c r="C92" s="21"/>
      <c r="D92" s="21"/>
      <c r="E92" s="2"/>
      <c r="F92" s="200"/>
      <c r="G92" s="4"/>
      <c r="H92" s="20"/>
      <c r="I92" s="21"/>
      <c r="J92" s="21"/>
      <c r="K92" s="21"/>
      <c r="L92" s="2"/>
    </row>
    <row r="93" spans="1:12" s="1" customFormat="1" ht="12.75">
      <c r="A93" s="20"/>
      <c r="B93" s="21"/>
      <c r="C93" s="21"/>
      <c r="D93" s="21"/>
      <c r="E93" s="2"/>
      <c r="F93" s="200"/>
      <c r="G93" s="4"/>
      <c r="H93" s="20"/>
      <c r="I93" s="21"/>
      <c r="J93" s="21"/>
      <c r="K93" s="21"/>
      <c r="L93" s="2"/>
    </row>
    <row r="94" spans="1:12" s="1" customFormat="1" ht="12.75">
      <c r="A94" s="20"/>
      <c r="B94" s="21"/>
      <c r="C94" s="21"/>
      <c r="D94" s="21"/>
      <c r="E94" s="2"/>
      <c r="F94" s="200"/>
      <c r="G94" s="4"/>
      <c r="H94" s="20"/>
      <c r="I94" s="21"/>
      <c r="J94" s="21"/>
      <c r="K94" s="21"/>
      <c r="L94" s="2"/>
    </row>
    <row r="95" spans="1:12" s="1" customFormat="1" ht="12.75">
      <c r="A95" s="20"/>
      <c r="B95" s="21"/>
      <c r="C95" s="21"/>
      <c r="D95" s="21"/>
      <c r="E95" s="2"/>
      <c r="F95" s="200"/>
      <c r="G95" s="4"/>
      <c r="H95" s="20"/>
      <c r="I95" s="21"/>
      <c r="J95" s="21"/>
      <c r="K95" s="21"/>
      <c r="L95" s="2"/>
    </row>
    <row r="96" spans="1:12" s="1" customFormat="1" ht="12.75">
      <c r="A96" s="20"/>
      <c r="B96" s="21"/>
      <c r="C96" s="21"/>
      <c r="D96" s="21"/>
      <c r="E96" s="2"/>
      <c r="F96" s="200"/>
      <c r="G96" s="4"/>
      <c r="H96" s="20"/>
      <c r="I96" s="21"/>
      <c r="J96" s="21"/>
      <c r="K96" s="21"/>
      <c r="L96" s="2"/>
    </row>
    <row r="97" spans="1:12" s="1" customFormat="1" ht="12.75">
      <c r="A97" s="20"/>
      <c r="B97" s="21"/>
      <c r="C97" s="21"/>
      <c r="D97" s="21"/>
      <c r="E97" s="2"/>
      <c r="F97" s="4"/>
      <c r="G97" s="4"/>
      <c r="H97" s="20"/>
      <c r="I97" s="21"/>
      <c r="J97" s="21"/>
      <c r="K97" s="21"/>
      <c r="L97" s="2"/>
    </row>
    <row r="98" spans="1:12" s="1" customFormat="1" ht="12.75">
      <c r="A98" s="20"/>
      <c r="B98" s="21"/>
      <c r="C98" s="21"/>
      <c r="D98" s="21"/>
      <c r="E98" s="2"/>
      <c r="F98" s="4"/>
      <c r="G98" s="4"/>
      <c r="H98" s="20"/>
      <c r="I98" s="21"/>
      <c r="J98" s="21"/>
      <c r="K98" s="21"/>
      <c r="L98" s="2"/>
    </row>
    <row r="99" spans="8:12" ht="13.5" thickBot="1">
      <c r="H99" s="21" t="s">
        <v>307</v>
      </c>
      <c r="L99" s="21" t="s">
        <v>307</v>
      </c>
    </row>
    <row r="100" spans="1:12" ht="13.5" thickBot="1">
      <c r="A100" s="823" t="s">
        <v>444</v>
      </c>
      <c r="B100" s="824" t="s">
        <v>168</v>
      </c>
      <c r="C100" s="810" t="s">
        <v>239</v>
      </c>
      <c r="D100" s="810"/>
      <c r="E100" s="810"/>
      <c r="F100" s="810"/>
      <c r="G100" s="810"/>
      <c r="H100" s="810"/>
      <c r="I100" s="24"/>
      <c r="J100" s="825" t="s">
        <v>208</v>
      </c>
      <c r="K100" s="825"/>
      <c r="L100" s="825"/>
    </row>
    <row r="101" spans="1:12" ht="13.5" thickBot="1">
      <c r="A101" s="823"/>
      <c r="B101" s="824"/>
      <c r="C101" s="126" t="s">
        <v>240</v>
      </c>
      <c r="D101" s="127" t="s">
        <v>241</v>
      </c>
      <c r="E101" s="127" t="s">
        <v>242</v>
      </c>
      <c r="F101" s="127" t="s">
        <v>243</v>
      </c>
      <c r="G101" s="128" t="s">
        <v>244</v>
      </c>
      <c r="H101" s="129" t="s">
        <v>228</v>
      </c>
      <c r="I101" s="24"/>
      <c r="J101" s="130"/>
      <c r="K101" s="131" t="s">
        <v>209</v>
      </c>
      <c r="L101" s="132" t="s">
        <v>210</v>
      </c>
    </row>
    <row r="102" spans="1:12" ht="12.75">
      <c r="A102" s="133" t="s">
        <v>245</v>
      </c>
      <c r="B102" s="134">
        <v>85</v>
      </c>
      <c r="C102" s="135">
        <v>0</v>
      </c>
      <c r="D102" s="135">
        <v>83</v>
      </c>
      <c r="E102" s="135">
        <v>0</v>
      </c>
      <c r="F102" s="135">
        <v>0</v>
      </c>
      <c r="G102" s="134">
        <v>2</v>
      </c>
      <c r="H102" s="136">
        <f>SUM(C102:G102)</f>
        <v>85</v>
      </c>
      <c r="I102" s="24"/>
      <c r="J102" s="137">
        <v>2007</v>
      </c>
      <c r="K102" s="138">
        <v>3615</v>
      </c>
      <c r="L102" s="139">
        <f>+G30</f>
        <v>3489</v>
      </c>
    </row>
    <row r="103" spans="1:12" ht="13.5" thickBot="1">
      <c r="A103" s="140" t="s">
        <v>246</v>
      </c>
      <c r="B103" s="141">
        <v>0.17</v>
      </c>
      <c r="C103" s="142">
        <v>0.17</v>
      </c>
      <c r="D103" s="142">
        <v>0</v>
      </c>
      <c r="E103" s="142">
        <v>0</v>
      </c>
      <c r="F103" s="142">
        <v>0</v>
      </c>
      <c r="G103" s="141">
        <v>0</v>
      </c>
      <c r="H103" s="143">
        <v>0</v>
      </c>
      <c r="I103" s="24"/>
      <c r="J103" s="144">
        <v>2008</v>
      </c>
      <c r="K103" s="145">
        <f>L30</f>
        <v>4373</v>
      </c>
      <c r="L103" s="146"/>
    </row>
    <row r="104" ht="12.75" customHeight="1"/>
    <row r="105" ht="13.5" thickBot="1">
      <c r="J105" s="208" t="s">
        <v>323</v>
      </c>
    </row>
    <row r="106" spans="1:10" ht="21" customHeight="1" thickBot="1">
      <c r="A106" s="823" t="s">
        <v>211</v>
      </c>
      <c r="B106" s="826" t="s">
        <v>212</v>
      </c>
      <c r="C106" s="826"/>
      <c r="D106" s="826"/>
      <c r="E106" s="827" t="s">
        <v>274</v>
      </c>
      <c r="F106" s="827"/>
      <c r="G106" s="827"/>
      <c r="H106" s="828" t="s">
        <v>213</v>
      </c>
      <c r="I106" s="828"/>
      <c r="J106" s="828"/>
    </row>
    <row r="107" spans="1:10" ht="12.75">
      <c r="A107" s="823"/>
      <c r="B107" s="147">
        <v>2006</v>
      </c>
      <c r="C107" s="147">
        <v>2007</v>
      </c>
      <c r="D107" s="147" t="s">
        <v>214</v>
      </c>
      <c r="E107" s="147">
        <v>2006</v>
      </c>
      <c r="F107" s="147">
        <v>2007</v>
      </c>
      <c r="G107" s="148" t="s">
        <v>214</v>
      </c>
      <c r="H107" s="149">
        <v>2006</v>
      </c>
      <c r="I107" s="147">
        <v>2007</v>
      </c>
      <c r="J107" s="148" t="s">
        <v>214</v>
      </c>
    </row>
    <row r="108" spans="1:10" ht="18.75">
      <c r="A108" s="150" t="s">
        <v>215</v>
      </c>
      <c r="B108" s="151">
        <v>1.8</v>
      </c>
      <c r="C108" s="151">
        <v>1.8</v>
      </c>
      <c r="D108" s="151">
        <f aca="true" t="shared" si="14" ref="D108:D118">+C108-B108</f>
        <v>0</v>
      </c>
      <c r="E108" s="151">
        <v>1.8</v>
      </c>
      <c r="F108" s="151">
        <v>1.8</v>
      </c>
      <c r="G108" s="152">
        <f aca="true" t="shared" si="15" ref="G108:G117">+F108-E108</f>
        <v>0</v>
      </c>
      <c r="H108" s="153">
        <v>29231</v>
      </c>
      <c r="I108" s="154">
        <v>31657</v>
      </c>
      <c r="J108" s="155">
        <f aca="true" t="shared" si="16" ref="J108:J118">+I108-H108</f>
        <v>2426</v>
      </c>
    </row>
    <row r="109" spans="1:10" ht="12.75">
      <c r="A109" s="150" t="s">
        <v>248</v>
      </c>
      <c r="B109" s="151"/>
      <c r="C109" s="151"/>
      <c r="D109" s="151">
        <f t="shared" si="14"/>
        <v>0</v>
      </c>
      <c r="E109" s="151"/>
      <c r="F109" s="151"/>
      <c r="G109" s="152">
        <f t="shared" si="15"/>
        <v>0</v>
      </c>
      <c r="H109" s="153"/>
      <c r="I109" s="156"/>
      <c r="J109" s="155">
        <f t="shared" si="16"/>
        <v>0</v>
      </c>
    </row>
    <row r="110" spans="1:10" ht="12.75">
      <c r="A110" s="150" t="s">
        <v>216</v>
      </c>
      <c r="B110" s="151"/>
      <c r="C110" s="151"/>
      <c r="D110" s="151">
        <f t="shared" si="14"/>
        <v>0</v>
      </c>
      <c r="E110" s="151"/>
      <c r="F110" s="151"/>
      <c r="G110" s="152">
        <f t="shared" si="15"/>
        <v>0</v>
      </c>
      <c r="H110" s="153"/>
      <c r="I110" s="156"/>
      <c r="J110" s="155">
        <f t="shared" si="16"/>
        <v>0</v>
      </c>
    </row>
    <row r="111" spans="1:10" ht="12.75">
      <c r="A111" s="150" t="s">
        <v>217</v>
      </c>
      <c r="B111" s="151"/>
      <c r="C111" s="151"/>
      <c r="D111" s="151">
        <f t="shared" si="14"/>
        <v>0</v>
      </c>
      <c r="E111" s="151"/>
      <c r="F111" s="151"/>
      <c r="G111" s="152">
        <f t="shared" si="15"/>
        <v>0</v>
      </c>
      <c r="H111" s="153"/>
      <c r="I111" s="156"/>
      <c r="J111" s="155">
        <f t="shared" si="16"/>
        <v>0</v>
      </c>
    </row>
    <row r="112" spans="1:10" ht="12.75">
      <c r="A112" s="150" t="s">
        <v>299</v>
      </c>
      <c r="B112" s="151"/>
      <c r="C112" s="151"/>
      <c r="D112" s="151">
        <f t="shared" si="14"/>
        <v>0</v>
      </c>
      <c r="E112" s="151"/>
      <c r="F112" s="151"/>
      <c r="G112" s="152">
        <f t="shared" si="15"/>
        <v>0</v>
      </c>
      <c r="H112" s="153"/>
      <c r="I112" s="156"/>
      <c r="J112" s="155">
        <f t="shared" si="16"/>
        <v>0</v>
      </c>
    </row>
    <row r="113" spans="1:10" ht="12.75">
      <c r="A113" s="150" t="s">
        <v>297</v>
      </c>
      <c r="B113" s="151"/>
      <c r="C113" s="151"/>
      <c r="D113" s="151">
        <f t="shared" si="14"/>
        <v>0</v>
      </c>
      <c r="E113" s="151"/>
      <c r="F113" s="151"/>
      <c r="G113" s="152">
        <f t="shared" si="15"/>
        <v>0</v>
      </c>
      <c r="H113" s="153"/>
      <c r="I113" s="156"/>
      <c r="J113" s="155">
        <f t="shared" si="16"/>
        <v>0</v>
      </c>
    </row>
    <row r="114" spans="1:10" ht="12.75">
      <c r="A114" s="150" t="s">
        <v>325</v>
      </c>
      <c r="B114" s="151"/>
      <c r="C114" s="151"/>
      <c r="D114" s="151">
        <f t="shared" si="14"/>
        <v>0</v>
      </c>
      <c r="E114" s="151"/>
      <c r="F114" s="151"/>
      <c r="G114" s="152">
        <f t="shared" si="15"/>
        <v>0</v>
      </c>
      <c r="H114" s="153"/>
      <c r="I114" s="156"/>
      <c r="J114" s="155">
        <f t="shared" si="16"/>
        <v>0</v>
      </c>
    </row>
    <row r="115" spans="1:10" ht="12.75">
      <c r="A115" s="150" t="s">
        <v>219</v>
      </c>
      <c r="B115" s="151"/>
      <c r="C115" s="151"/>
      <c r="D115" s="151">
        <f t="shared" si="14"/>
        <v>0</v>
      </c>
      <c r="E115" s="151"/>
      <c r="F115" s="151"/>
      <c r="G115" s="152">
        <f t="shared" si="15"/>
        <v>0</v>
      </c>
      <c r="H115" s="153"/>
      <c r="I115" s="156"/>
      <c r="J115" s="155">
        <f t="shared" si="16"/>
        <v>0</v>
      </c>
    </row>
    <row r="116" spans="1:10" ht="12.75">
      <c r="A116" s="150" t="s">
        <v>220</v>
      </c>
      <c r="B116" s="151">
        <v>8.2</v>
      </c>
      <c r="C116" s="151">
        <v>9.7</v>
      </c>
      <c r="D116" s="151">
        <f t="shared" si="14"/>
        <v>1.5</v>
      </c>
      <c r="E116" s="151">
        <v>8.2</v>
      </c>
      <c r="F116" s="151">
        <v>11.2</v>
      </c>
      <c r="G116" s="152">
        <f t="shared" si="15"/>
        <v>3</v>
      </c>
      <c r="H116" s="153">
        <v>23248</v>
      </c>
      <c r="I116" s="156">
        <v>24102</v>
      </c>
      <c r="J116" s="155">
        <f t="shared" si="16"/>
        <v>854</v>
      </c>
    </row>
    <row r="117" spans="1:10" ht="12.75">
      <c r="A117" s="150" t="s">
        <v>221</v>
      </c>
      <c r="B117" s="151"/>
      <c r="C117" s="151"/>
      <c r="D117" s="151">
        <f t="shared" si="14"/>
        <v>0</v>
      </c>
      <c r="E117" s="151"/>
      <c r="F117" s="151"/>
      <c r="G117" s="152">
        <f t="shared" si="15"/>
        <v>0</v>
      </c>
      <c r="H117" s="153"/>
      <c r="I117" s="156"/>
      <c r="J117" s="155">
        <f t="shared" si="16"/>
        <v>0</v>
      </c>
    </row>
    <row r="118" spans="1:10" ht="13.5" thickBot="1">
      <c r="A118" s="157" t="s">
        <v>168</v>
      </c>
      <c r="B118" s="158">
        <v>10</v>
      </c>
      <c r="C118" s="158">
        <v>11.5</v>
      </c>
      <c r="D118" s="158">
        <f t="shared" si="14"/>
        <v>1.5</v>
      </c>
      <c r="E118" s="158">
        <v>10</v>
      </c>
      <c r="F118" s="158">
        <v>13</v>
      </c>
      <c r="G118" s="159">
        <v>3</v>
      </c>
      <c r="H118" s="160">
        <v>24325</v>
      </c>
      <c r="I118" s="161">
        <v>25285</v>
      </c>
      <c r="J118" s="162">
        <f t="shared" si="16"/>
        <v>960</v>
      </c>
    </row>
    <row r="119" ht="13.5" thickBot="1"/>
    <row r="120" spans="1:16" ht="12.75">
      <c r="A120" s="829" t="s">
        <v>222</v>
      </c>
      <c r="B120" s="829"/>
      <c r="C120" s="829"/>
      <c r="D120" s="24"/>
      <c r="E120" s="829" t="s">
        <v>223</v>
      </c>
      <c r="F120" s="829"/>
      <c r="G120" s="829"/>
      <c r="H120"/>
      <c r="I120"/>
      <c r="J120"/>
      <c r="K120"/>
      <c r="L120"/>
      <c r="M120"/>
      <c r="N120"/>
      <c r="O120"/>
      <c r="P120"/>
    </row>
    <row r="121" spans="1:16" ht="13.5" thickBot="1">
      <c r="A121" s="130" t="s">
        <v>224</v>
      </c>
      <c r="B121" s="131" t="s">
        <v>225</v>
      </c>
      <c r="C121" s="132" t="s">
        <v>210</v>
      </c>
      <c r="D121" s="24"/>
      <c r="E121" s="130"/>
      <c r="F121" s="832" t="s">
        <v>226</v>
      </c>
      <c r="G121" s="832"/>
      <c r="H121"/>
      <c r="I121"/>
      <c r="J121"/>
      <c r="K121"/>
      <c r="L121"/>
      <c r="M121"/>
      <c r="N121"/>
      <c r="O121"/>
      <c r="P121"/>
    </row>
    <row r="122" spans="1:16" ht="12.75">
      <c r="A122" s="137">
        <v>2007</v>
      </c>
      <c r="B122" s="138">
        <v>11</v>
      </c>
      <c r="C122" s="139">
        <v>11</v>
      </c>
      <c r="D122" s="24"/>
      <c r="E122" s="137">
        <v>2007</v>
      </c>
      <c r="F122" s="830">
        <v>0</v>
      </c>
      <c r="G122" s="830"/>
      <c r="H122"/>
      <c r="I122"/>
      <c r="J122"/>
      <c r="K122"/>
      <c r="L122"/>
      <c r="M122"/>
      <c r="N122"/>
      <c r="O122"/>
      <c r="P122"/>
    </row>
    <row r="123" spans="1:16" ht="13.5" thickBot="1">
      <c r="A123" s="144">
        <v>2008</v>
      </c>
      <c r="B123" s="145">
        <v>13</v>
      </c>
      <c r="C123" s="146"/>
      <c r="D123" s="24"/>
      <c r="E123" s="144">
        <v>2008</v>
      </c>
      <c r="F123" s="831">
        <v>0</v>
      </c>
      <c r="G123" s="831"/>
      <c r="H123"/>
      <c r="I123"/>
      <c r="J123"/>
      <c r="K123"/>
      <c r="L123"/>
      <c r="M123"/>
      <c r="N123"/>
      <c r="O123"/>
      <c r="P123"/>
    </row>
  </sheetData>
  <mergeCells count="123">
    <mergeCell ref="C72:D72"/>
    <mergeCell ref="F72:G72"/>
    <mergeCell ref="I72:K72"/>
    <mergeCell ref="F73:G73"/>
    <mergeCell ref="C70:D70"/>
    <mergeCell ref="F70:G70"/>
    <mergeCell ref="I70:K70"/>
    <mergeCell ref="C71:D71"/>
    <mergeCell ref="F71:G71"/>
    <mergeCell ref="I71:K71"/>
    <mergeCell ref="C68:D68"/>
    <mergeCell ref="F68:G68"/>
    <mergeCell ref="I68:K68"/>
    <mergeCell ref="C69:D69"/>
    <mergeCell ref="F69:G69"/>
    <mergeCell ref="I69:K69"/>
    <mergeCell ref="F123:G123"/>
    <mergeCell ref="A120:C120"/>
    <mergeCell ref="E120:G120"/>
    <mergeCell ref="F121:G121"/>
    <mergeCell ref="F122:G122"/>
    <mergeCell ref="A106:A107"/>
    <mergeCell ref="B106:D106"/>
    <mergeCell ref="E106:G106"/>
    <mergeCell ref="H106:J106"/>
    <mergeCell ref="H84:H85"/>
    <mergeCell ref="I84:L84"/>
    <mergeCell ref="B100:B101"/>
    <mergeCell ref="C100:H100"/>
    <mergeCell ref="J100:L100"/>
    <mergeCell ref="A84:A85"/>
    <mergeCell ref="B84:B85"/>
    <mergeCell ref="C84:F84"/>
    <mergeCell ref="G84:G85"/>
    <mergeCell ref="H56:K56"/>
    <mergeCell ref="J78:J80"/>
    <mergeCell ref="L78:M78"/>
    <mergeCell ref="C79:C80"/>
    <mergeCell ref="D79:I79"/>
    <mergeCell ref="A66:E66"/>
    <mergeCell ref="F66:L66"/>
    <mergeCell ref="C67:D67"/>
    <mergeCell ref="F67:G67"/>
    <mergeCell ref="I67:K67"/>
    <mergeCell ref="H45:K45"/>
    <mergeCell ref="L53:L54"/>
    <mergeCell ref="A63:B63"/>
    <mergeCell ref="D63:F63"/>
    <mergeCell ref="H63:K63"/>
    <mergeCell ref="A55:B55"/>
    <mergeCell ref="D55:F55"/>
    <mergeCell ref="H55:K55"/>
    <mergeCell ref="A56:B56"/>
    <mergeCell ref="D56:F56"/>
    <mergeCell ref="M4:N4"/>
    <mergeCell ref="B4:D4"/>
    <mergeCell ref="E4:G4"/>
    <mergeCell ref="H42:K43"/>
    <mergeCell ref="L42:L43"/>
    <mergeCell ref="A42:B43"/>
    <mergeCell ref="C42:C43"/>
    <mergeCell ref="D42:F43"/>
    <mergeCell ref="G42:G43"/>
    <mergeCell ref="B39:D39"/>
    <mergeCell ref="H44:K44"/>
    <mergeCell ref="A45:B45"/>
    <mergeCell ref="D45:F45"/>
    <mergeCell ref="A1:N1"/>
    <mergeCell ref="J39:L39"/>
    <mergeCell ref="B40:D40"/>
    <mergeCell ref="E40:G40"/>
    <mergeCell ref="A3:A6"/>
    <mergeCell ref="B3:N3"/>
    <mergeCell ref="H4:I4"/>
    <mergeCell ref="E39:G39"/>
    <mergeCell ref="A44:B44"/>
    <mergeCell ref="D44:F44"/>
    <mergeCell ref="A46:B46"/>
    <mergeCell ref="D46:F46"/>
    <mergeCell ref="H46:K46"/>
    <mergeCell ref="A47:B47"/>
    <mergeCell ref="D47:F47"/>
    <mergeCell ref="H47:K47"/>
    <mergeCell ref="H53:K54"/>
    <mergeCell ref="A48:B48"/>
    <mergeCell ref="D48:F48"/>
    <mergeCell ref="H48:K48"/>
    <mergeCell ref="A49:B49"/>
    <mergeCell ref="D49:F49"/>
    <mergeCell ref="H49:K49"/>
    <mergeCell ref="A51:B51"/>
    <mergeCell ref="D51:F51"/>
    <mergeCell ref="H51:K51"/>
    <mergeCell ref="A58:B58"/>
    <mergeCell ref="D58:F58"/>
    <mergeCell ref="H58:K58"/>
    <mergeCell ref="A50:B50"/>
    <mergeCell ref="D50:F50"/>
    <mergeCell ref="H50:K50"/>
    <mergeCell ref="A53:B54"/>
    <mergeCell ref="C53:C54"/>
    <mergeCell ref="D53:F54"/>
    <mergeCell ref="G53:G54"/>
    <mergeCell ref="A100:A101"/>
    <mergeCell ref="D62:F62"/>
    <mergeCell ref="H62:K62"/>
    <mergeCell ref="H59:K59"/>
    <mergeCell ref="A60:B60"/>
    <mergeCell ref="D60:F60"/>
    <mergeCell ref="H60:K60"/>
    <mergeCell ref="A78:A80"/>
    <mergeCell ref="B78:B80"/>
    <mergeCell ref="C78:I78"/>
    <mergeCell ref="J4:L4"/>
    <mergeCell ref="A61:B61"/>
    <mergeCell ref="A62:B62"/>
    <mergeCell ref="A59:B59"/>
    <mergeCell ref="D59:F59"/>
    <mergeCell ref="D61:F61"/>
    <mergeCell ref="H61:K61"/>
    <mergeCell ref="A57:B57"/>
    <mergeCell ref="D57:F57"/>
    <mergeCell ref="H57:K57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Normal="90" zoomScaleSheetLayoutView="100" workbookViewId="0" topLeftCell="A1">
      <selection activeCell="K23" sqref="K23"/>
    </sheetView>
  </sheetViews>
  <sheetFormatPr defaultColWidth="9.00390625" defaultRowHeight="12.75"/>
  <cols>
    <col min="1" max="1" width="28.125" style="209" customWidth="1"/>
    <col min="2" max="7" width="9.75390625" style="8" customWidth="1"/>
    <col min="8" max="8" width="8.125" style="8" customWidth="1"/>
    <col min="9" max="9" width="8.875" style="209" customWidth="1"/>
    <col min="10" max="10" width="9.125" style="209" customWidth="1"/>
    <col min="11" max="11" width="9.25390625" style="209" customWidth="1"/>
    <col min="12" max="12" width="8.625" style="209" customWidth="1"/>
    <col min="13" max="16" width="9.125" style="209" customWidth="1"/>
  </cols>
  <sheetData>
    <row r="1" spans="1:14" ht="15.75">
      <c r="A1" s="788"/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</row>
    <row r="2" spans="1:14" ht="16.5" thickBot="1">
      <c r="A2" s="210"/>
      <c r="B2" s="211"/>
      <c r="C2" s="211"/>
      <c r="D2" s="211"/>
      <c r="E2" s="211"/>
      <c r="F2" s="211"/>
      <c r="G2" s="211"/>
      <c r="H2" s="211"/>
      <c r="L2" s="9"/>
      <c r="N2" s="10" t="s">
        <v>307</v>
      </c>
    </row>
    <row r="3" spans="1:14" ht="24" customHeight="1" thickBot="1">
      <c r="A3" s="791" t="s">
        <v>165</v>
      </c>
      <c r="B3" s="792" t="s">
        <v>410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4" ht="13.5" thickBot="1">
      <c r="A4" s="791"/>
      <c r="B4" s="790" t="s">
        <v>308</v>
      </c>
      <c r="C4" s="790"/>
      <c r="D4" s="790"/>
      <c r="E4" s="790" t="s">
        <v>417</v>
      </c>
      <c r="F4" s="790"/>
      <c r="G4" s="790"/>
      <c r="H4" s="793" t="s">
        <v>309</v>
      </c>
      <c r="I4" s="793"/>
      <c r="J4" s="790" t="s">
        <v>418</v>
      </c>
      <c r="K4" s="790"/>
      <c r="L4" s="790"/>
      <c r="M4" s="790" t="s">
        <v>419</v>
      </c>
      <c r="N4" s="790"/>
    </row>
    <row r="5" spans="1:14" ht="13.5" thickBot="1">
      <c r="A5" s="791"/>
      <c r="B5" s="66" t="s">
        <v>166</v>
      </c>
      <c r="C5" s="67" t="s">
        <v>167</v>
      </c>
      <c r="D5" s="68" t="s">
        <v>168</v>
      </c>
      <c r="E5" s="66" t="s">
        <v>166</v>
      </c>
      <c r="F5" s="67" t="s">
        <v>167</v>
      </c>
      <c r="G5" s="68" t="s">
        <v>168</v>
      </c>
      <c r="H5" s="69" t="s">
        <v>168</v>
      </c>
      <c r="I5" s="69" t="s">
        <v>169</v>
      </c>
      <c r="J5" s="70" t="s">
        <v>166</v>
      </c>
      <c r="K5" s="67" t="s">
        <v>167</v>
      </c>
      <c r="L5" s="68" t="s">
        <v>168</v>
      </c>
      <c r="M5" s="69" t="s">
        <v>168</v>
      </c>
      <c r="N5" s="68" t="s">
        <v>169</v>
      </c>
    </row>
    <row r="6" spans="1:14" ht="13.5" thickBot="1">
      <c r="A6" s="791"/>
      <c r="B6" s="183" t="s">
        <v>170</v>
      </c>
      <c r="C6" s="184" t="s">
        <v>170</v>
      </c>
      <c r="D6" s="185"/>
      <c r="E6" s="183" t="s">
        <v>170</v>
      </c>
      <c r="F6" s="184" t="s">
        <v>170</v>
      </c>
      <c r="G6" s="185"/>
      <c r="H6" s="189" t="s">
        <v>171</v>
      </c>
      <c r="I6" s="189" t="s">
        <v>172</v>
      </c>
      <c r="J6" s="197" t="s">
        <v>170</v>
      </c>
      <c r="K6" s="184" t="s">
        <v>170</v>
      </c>
      <c r="L6" s="185"/>
      <c r="M6" s="189" t="s">
        <v>171</v>
      </c>
      <c r="N6" s="185" t="s">
        <v>172</v>
      </c>
    </row>
    <row r="7" spans="1:14" ht="13.5" customHeight="1">
      <c r="A7" s="96" t="s">
        <v>173</v>
      </c>
      <c r="B7" s="212">
        <v>0</v>
      </c>
      <c r="C7" s="213">
        <v>0</v>
      </c>
      <c r="D7" s="214">
        <f aca="true" t="shared" si="0" ref="D7:D18">SUM(B7:C7)</f>
        <v>0</v>
      </c>
      <c r="E7" s="212">
        <v>0</v>
      </c>
      <c r="F7" s="213">
        <v>0</v>
      </c>
      <c r="G7" s="214">
        <f aca="true" t="shared" si="1" ref="G7:G18">SUM(E7:F7)</f>
        <v>0</v>
      </c>
      <c r="H7" s="215">
        <f aca="true" t="shared" si="2" ref="H7:H38">+G7-D7</f>
        <v>0</v>
      </c>
      <c r="I7" s="304"/>
      <c r="J7" s="212">
        <v>0</v>
      </c>
      <c r="K7" s="213"/>
      <c r="L7" s="214">
        <f aca="true" t="shared" si="3" ref="L7:L18">SUM(J7:K7)</f>
        <v>0</v>
      </c>
      <c r="M7" s="215">
        <f aca="true" t="shared" si="4" ref="M7:M38">+L7-G7</f>
        <v>0</v>
      </c>
      <c r="N7" s="216"/>
    </row>
    <row r="8" spans="1:14" ht="13.5" customHeight="1">
      <c r="A8" s="78" t="s">
        <v>174</v>
      </c>
      <c r="B8" s="81">
        <v>9741</v>
      </c>
      <c r="C8" s="80">
        <v>335</v>
      </c>
      <c r="D8" s="217">
        <f t="shared" si="0"/>
        <v>10076</v>
      </c>
      <c r="E8" s="81">
        <v>24733</v>
      </c>
      <c r="F8" s="80">
        <v>279</v>
      </c>
      <c r="G8" s="217">
        <f t="shared" si="1"/>
        <v>25012</v>
      </c>
      <c r="H8" s="218">
        <f t="shared" si="2"/>
        <v>14936</v>
      </c>
      <c r="I8" s="75">
        <f aca="true" t="shared" si="5" ref="I8:I22">+G8/D8</f>
        <v>2.482334259626836</v>
      </c>
      <c r="J8" s="81">
        <v>24671</v>
      </c>
      <c r="K8" s="80"/>
      <c r="L8" s="217">
        <f t="shared" si="3"/>
        <v>24671</v>
      </c>
      <c r="M8" s="218">
        <f t="shared" si="4"/>
        <v>-341</v>
      </c>
      <c r="N8" s="77">
        <f aca="true" t="shared" si="6" ref="N8:N22">+L8/G8</f>
        <v>0.9863665440588517</v>
      </c>
    </row>
    <row r="9" spans="1:14" ht="13.5" customHeight="1">
      <c r="A9" s="78" t="s">
        <v>175</v>
      </c>
      <c r="B9" s="81">
        <v>0</v>
      </c>
      <c r="C9" s="80">
        <v>0</v>
      </c>
      <c r="D9" s="217">
        <f t="shared" si="0"/>
        <v>0</v>
      </c>
      <c r="E9" s="81">
        <v>0</v>
      </c>
      <c r="F9" s="80">
        <v>0</v>
      </c>
      <c r="G9" s="217">
        <f t="shared" si="1"/>
        <v>0</v>
      </c>
      <c r="H9" s="218">
        <f t="shared" si="2"/>
        <v>0</v>
      </c>
      <c r="I9" s="75"/>
      <c r="J9" s="81">
        <v>0</v>
      </c>
      <c r="K9" s="80"/>
      <c r="L9" s="217">
        <f t="shared" si="3"/>
        <v>0</v>
      </c>
      <c r="M9" s="218">
        <f t="shared" si="4"/>
        <v>0</v>
      </c>
      <c r="N9" s="77"/>
    </row>
    <row r="10" spans="1:14" ht="13.5" customHeight="1">
      <c r="A10" s="78" t="s">
        <v>176</v>
      </c>
      <c r="B10" s="81">
        <v>0</v>
      </c>
      <c r="C10" s="80">
        <v>0</v>
      </c>
      <c r="D10" s="217">
        <f t="shared" si="0"/>
        <v>0</v>
      </c>
      <c r="E10" s="81">
        <v>0</v>
      </c>
      <c r="F10" s="80">
        <v>0</v>
      </c>
      <c r="G10" s="217">
        <f t="shared" si="1"/>
        <v>0</v>
      </c>
      <c r="H10" s="218">
        <f t="shared" si="2"/>
        <v>0</v>
      </c>
      <c r="I10" s="75"/>
      <c r="J10" s="81">
        <v>0</v>
      </c>
      <c r="K10" s="80"/>
      <c r="L10" s="217">
        <f t="shared" si="3"/>
        <v>0</v>
      </c>
      <c r="M10" s="218">
        <f t="shared" si="4"/>
        <v>0</v>
      </c>
      <c r="N10" s="77"/>
    </row>
    <row r="11" spans="1:14" ht="13.5" customHeight="1">
      <c r="A11" s="78" t="s">
        <v>177</v>
      </c>
      <c r="B11" s="81">
        <v>261</v>
      </c>
      <c r="C11" s="80">
        <v>0</v>
      </c>
      <c r="D11" s="217">
        <f t="shared" si="0"/>
        <v>261</v>
      </c>
      <c r="E11" s="81">
        <v>519</v>
      </c>
      <c r="F11" s="80">
        <v>0</v>
      </c>
      <c r="G11" s="217">
        <f t="shared" si="1"/>
        <v>519</v>
      </c>
      <c r="H11" s="218">
        <f t="shared" si="2"/>
        <v>258</v>
      </c>
      <c r="I11" s="75">
        <f t="shared" si="5"/>
        <v>1.9885057471264367</v>
      </c>
      <c r="J11" s="81">
        <v>1010</v>
      </c>
      <c r="K11" s="80"/>
      <c r="L11" s="217">
        <f t="shared" si="3"/>
        <v>1010</v>
      </c>
      <c r="M11" s="218">
        <f t="shared" si="4"/>
        <v>491</v>
      </c>
      <c r="N11" s="77">
        <f t="shared" si="6"/>
        <v>1.9460500963391136</v>
      </c>
    </row>
    <row r="12" spans="1:14" ht="13.5" customHeight="1">
      <c r="A12" s="82" t="s">
        <v>178</v>
      </c>
      <c r="B12" s="81">
        <v>0</v>
      </c>
      <c r="C12" s="80">
        <v>0</v>
      </c>
      <c r="D12" s="217">
        <f t="shared" si="0"/>
        <v>0</v>
      </c>
      <c r="E12" s="81">
        <v>234</v>
      </c>
      <c r="F12" s="80">
        <v>0</v>
      </c>
      <c r="G12" s="217">
        <f t="shared" si="1"/>
        <v>234</v>
      </c>
      <c r="H12" s="218">
        <f t="shared" si="2"/>
        <v>234</v>
      </c>
      <c r="I12" s="75"/>
      <c r="J12" s="81">
        <v>750</v>
      </c>
      <c r="K12" s="80"/>
      <c r="L12" s="217">
        <f t="shared" si="3"/>
        <v>750</v>
      </c>
      <c r="M12" s="218">
        <f t="shared" si="4"/>
        <v>516</v>
      </c>
      <c r="N12" s="77">
        <f t="shared" si="6"/>
        <v>3.2051282051282053</v>
      </c>
    </row>
    <row r="13" spans="1:14" ht="13.5" customHeight="1">
      <c r="A13" s="82" t="s">
        <v>179</v>
      </c>
      <c r="B13" s="81">
        <v>0</v>
      </c>
      <c r="C13" s="80">
        <v>0</v>
      </c>
      <c r="D13" s="217">
        <f t="shared" si="0"/>
        <v>0</v>
      </c>
      <c r="E13" s="81">
        <v>0</v>
      </c>
      <c r="F13" s="80">
        <v>0</v>
      </c>
      <c r="G13" s="217">
        <f t="shared" si="1"/>
        <v>0</v>
      </c>
      <c r="H13" s="218">
        <f t="shared" si="2"/>
        <v>0</v>
      </c>
      <c r="I13" s="75"/>
      <c r="J13" s="81">
        <v>0</v>
      </c>
      <c r="K13" s="80"/>
      <c r="L13" s="217">
        <f t="shared" si="3"/>
        <v>0</v>
      </c>
      <c r="M13" s="218">
        <f t="shared" si="4"/>
        <v>0</v>
      </c>
      <c r="N13" s="77"/>
    </row>
    <row r="14" spans="1:14" ht="23.25" customHeight="1">
      <c r="A14" s="82" t="s">
        <v>180</v>
      </c>
      <c r="B14" s="81">
        <v>0</v>
      </c>
      <c r="C14" s="80">
        <v>0</v>
      </c>
      <c r="D14" s="217">
        <f t="shared" si="0"/>
        <v>0</v>
      </c>
      <c r="E14" s="81">
        <v>0</v>
      </c>
      <c r="F14" s="80">
        <v>0</v>
      </c>
      <c r="G14" s="217">
        <f t="shared" si="1"/>
        <v>0</v>
      </c>
      <c r="H14" s="218">
        <f t="shared" si="2"/>
        <v>0</v>
      </c>
      <c r="I14" s="75"/>
      <c r="J14" s="81">
        <v>0</v>
      </c>
      <c r="K14" s="80"/>
      <c r="L14" s="217">
        <f t="shared" si="3"/>
        <v>0</v>
      </c>
      <c r="M14" s="218">
        <f t="shared" si="4"/>
        <v>0</v>
      </c>
      <c r="N14" s="77"/>
    </row>
    <row r="15" spans="1:14" ht="13.5" customHeight="1">
      <c r="A15" s="78" t="s">
        <v>181</v>
      </c>
      <c r="B15" s="81">
        <v>21571</v>
      </c>
      <c r="C15" s="80">
        <v>0</v>
      </c>
      <c r="D15" s="217">
        <f t="shared" si="0"/>
        <v>21571</v>
      </c>
      <c r="E15" s="81">
        <v>16114</v>
      </c>
      <c r="F15" s="80">
        <v>0</v>
      </c>
      <c r="G15" s="217">
        <f t="shared" si="1"/>
        <v>16114</v>
      </c>
      <c r="H15" s="218">
        <f t="shared" si="2"/>
        <v>-5457</v>
      </c>
      <c r="I15" s="75">
        <f t="shared" si="5"/>
        <v>0.7470214640025961</v>
      </c>
      <c r="J15" s="102">
        <v>9018</v>
      </c>
      <c r="K15" s="104"/>
      <c r="L15" s="217">
        <f t="shared" si="3"/>
        <v>9018</v>
      </c>
      <c r="M15" s="218">
        <f t="shared" si="4"/>
        <v>-7096</v>
      </c>
      <c r="N15" s="77">
        <f t="shared" si="6"/>
        <v>0.5596375822266352</v>
      </c>
    </row>
    <row r="16" spans="1:14" ht="13.5" customHeight="1">
      <c r="A16" s="297" t="s">
        <v>310</v>
      </c>
      <c r="B16" s="81">
        <v>21374</v>
      </c>
      <c r="C16" s="80">
        <v>0</v>
      </c>
      <c r="D16" s="217">
        <f t="shared" si="0"/>
        <v>21374</v>
      </c>
      <c r="E16" s="81">
        <v>1312</v>
      </c>
      <c r="F16" s="80">
        <v>0</v>
      </c>
      <c r="G16" s="217">
        <f t="shared" si="1"/>
        <v>1312</v>
      </c>
      <c r="H16" s="218">
        <f t="shared" si="2"/>
        <v>-20062</v>
      </c>
      <c r="I16" s="75">
        <f t="shared" si="5"/>
        <v>0.06138298867783288</v>
      </c>
      <c r="J16" s="102">
        <v>874</v>
      </c>
      <c r="K16" s="80"/>
      <c r="L16" s="217">
        <f t="shared" si="3"/>
        <v>874</v>
      </c>
      <c r="M16" s="218">
        <f t="shared" si="4"/>
        <v>-438</v>
      </c>
      <c r="N16" s="77">
        <f t="shared" si="6"/>
        <v>0.6661585365853658</v>
      </c>
    </row>
    <row r="17" spans="1:14" ht="13.5" customHeight="1">
      <c r="A17" s="297" t="s">
        <v>311</v>
      </c>
      <c r="B17" s="81">
        <v>0</v>
      </c>
      <c r="C17" s="80">
        <v>0</v>
      </c>
      <c r="D17" s="217">
        <f t="shared" si="0"/>
        <v>0</v>
      </c>
      <c r="E17" s="81">
        <v>14314</v>
      </c>
      <c r="F17" s="80">
        <v>0</v>
      </c>
      <c r="G17" s="217">
        <f t="shared" si="1"/>
        <v>14314</v>
      </c>
      <c r="H17" s="218">
        <f t="shared" si="2"/>
        <v>14314</v>
      </c>
      <c r="I17" s="75"/>
      <c r="J17" s="102">
        <v>7919</v>
      </c>
      <c r="K17" s="80"/>
      <c r="L17" s="217">
        <f t="shared" si="3"/>
        <v>7919</v>
      </c>
      <c r="M17" s="218">
        <f t="shared" si="4"/>
        <v>-6395</v>
      </c>
      <c r="N17" s="77">
        <f t="shared" si="6"/>
        <v>0.5532345955009083</v>
      </c>
    </row>
    <row r="18" spans="1:14" ht="13.5" customHeight="1" thickBot="1">
      <c r="A18" s="298" t="s">
        <v>416</v>
      </c>
      <c r="B18" s="305">
        <v>197</v>
      </c>
      <c r="C18" s="306">
        <v>0</v>
      </c>
      <c r="D18" s="217">
        <f t="shared" si="0"/>
        <v>197</v>
      </c>
      <c r="E18" s="305">
        <v>488</v>
      </c>
      <c r="F18" s="306">
        <v>0</v>
      </c>
      <c r="G18" s="217">
        <f t="shared" si="1"/>
        <v>488</v>
      </c>
      <c r="H18" s="307"/>
      <c r="I18" s="308"/>
      <c r="J18" s="301">
        <v>225</v>
      </c>
      <c r="K18" s="306"/>
      <c r="L18" s="217">
        <f t="shared" si="3"/>
        <v>225</v>
      </c>
      <c r="M18" s="307"/>
      <c r="N18" s="309"/>
    </row>
    <row r="19" spans="1:14" ht="13.5" customHeight="1" thickBot="1">
      <c r="A19" s="182" t="s">
        <v>182</v>
      </c>
      <c r="B19" s="186">
        <f aca="true" t="shared" si="7" ref="B19:G19">SUM(B7+B8+B9+B10+B11+B13+B15)</f>
        <v>31573</v>
      </c>
      <c r="C19" s="187">
        <f t="shared" si="7"/>
        <v>335</v>
      </c>
      <c r="D19" s="188">
        <f t="shared" si="7"/>
        <v>31908</v>
      </c>
      <c r="E19" s="186">
        <f t="shared" si="7"/>
        <v>41366</v>
      </c>
      <c r="F19" s="187">
        <f t="shared" si="7"/>
        <v>279</v>
      </c>
      <c r="G19" s="188">
        <f t="shared" si="7"/>
        <v>41645</v>
      </c>
      <c r="H19" s="190">
        <f t="shared" si="2"/>
        <v>9737</v>
      </c>
      <c r="I19" s="108">
        <f t="shared" si="5"/>
        <v>1.3051585809201454</v>
      </c>
      <c r="J19" s="198">
        <f>SUM(J7+J8+J9+J10+J11+J13+J15)</f>
        <v>34699</v>
      </c>
      <c r="K19" s="187">
        <f>SUM(K7+K8+K9+K10+K11+K13+K15)</f>
        <v>0</v>
      </c>
      <c r="L19" s="188">
        <f>SUM(L7+L8+L9+L10+L11+L13+L15)</f>
        <v>34699</v>
      </c>
      <c r="M19" s="190">
        <f t="shared" si="4"/>
        <v>-6946</v>
      </c>
      <c r="N19" s="199">
        <f t="shared" si="6"/>
        <v>0.8332092688197863</v>
      </c>
    </row>
    <row r="20" spans="1:14" ht="13.5" customHeight="1">
      <c r="A20" s="96" t="s">
        <v>183</v>
      </c>
      <c r="B20" s="71">
        <v>4958</v>
      </c>
      <c r="C20" s="72">
        <v>169</v>
      </c>
      <c r="D20" s="73">
        <f aca="true" t="shared" si="8" ref="D20:D37">SUM(B20:C20)</f>
        <v>5127</v>
      </c>
      <c r="E20" s="71">
        <v>8266</v>
      </c>
      <c r="F20" s="72">
        <v>166</v>
      </c>
      <c r="G20" s="97">
        <f aca="true" t="shared" si="9" ref="G20:G37">SUM(E20:F20)</f>
        <v>8432</v>
      </c>
      <c r="H20" s="98">
        <f t="shared" si="2"/>
        <v>3305</v>
      </c>
      <c r="I20" s="99">
        <f t="shared" si="5"/>
        <v>1.6446264872244978</v>
      </c>
      <c r="J20" s="76">
        <v>5500</v>
      </c>
      <c r="K20" s="72"/>
      <c r="L20" s="100">
        <f aca="true" t="shared" si="10" ref="L20:L37">SUM(J20:K20)</f>
        <v>5500</v>
      </c>
      <c r="M20" s="98">
        <f t="shared" si="4"/>
        <v>-2932</v>
      </c>
      <c r="N20" s="101">
        <f t="shared" si="6"/>
        <v>0.6522770398481973</v>
      </c>
    </row>
    <row r="21" spans="1:14" ht="21" customHeight="1">
      <c r="A21" s="82" t="s">
        <v>184</v>
      </c>
      <c r="B21" s="71">
        <v>385</v>
      </c>
      <c r="C21" s="72">
        <v>0</v>
      </c>
      <c r="D21" s="73">
        <f t="shared" si="8"/>
        <v>385</v>
      </c>
      <c r="E21" s="71">
        <v>3329</v>
      </c>
      <c r="F21" s="72">
        <v>0</v>
      </c>
      <c r="G21" s="97">
        <f t="shared" si="9"/>
        <v>3329</v>
      </c>
      <c r="H21" s="74">
        <f t="shared" si="2"/>
        <v>2944</v>
      </c>
      <c r="I21" s="75">
        <f t="shared" si="5"/>
        <v>8.646753246753248</v>
      </c>
      <c r="J21" s="76">
        <v>400</v>
      </c>
      <c r="K21" s="72"/>
      <c r="L21" s="100">
        <f t="shared" si="10"/>
        <v>400</v>
      </c>
      <c r="M21" s="74">
        <f t="shared" si="4"/>
        <v>-2929</v>
      </c>
      <c r="N21" s="77">
        <f t="shared" si="6"/>
        <v>0.12015620306398318</v>
      </c>
    </row>
    <row r="22" spans="1:14" ht="13.5" customHeight="1">
      <c r="A22" s="78" t="s">
        <v>185</v>
      </c>
      <c r="B22" s="79">
        <v>2238</v>
      </c>
      <c r="C22" s="80">
        <v>15</v>
      </c>
      <c r="D22" s="73">
        <f t="shared" si="8"/>
        <v>2253</v>
      </c>
      <c r="E22" s="79">
        <v>2166</v>
      </c>
      <c r="F22" s="80">
        <v>14</v>
      </c>
      <c r="G22" s="97">
        <f t="shared" si="9"/>
        <v>2180</v>
      </c>
      <c r="H22" s="74">
        <f t="shared" si="2"/>
        <v>-73</v>
      </c>
      <c r="I22" s="75">
        <f t="shared" si="5"/>
        <v>0.9675987572126055</v>
      </c>
      <c r="J22" s="81">
        <v>2507</v>
      </c>
      <c r="K22" s="80"/>
      <c r="L22" s="100">
        <f t="shared" si="10"/>
        <v>2507</v>
      </c>
      <c r="M22" s="74">
        <f t="shared" si="4"/>
        <v>327</v>
      </c>
      <c r="N22" s="77">
        <f t="shared" si="6"/>
        <v>1.15</v>
      </c>
    </row>
    <row r="23" spans="1:14" ht="13.5" customHeight="1">
      <c r="A23" s="82" t="s">
        <v>186</v>
      </c>
      <c r="B23" s="79">
        <v>0</v>
      </c>
      <c r="C23" s="80">
        <v>0</v>
      </c>
      <c r="D23" s="73">
        <f t="shared" si="8"/>
        <v>0</v>
      </c>
      <c r="E23" s="79">
        <v>0</v>
      </c>
      <c r="F23" s="80">
        <v>0</v>
      </c>
      <c r="G23" s="97">
        <f t="shared" si="9"/>
        <v>0</v>
      </c>
      <c r="H23" s="74">
        <f t="shared" si="2"/>
        <v>0</v>
      </c>
      <c r="I23" s="75"/>
      <c r="J23" s="81">
        <v>0</v>
      </c>
      <c r="K23" s="80"/>
      <c r="L23" s="100">
        <f t="shared" si="10"/>
        <v>0</v>
      </c>
      <c r="M23" s="74">
        <f t="shared" si="4"/>
        <v>0</v>
      </c>
      <c r="N23" s="77"/>
    </row>
    <row r="24" spans="1:14" ht="13.5" customHeight="1">
      <c r="A24" s="78" t="s">
        <v>298</v>
      </c>
      <c r="B24" s="79">
        <v>24</v>
      </c>
      <c r="C24" s="80">
        <v>0</v>
      </c>
      <c r="D24" s="73">
        <f t="shared" si="8"/>
        <v>24</v>
      </c>
      <c r="E24" s="79">
        <v>20</v>
      </c>
      <c r="F24" s="80">
        <v>0</v>
      </c>
      <c r="G24" s="97">
        <f t="shared" si="9"/>
        <v>20</v>
      </c>
      <c r="H24" s="74">
        <f t="shared" si="2"/>
        <v>-4</v>
      </c>
      <c r="I24" s="75">
        <f aca="true" t="shared" si="11" ref="I24:I38">+G24/D24</f>
        <v>0.8333333333333334</v>
      </c>
      <c r="J24" s="81">
        <v>30</v>
      </c>
      <c r="K24" s="80"/>
      <c r="L24" s="100">
        <f t="shared" si="10"/>
        <v>30</v>
      </c>
      <c r="M24" s="74">
        <f t="shared" si="4"/>
        <v>10</v>
      </c>
      <c r="N24" s="77">
        <f aca="true" t="shared" si="12" ref="N24:N38">+L24/G24</f>
        <v>1.5</v>
      </c>
    </row>
    <row r="25" spans="1:14" ht="13.5" customHeight="1">
      <c r="A25" s="78" t="s">
        <v>187</v>
      </c>
      <c r="B25" s="81">
        <v>1463</v>
      </c>
      <c r="C25" s="80">
        <v>3</v>
      </c>
      <c r="D25" s="73">
        <f t="shared" si="8"/>
        <v>1466</v>
      </c>
      <c r="E25" s="81">
        <v>4206</v>
      </c>
      <c r="F25" s="80">
        <v>4</v>
      </c>
      <c r="G25" s="97">
        <f t="shared" si="9"/>
        <v>4210</v>
      </c>
      <c r="H25" s="74">
        <f t="shared" si="2"/>
        <v>2744</v>
      </c>
      <c r="I25" s="75">
        <f t="shared" si="11"/>
        <v>2.8717598908594817</v>
      </c>
      <c r="J25" s="81">
        <v>2106</v>
      </c>
      <c r="K25" s="80"/>
      <c r="L25" s="100">
        <f t="shared" si="10"/>
        <v>2106</v>
      </c>
      <c r="M25" s="74">
        <f t="shared" si="4"/>
        <v>-2104</v>
      </c>
      <c r="N25" s="77">
        <f t="shared" si="12"/>
        <v>0.5002375296912114</v>
      </c>
    </row>
    <row r="26" spans="1:14" ht="13.5" customHeight="1">
      <c r="A26" s="82" t="s">
        <v>188</v>
      </c>
      <c r="B26" s="79">
        <v>363</v>
      </c>
      <c r="C26" s="80">
        <v>3</v>
      </c>
      <c r="D26" s="73">
        <f t="shared" si="8"/>
        <v>366</v>
      </c>
      <c r="E26" s="79">
        <v>2909</v>
      </c>
      <c r="F26" s="80">
        <v>4</v>
      </c>
      <c r="G26" s="97">
        <f t="shared" si="9"/>
        <v>2913</v>
      </c>
      <c r="H26" s="74">
        <f t="shared" si="2"/>
        <v>2547</v>
      </c>
      <c r="I26" s="75">
        <f t="shared" si="11"/>
        <v>7.959016393442623</v>
      </c>
      <c r="J26" s="102">
        <v>800</v>
      </c>
      <c r="K26" s="80"/>
      <c r="L26" s="100">
        <f t="shared" si="10"/>
        <v>800</v>
      </c>
      <c r="M26" s="74">
        <f t="shared" si="4"/>
        <v>-2113</v>
      </c>
      <c r="N26" s="77">
        <f t="shared" si="12"/>
        <v>0.2746309646412633</v>
      </c>
    </row>
    <row r="27" spans="1:14" ht="13.5" customHeight="1">
      <c r="A27" s="78" t="s">
        <v>189</v>
      </c>
      <c r="B27" s="79">
        <v>1094</v>
      </c>
      <c r="C27" s="80">
        <v>0</v>
      </c>
      <c r="D27" s="73">
        <f t="shared" si="8"/>
        <v>1094</v>
      </c>
      <c r="E27" s="79">
        <v>1292</v>
      </c>
      <c r="F27" s="80">
        <v>0</v>
      </c>
      <c r="G27" s="97">
        <f t="shared" si="9"/>
        <v>1292</v>
      </c>
      <c r="H27" s="74">
        <f t="shared" si="2"/>
        <v>198</v>
      </c>
      <c r="I27" s="75">
        <f t="shared" si="11"/>
        <v>1.1809872029250457</v>
      </c>
      <c r="J27" s="102">
        <v>1300</v>
      </c>
      <c r="K27" s="80"/>
      <c r="L27" s="100">
        <f t="shared" si="10"/>
        <v>1300</v>
      </c>
      <c r="M27" s="74">
        <f t="shared" si="4"/>
        <v>8</v>
      </c>
      <c r="N27" s="77">
        <f t="shared" si="12"/>
        <v>1.0061919504643964</v>
      </c>
    </row>
    <row r="28" spans="1:14" ht="13.5" customHeight="1">
      <c r="A28" s="103" t="s">
        <v>190</v>
      </c>
      <c r="B28" s="81">
        <v>21203</v>
      </c>
      <c r="C28" s="80">
        <v>64</v>
      </c>
      <c r="D28" s="73">
        <f t="shared" si="8"/>
        <v>21267</v>
      </c>
      <c r="E28" s="81">
        <v>24511</v>
      </c>
      <c r="F28" s="80">
        <v>62</v>
      </c>
      <c r="G28" s="97">
        <f t="shared" si="9"/>
        <v>24573</v>
      </c>
      <c r="H28" s="74">
        <f t="shared" si="2"/>
        <v>3306</v>
      </c>
      <c r="I28" s="75">
        <f t="shared" si="11"/>
        <v>1.1554521089011145</v>
      </c>
      <c r="J28" s="81">
        <v>25965</v>
      </c>
      <c r="K28" s="80"/>
      <c r="L28" s="100">
        <f t="shared" si="10"/>
        <v>25965</v>
      </c>
      <c r="M28" s="74">
        <f t="shared" si="4"/>
        <v>1392</v>
      </c>
      <c r="N28" s="77">
        <f t="shared" si="12"/>
        <v>1.056647539982908</v>
      </c>
    </row>
    <row r="29" spans="1:14" ht="13.5" customHeight="1">
      <c r="A29" s="82" t="s">
        <v>191</v>
      </c>
      <c r="B29" s="79">
        <v>15416</v>
      </c>
      <c r="C29" s="80">
        <v>47</v>
      </c>
      <c r="D29" s="73">
        <f t="shared" si="8"/>
        <v>15463</v>
      </c>
      <c r="E29" s="79">
        <v>17850</v>
      </c>
      <c r="F29" s="80">
        <v>46</v>
      </c>
      <c r="G29" s="97">
        <f t="shared" si="9"/>
        <v>17896</v>
      </c>
      <c r="H29" s="74">
        <f t="shared" si="2"/>
        <v>2433</v>
      </c>
      <c r="I29" s="75">
        <f t="shared" si="11"/>
        <v>1.157343335704585</v>
      </c>
      <c r="J29" s="102">
        <v>18851</v>
      </c>
      <c r="K29" s="104"/>
      <c r="L29" s="100">
        <f t="shared" si="10"/>
        <v>18851</v>
      </c>
      <c r="M29" s="74">
        <f t="shared" si="4"/>
        <v>955</v>
      </c>
      <c r="N29" s="77">
        <f t="shared" si="12"/>
        <v>1.053363880196692</v>
      </c>
    </row>
    <row r="30" spans="1:14" ht="13.5" customHeight="1">
      <c r="A30" s="103" t="s">
        <v>192</v>
      </c>
      <c r="B30" s="79">
        <v>15416</v>
      </c>
      <c r="C30" s="80">
        <v>47</v>
      </c>
      <c r="D30" s="73">
        <f t="shared" si="8"/>
        <v>15463</v>
      </c>
      <c r="E30" s="79">
        <v>17833</v>
      </c>
      <c r="F30" s="80">
        <v>46</v>
      </c>
      <c r="G30" s="97">
        <f t="shared" si="9"/>
        <v>17879</v>
      </c>
      <c r="H30" s="74">
        <f t="shared" si="2"/>
        <v>2416</v>
      </c>
      <c r="I30" s="75">
        <f t="shared" si="11"/>
        <v>1.1562439371402704</v>
      </c>
      <c r="J30" s="81">
        <v>18808</v>
      </c>
      <c r="K30" s="80"/>
      <c r="L30" s="100">
        <f t="shared" si="10"/>
        <v>18808</v>
      </c>
      <c r="M30" s="74">
        <f t="shared" si="4"/>
        <v>929</v>
      </c>
      <c r="N30" s="77">
        <f t="shared" si="12"/>
        <v>1.0519604004698249</v>
      </c>
    </row>
    <row r="31" spans="1:14" ht="13.5" customHeight="1">
      <c r="A31" s="82" t="s">
        <v>193</v>
      </c>
      <c r="B31" s="79">
        <v>0</v>
      </c>
      <c r="C31" s="80">
        <v>0</v>
      </c>
      <c r="D31" s="73">
        <f t="shared" si="8"/>
        <v>0</v>
      </c>
      <c r="E31" s="79">
        <v>17</v>
      </c>
      <c r="F31" s="80">
        <v>0</v>
      </c>
      <c r="G31" s="97">
        <f t="shared" si="9"/>
        <v>17</v>
      </c>
      <c r="H31" s="74">
        <f t="shared" si="2"/>
        <v>17</v>
      </c>
      <c r="I31" s="75"/>
      <c r="J31" s="81">
        <v>43</v>
      </c>
      <c r="K31" s="80"/>
      <c r="L31" s="100">
        <f t="shared" si="10"/>
        <v>43</v>
      </c>
      <c r="M31" s="74">
        <f t="shared" si="4"/>
        <v>26</v>
      </c>
      <c r="N31" s="77">
        <f t="shared" si="12"/>
        <v>2.5294117647058822</v>
      </c>
    </row>
    <row r="32" spans="1:14" ht="13.5" customHeight="1">
      <c r="A32" s="82" t="s">
        <v>194</v>
      </c>
      <c r="B32" s="79">
        <v>5787</v>
      </c>
      <c r="C32" s="80">
        <v>17</v>
      </c>
      <c r="D32" s="73">
        <f t="shared" si="8"/>
        <v>5804</v>
      </c>
      <c r="E32" s="79">
        <v>6661</v>
      </c>
      <c r="F32" s="80">
        <v>16</v>
      </c>
      <c r="G32" s="97">
        <f t="shared" si="9"/>
        <v>6677</v>
      </c>
      <c r="H32" s="74">
        <f t="shared" si="2"/>
        <v>873</v>
      </c>
      <c r="I32" s="75">
        <f t="shared" si="11"/>
        <v>1.1504135079255686</v>
      </c>
      <c r="J32" s="81">
        <v>7039</v>
      </c>
      <c r="K32" s="80"/>
      <c r="L32" s="100">
        <f t="shared" si="10"/>
        <v>7039</v>
      </c>
      <c r="M32" s="74">
        <f t="shared" si="4"/>
        <v>362</v>
      </c>
      <c r="N32" s="77">
        <f t="shared" si="12"/>
        <v>1.0542159652538565</v>
      </c>
    </row>
    <row r="33" spans="1:14" ht="13.5" customHeight="1">
      <c r="A33" s="103" t="s">
        <v>195</v>
      </c>
      <c r="B33" s="79">
        <v>0</v>
      </c>
      <c r="C33" s="80">
        <v>0</v>
      </c>
      <c r="D33" s="73">
        <f t="shared" si="8"/>
        <v>0</v>
      </c>
      <c r="E33" s="79">
        <v>0</v>
      </c>
      <c r="F33" s="80">
        <v>0</v>
      </c>
      <c r="G33" s="97">
        <f t="shared" si="9"/>
        <v>0</v>
      </c>
      <c r="H33" s="74">
        <f t="shared" si="2"/>
        <v>0</v>
      </c>
      <c r="I33" s="75"/>
      <c r="J33" s="81">
        <v>0</v>
      </c>
      <c r="K33" s="80"/>
      <c r="L33" s="100">
        <f t="shared" si="10"/>
        <v>0</v>
      </c>
      <c r="M33" s="74">
        <f t="shared" si="4"/>
        <v>0</v>
      </c>
      <c r="N33" s="77"/>
    </row>
    <row r="34" spans="1:14" ht="13.5" customHeight="1">
      <c r="A34" s="103" t="s">
        <v>196</v>
      </c>
      <c r="B34" s="79">
        <v>147</v>
      </c>
      <c r="C34" s="80">
        <v>0</v>
      </c>
      <c r="D34" s="73">
        <f t="shared" si="8"/>
        <v>147</v>
      </c>
      <c r="E34" s="79">
        <v>702</v>
      </c>
      <c r="F34" s="80">
        <v>0</v>
      </c>
      <c r="G34" s="97">
        <f t="shared" si="9"/>
        <v>702</v>
      </c>
      <c r="H34" s="74">
        <f t="shared" si="2"/>
        <v>555</v>
      </c>
      <c r="I34" s="75">
        <f t="shared" si="11"/>
        <v>4.775510204081633</v>
      </c>
      <c r="J34" s="81">
        <v>350</v>
      </c>
      <c r="K34" s="80"/>
      <c r="L34" s="100">
        <f t="shared" si="10"/>
        <v>350</v>
      </c>
      <c r="M34" s="74">
        <f t="shared" si="4"/>
        <v>-352</v>
      </c>
      <c r="N34" s="77">
        <f t="shared" si="12"/>
        <v>0.4985754985754986</v>
      </c>
    </row>
    <row r="35" spans="1:14" ht="13.5" customHeight="1">
      <c r="A35" s="82" t="s">
        <v>197</v>
      </c>
      <c r="B35" s="79">
        <v>1450</v>
      </c>
      <c r="C35" s="80">
        <v>2</v>
      </c>
      <c r="D35" s="73">
        <f t="shared" si="8"/>
        <v>1452</v>
      </c>
      <c r="E35" s="79">
        <v>1469</v>
      </c>
      <c r="F35" s="80">
        <v>2</v>
      </c>
      <c r="G35" s="97">
        <f t="shared" si="9"/>
        <v>1471</v>
      </c>
      <c r="H35" s="74">
        <f t="shared" si="2"/>
        <v>19</v>
      </c>
      <c r="I35" s="75">
        <f t="shared" si="11"/>
        <v>1.0130853994490359</v>
      </c>
      <c r="J35" s="102">
        <v>1489</v>
      </c>
      <c r="K35" s="80"/>
      <c r="L35" s="100">
        <f t="shared" si="10"/>
        <v>1489</v>
      </c>
      <c r="M35" s="74">
        <f t="shared" si="4"/>
        <v>18</v>
      </c>
      <c r="N35" s="77">
        <f t="shared" si="12"/>
        <v>1.0122365737593473</v>
      </c>
    </row>
    <row r="36" spans="1:14" ht="22.5" customHeight="1">
      <c r="A36" s="82" t="s">
        <v>198</v>
      </c>
      <c r="B36" s="79">
        <v>1450</v>
      </c>
      <c r="C36" s="80">
        <v>2</v>
      </c>
      <c r="D36" s="73">
        <f t="shared" si="8"/>
        <v>1452</v>
      </c>
      <c r="E36" s="79">
        <v>1469</v>
      </c>
      <c r="F36" s="80">
        <v>2</v>
      </c>
      <c r="G36" s="97">
        <f t="shared" si="9"/>
        <v>1471</v>
      </c>
      <c r="H36" s="74">
        <f t="shared" si="2"/>
        <v>19</v>
      </c>
      <c r="I36" s="75">
        <f t="shared" si="11"/>
        <v>1.0130853994490359</v>
      </c>
      <c r="J36" s="102">
        <v>1489</v>
      </c>
      <c r="K36" s="80"/>
      <c r="L36" s="100">
        <f t="shared" si="10"/>
        <v>1489</v>
      </c>
      <c r="M36" s="74">
        <f t="shared" si="4"/>
        <v>18</v>
      </c>
      <c r="N36" s="77">
        <f t="shared" si="12"/>
        <v>1.0122365737593473</v>
      </c>
    </row>
    <row r="37" spans="1:14" ht="13.5" customHeight="1" thickBot="1">
      <c r="A37" s="105" t="s">
        <v>199</v>
      </c>
      <c r="B37" s="83">
        <v>0</v>
      </c>
      <c r="C37" s="84">
        <v>0</v>
      </c>
      <c r="D37" s="73">
        <f t="shared" si="8"/>
        <v>0</v>
      </c>
      <c r="E37" s="83">
        <v>0</v>
      </c>
      <c r="F37" s="84">
        <v>0</v>
      </c>
      <c r="G37" s="97">
        <f t="shared" si="9"/>
        <v>0</v>
      </c>
      <c r="H37" s="85">
        <f t="shared" si="2"/>
        <v>0</v>
      </c>
      <c r="I37" s="86"/>
      <c r="J37" s="106">
        <v>0</v>
      </c>
      <c r="K37" s="84"/>
      <c r="L37" s="100">
        <f t="shared" si="10"/>
        <v>0</v>
      </c>
      <c r="M37" s="85">
        <f t="shared" si="4"/>
        <v>0</v>
      </c>
      <c r="N37" s="87"/>
    </row>
    <row r="38" spans="1:14" ht="13.5" customHeight="1" thickBot="1">
      <c r="A38" s="88" t="s">
        <v>200</v>
      </c>
      <c r="B38" s="89">
        <f aca="true" t="shared" si="13" ref="B38:G38">SUM(B20+B22+B23+B24+B25+B28+B33+B34+B35+B37)</f>
        <v>31483</v>
      </c>
      <c r="C38" s="90">
        <f t="shared" si="13"/>
        <v>253</v>
      </c>
      <c r="D38" s="91">
        <f t="shared" si="13"/>
        <v>31736</v>
      </c>
      <c r="E38" s="89">
        <f t="shared" si="13"/>
        <v>41340</v>
      </c>
      <c r="F38" s="90">
        <f t="shared" si="13"/>
        <v>248</v>
      </c>
      <c r="G38" s="91">
        <f t="shared" si="13"/>
        <v>41588</v>
      </c>
      <c r="H38" s="92">
        <f t="shared" si="2"/>
        <v>9852</v>
      </c>
      <c r="I38" s="93">
        <f t="shared" si="11"/>
        <v>1.310436097806907</v>
      </c>
      <c r="J38" s="94">
        <f>SUM(J20+J22+J23+J24+J25+J28+J33+J34+J35+J37)</f>
        <v>37947</v>
      </c>
      <c r="K38" s="90">
        <f>SUM(K20+K22+K23+K24+K25+K28+K33+K34+K35+K37)</f>
        <v>0</v>
      </c>
      <c r="L38" s="91">
        <f>SUM(L20+L22+L23+L24+L25+L28+L33+L34+L35+L37)</f>
        <v>37947</v>
      </c>
      <c r="M38" s="92">
        <f t="shared" si="4"/>
        <v>-3641</v>
      </c>
      <c r="N38" s="95">
        <f t="shared" si="12"/>
        <v>0.9124507069346927</v>
      </c>
    </row>
    <row r="39" spans="1:14" ht="13.5" customHeight="1" thickBot="1">
      <c r="A39" s="88" t="s">
        <v>201</v>
      </c>
      <c r="B39" s="787">
        <f>+D19-D38</f>
        <v>172</v>
      </c>
      <c r="C39" s="787"/>
      <c r="D39" s="787"/>
      <c r="E39" s="787">
        <f>+G19-G38</f>
        <v>57</v>
      </c>
      <c r="F39" s="787"/>
      <c r="G39" s="787">
        <v>-50784</v>
      </c>
      <c r="H39" s="107"/>
      <c r="I39" s="108"/>
      <c r="J39" s="789">
        <f>+L19-L38</f>
        <v>-3248</v>
      </c>
      <c r="K39" s="789"/>
      <c r="L39" s="789">
        <v>0</v>
      </c>
      <c r="M39" s="92"/>
      <c r="N39" s="95"/>
    </row>
    <row r="40" spans="1:16" ht="20.25" customHeight="1" thickBot="1">
      <c r="A40" s="109" t="s">
        <v>202</v>
      </c>
      <c r="B40" s="787"/>
      <c r="C40" s="787"/>
      <c r="D40" s="787"/>
      <c r="E40" s="787"/>
      <c r="F40" s="787"/>
      <c r="G40" s="787"/>
      <c r="H40"/>
      <c r="I40"/>
      <c r="J40"/>
      <c r="K40"/>
      <c r="L40"/>
      <c r="M40"/>
      <c r="N40"/>
      <c r="O40"/>
      <c r="P40"/>
    </row>
    <row r="41" spans="2:8" ht="14.25" customHeight="1" thickBot="1">
      <c r="B41" s="209"/>
      <c r="C41" s="209"/>
      <c r="D41" s="219"/>
      <c r="E41" s="209"/>
      <c r="F41" s="209"/>
      <c r="G41" s="209"/>
      <c r="H41" s="209"/>
    </row>
    <row r="42" spans="1:16" ht="13.5" thickBot="1">
      <c r="A42" s="805" t="s">
        <v>312</v>
      </c>
      <c r="B42" s="805"/>
      <c r="C42" s="799" t="s">
        <v>203</v>
      </c>
      <c r="D42" s="805" t="s">
        <v>420</v>
      </c>
      <c r="E42" s="805"/>
      <c r="F42" s="805"/>
      <c r="G42" s="799" t="s">
        <v>203</v>
      </c>
      <c r="H42" s="785" t="s">
        <v>421</v>
      </c>
      <c r="I42" s="785"/>
      <c r="J42" s="785"/>
      <c r="K42" s="785"/>
      <c r="L42" s="799" t="s">
        <v>203</v>
      </c>
      <c r="O42"/>
      <c r="P42"/>
    </row>
    <row r="43" spans="1:16" ht="13.5" thickBot="1">
      <c r="A43" s="805"/>
      <c r="B43" s="805"/>
      <c r="C43" s="799"/>
      <c r="D43" s="805"/>
      <c r="E43" s="805"/>
      <c r="F43" s="805"/>
      <c r="G43" s="799"/>
      <c r="H43" s="785"/>
      <c r="I43" s="785"/>
      <c r="J43" s="785"/>
      <c r="K43" s="785"/>
      <c r="L43" s="799"/>
      <c r="O43"/>
      <c r="P43"/>
    </row>
    <row r="44" spans="1:16" ht="12.75">
      <c r="A44" s="794" t="s">
        <v>422</v>
      </c>
      <c r="B44" s="794"/>
      <c r="C44" s="110">
        <v>185</v>
      </c>
      <c r="D44" s="795" t="s">
        <v>423</v>
      </c>
      <c r="E44" s="795"/>
      <c r="F44" s="795"/>
      <c r="G44" s="111">
        <v>145</v>
      </c>
      <c r="H44" s="802" t="s">
        <v>377</v>
      </c>
      <c r="I44" s="802"/>
      <c r="J44" s="802"/>
      <c r="K44" s="802"/>
      <c r="L44" s="112">
        <v>400</v>
      </c>
      <c r="O44"/>
      <c r="P44"/>
    </row>
    <row r="45" spans="1:16" ht="12.75">
      <c r="A45" s="797" t="s">
        <v>424</v>
      </c>
      <c r="B45" s="797"/>
      <c r="C45" s="113">
        <v>73</v>
      </c>
      <c r="D45" s="795" t="s">
        <v>425</v>
      </c>
      <c r="E45" s="795"/>
      <c r="F45" s="795"/>
      <c r="G45" s="114">
        <v>131</v>
      </c>
      <c r="H45" s="802" t="s">
        <v>426</v>
      </c>
      <c r="I45" s="802"/>
      <c r="J45" s="802"/>
      <c r="K45" s="802"/>
      <c r="L45" s="112">
        <v>160</v>
      </c>
      <c r="O45"/>
      <c r="P45"/>
    </row>
    <row r="46" spans="1:16" ht="12.75">
      <c r="A46" s="797" t="s">
        <v>204</v>
      </c>
      <c r="B46" s="797"/>
      <c r="C46" s="113">
        <v>536</v>
      </c>
      <c r="D46" s="795" t="s">
        <v>427</v>
      </c>
      <c r="E46" s="795"/>
      <c r="F46" s="795"/>
      <c r="G46" s="114">
        <v>405</v>
      </c>
      <c r="H46" s="802" t="s">
        <v>138</v>
      </c>
      <c r="I46" s="802"/>
      <c r="J46" s="802"/>
      <c r="K46" s="802"/>
      <c r="L46" s="112">
        <v>500</v>
      </c>
      <c r="O46"/>
      <c r="P46"/>
    </row>
    <row r="47" spans="1:16" ht="12.75">
      <c r="A47" s="797"/>
      <c r="B47" s="797"/>
      <c r="C47" s="115"/>
      <c r="D47" s="797" t="s">
        <v>204</v>
      </c>
      <c r="E47" s="797"/>
      <c r="F47" s="797"/>
      <c r="G47" s="116">
        <v>581</v>
      </c>
      <c r="H47" s="776" t="s">
        <v>428</v>
      </c>
      <c r="I47" s="776"/>
      <c r="J47" s="776"/>
      <c r="K47" s="776"/>
      <c r="L47" s="112">
        <v>592</v>
      </c>
      <c r="O47"/>
      <c r="P47"/>
    </row>
    <row r="48" spans="1:16" ht="12.75">
      <c r="A48" s="797"/>
      <c r="B48" s="797"/>
      <c r="C48" s="115"/>
      <c r="D48" s="797"/>
      <c r="E48" s="797"/>
      <c r="F48" s="797"/>
      <c r="G48" s="116"/>
      <c r="H48" s="776"/>
      <c r="I48" s="776"/>
      <c r="J48" s="776"/>
      <c r="K48" s="776"/>
      <c r="L48" s="112"/>
      <c r="O48"/>
      <c r="P48"/>
    </row>
    <row r="49" spans="1:16" ht="12.75">
      <c r="A49" s="797"/>
      <c r="B49" s="797"/>
      <c r="C49" s="115"/>
      <c r="D49" s="797"/>
      <c r="E49" s="797"/>
      <c r="F49" s="797"/>
      <c r="G49" s="116"/>
      <c r="H49" s="776"/>
      <c r="I49" s="776"/>
      <c r="J49" s="776"/>
      <c r="K49" s="776"/>
      <c r="L49" s="112"/>
      <c r="O49"/>
      <c r="P49"/>
    </row>
    <row r="50" spans="1:16" ht="13.5" thickBot="1">
      <c r="A50" s="800"/>
      <c r="B50" s="800"/>
      <c r="C50" s="115"/>
      <c r="D50" s="801"/>
      <c r="E50" s="801"/>
      <c r="F50" s="801"/>
      <c r="G50" s="116"/>
      <c r="H50" s="802"/>
      <c r="I50" s="802"/>
      <c r="J50" s="802"/>
      <c r="K50" s="802"/>
      <c r="L50" s="112"/>
      <c r="O50"/>
      <c r="P50"/>
    </row>
    <row r="51" spans="1:16" ht="13.5" thickBot="1">
      <c r="A51" s="811"/>
      <c r="B51" s="811"/>
      <c r="C51" s="117">
        <f>SUM(C44:C50)</f>
        <v>794</v>
      </c>
      <c r="D51" s="812" t="s">
        <v>168</v>
      </c>
      <c r="E51" s="812"/>
      <c r="F51" s="812"/>
      <c r="G51" s="117">
        <f>SUM(G44:G50)</f>
        <v>1262</v>
      </c>
      <c r="H51" s="778" t="s">
        <v>168</v>
      </c>
      <c r="I51" s="778"/>
      <c r="J51" s="778"/>
      <c r="K51" s="778"/>
      <c r="L51" s="117">
        <f>SUM(L44:L50)</f>
        <v>1652</v>
      </c>
      <c r="M51" s="17"/>
      <c r="N51" s="17"/>
      <c r="O51"/>
      <c r="P51"/>
    </row>
    <row r="52" spans="1:16" s="1" customFormat="1" ht="13.5" customHeight="1" thickBot="1">
      <c r="A52" s="18"/>
      <c r="B52" s="5"/>
      <c r="C52" s="5"/>
      <c r="D52" s="5"/>
      <c r="E52" s="5"/>
      <c r="F52" s="5"/>
      <c r="G52" s="5"/>
      <c r="H52" s="6"/>
      <c r="I52" s="220"/>
      <c r="J52" s="220"/>
      <c r="K52" s="220"/>
      <c r="L52" s="220"/>
      <c r="M52" s="220"/>
      <c r="N52" s="220"/>
      <c r="O52" s="220"/>
      <c r="P52" s="220"/>
    </row>
    <row r="53" spans="1:16" ht="13.5" thickBot="1">
      <c r="A53" s="805" t="s">
        <v>429</v>
      </c>
      <c r="B53" s="805"/>
      <c r="C53" s="799" t="s">
        <v>203</v>
      </c>
      <c r="D53" s="806" t="s">
        <v>430</v>
      </c>
      <c r="E53" s="806"/>
      <c r="F53" s="806"/>
      <c r="G53" s="798" t="s">
        <v>203</v>
      </c>
      <c r="H53" s="785" t="s">
        <v>431</v>
      </c>
      <c r="I53" s="785"/>
      <c r="J53" s="785"/>
      <c r="K53" s="785"/>
      <c r="L53" s="799" t="s">
        <v>203</v>
      </c>
      <c r="O53"/>
      <c r="P53"/>
    </row>
    <row r="54" spans="1:16" ht="13.5" thickBot="1">
      <c r="A54" s="805"/>
      <c r="B54" s="805"/>
      <c r="C54" s="799"/>
      <c r="D54" s="806"/>
      <c r="E54" s="806"/>
      <c r="F54" s="806"/>
      <c r="G54" s="798"/>
      <c r="H54" s="785"/>
      <c r="I54" s="785"/>
      <c r="J54" s="785"/>
      <c r="K54" s="785"/>
      <c r="L54" s="799"/>
      <c r="O54"/>
      <c r="P54"/>
    </row>
    <row r="55" spans="1:16" ht="12.75">
      <c r="A55" s="803" t="s">
        <v>432</v>
      </c>
      <c r="B55" s="803"/>
      <c r="C55" s="110">
        <v>366</v>
      </c>
      <c r="D55" s="804" t="s">
        <v>433</v>
      </c>
      <c r="E55" s="804"/>
      <c r="F55" s="804"/>
      <c r="G55" s="118">
        <v>2190</v>
      </c>
      <c r="H55" s="802" t="s">
        <v>667</v>
      </c>
      <c r="I55" s="802"/>
      <c r="J55" s="802"/>
      <c r="K55" s="802"/>
      <c r="L55" s="112">
        <v>20</v>
      </c>
      <c r="O55"/>
      <c r="P55"/>
    </row>
    <row r="56" spans="1:16" ht="13.5" customHeight="1">
      <c r="A56" s="781"/>
      <c r="B56" s="781"/>
      <c r="C56" s="113"/>
      <c r="D56" s="782" t="s">
        <v>434</v>
      </c>
      <c r="E56" s="782"/>
      <c r="F56" s="782"/>
      <c r="G56" s="119">
        <v>722</v>
      </c>
      <c r="H56" s="776" t="s">
        <v>668</v>
      </c>
      <c r="I56" s="776"/>
      <c r="J56" s="776"/>
      <c r="K56" s="776"/>
      <c r="L56" s="120">
        <v>50</v>
      </c>
      <c r="O56"/>
      <c r="P56"/>
    </row>
    <row r="57" spans="1:16" ht="13.5" customHeight="1">
      <c r="A57" s="781"/>
      <c r="B57" s="781"/>
      <c r="C57" s="113"/>
      <c r="D57" s="782"/>
      <c r="E57" s="782"/>
      <c r="F57" s="782"/>
      <c r="G57" s="119"/>
      <c r="H57" s="776" t="s">
        <v>669</v>
      </c>
      <c r="I57" s="776"/>
      <c r="J57" s="776"/>
      <c r="K57" s="776"/>
      <c r="L57" s="120">
        <v>50</v>
      </c>
      <c r="O57"/>
      <c r="P57"/>
    </row>
    <row r="58" spans="1:16" ht="13.5" customHeight="1">
      <c r="A58" s="781"/>
      <c r="B58" s="781"/>
      <c r="C58" s="113"/>
      <c r="D58" s="782"/>
      <c r="E58" s="782"/>
      <c r="F58" s="782"/>
      <c r="G58" s="119"/>
      <c r="H58" s="776" t="s">
        <v>670</v>
      </c>
      <c r="I58" s="776"/>
      <c r="J58" s="776"/>
      <c r="K58" s="776"/>
      <c r="L58" s="120">
        <v>180</v>
      </c>
      <c r="O58"/>
      <c r="P58"/>
    </row>
    <row r="59" spans="1:16" ht="13.5" customHeight="1">
      <c r="A59" s="781"/>
      <c r="B59" s="781"/>
      <c r="C59" s="115"/>
      <c r="D59" s="782"/>
      <c r="E59" s="782"/>
      <c r="F59" s="782"/>
      <c r="G59" s="121"/>
      <c r="H59" s="776" t="s">
        <v>146</v>
      </c>
      <c r="I59" s="776"/>
      <c r="J59" s="776"/>
      <c r="K59" s="776"/>
      <c r="L59" s="122">
        <v>500</v>
      </c>
      <c r="O59"/>
      <c r="P59"/>
    </row>
    <row r="60" spans="1:16" ht="13.5" customHeight="1">
      <c r="A60" s="781"/>
      <c r="B60" s="781"/>
      <c r="C60" s="115"/>
      <c r="D60" s="782"/>
      <c r="E60" s="782"/>
      <c r="F60" s="782"/>
      <c r="G60" s="121"/>
      <c r="H60" s="776"/>
      <c r="I60" s="776"/>
      <c r="J60" s="776"/>
      <c r="K60" s="776"/>
      <c r="L60" s="122"/>
      <c r="O60"/>
      <c r="P60"/>
    </row>
    <row r="61" spans="1:16" ht="13.5" customHeight="1">
      <c r="A61" s="781"/>
      <c r="B61" s="781"/>
      <c r="C61" s="113"/>
      <c r="D61" s="782"/>
      <c r="E61" s="782"/>
      <c r="F61" s="782"/>
      <c r="G61" s="119"/>
      <c r="H61" s="776"/>
      <c r="I61" s="776"/>
      <c r="J61" s="776"/>
      <c r="K61" s="776"/>
      <c r="L61" s="120"/>
      <c r="O61"/>
      <c r="P61"/>
    </row>
    <row r="62" spans="1:16" ht="13.5" thickBot="1">
      <c r="A62" s="780"/>
      <c r="B62" s="780"/>
      <c r="C62" s="310"/>
      <c r="D62" s="783"/>
      <c r="E62" s="783"/>
      <c r="F62" s="783"/>
      <c r="G62" s="123"/>
      <c r="H62" s="777"/>
      <c r="I62" s="777"/>
      <c r="J62" s="777"/>
      <c r="K62" s="777"/>
      <c r="L62" s="124"/>
      <c r="O62"/>
      <c r="P62"/>
    </row>
    <row r="63" spans="1:16" ht="13.5" thickBot="1">
      <c r="A63" s="779" t="s">
        <v>168</v>
      </c>
      <c r="B63" s="779"/>
      <c r="C63" s="117">
        <f>SUM(C55:C62)</f>
        <v>366</v>
      </c>
      <c r="D63" s="784" t="s">
        <v>168</v>
      </c>
      <c r="E63" s="784"/>
      <c r="F63" s="784"/>
      <c r="G63" s="125">
        <f>SUM(G55:G62)</f>
        <v>2912</v>
      </c>
      <c r="H63" s="778" t="s">
        <v>168</v>
      </c>
      <c r="I63" s="778"/>
      <c r="J63" s="778"/>
      <c r="K63" s="778"/>
      <c r="L63" s="117">
        <f>SUM(L55:L62)</f>
        <v>800</v>
      </c>
      <c r="M63" s="17"/>
      <c r="N63" s="17"/>
      <c r="O63"/>
      <c r="P63"/>
    </row>
    <row r="64" spans="1:14" s="1" customFormat="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1" customFormat="1" ht="13.5" thickBo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s="1" customFormat="1" ht="26.25" customHeight="1" thickBot="1">
      <c r="A66" s="833" t="s">
        <v>106</v>
      </c>
      <c r="B66" s="834"/>
      <c r="C66" s="834"/>
      <c r="D66" s="834"/>
      <c r="E66" s="835"/>
      <c r="F66" s="836" t="s">
        <v>107</v>
      </c>
      <c r="G66" s="837"/>
      <c r="H66" s="837"/>
      <c r="I66" s="837"/>
      <c r="J66" s="837"/>
      <c r="K66" s="837"/>
      <c r="L66" s="838"/>
      <c r="M66" s="19"/>
      <c r="N66" s="19"/>
    </row>
    <row r="67" spans="1:14" s="1" customFormat="1" ht="14.25" customHeight="1" thickBot="1">
      <c r="A67" s="397" t="s">
        <v>231</v>
      </c>
      <c r="B67" s="398" t="s">
        <v>96</v>
      </c>
      <c r="C67" s="839" t="s">
        <v>232</v>
      </c>
      <c r="D67" s="839"/>
      <c r="E67" s="399" t="s">
        <v>97</v>
      </c>
      <c r="F67" s="840" t="s">
        <v>231</v>
      </c>
      <c r="G67" s="841"/>
      <c r="H67" s="398" t="s">
        <v>96</v>
      </c>
      <c r="I67" s="839" t="s">
        <v>232</v>
      </c>
      <c r="J67" s="839"/>
      <c r="K67" s="839"/>
      <c r="L67" s="400" t="s">
        <v>97</v>
      </c>
      <c r="M67" s="19"/>
      <c r="N67" s="19"/>
    </row>
    <row r="68" spans="1:14" s="1" customFormat="1" ht="12.75">
      <c r="A68" s="401" t="s">
        <v>98</v>
      </c>
      <c r="B68" s="402">
        <v>188</v>
      </c>
      <c r="C68" s="842" t="s">
        <v>99</v>
      </c>
      <c r="D68" s="842"/>
      <c r="E68" s="403"/>
      <c r="F68" s="843" t="s">
        <v>98</v>
      </c>
      <c r="G68" s="844"/>
      <c r="H68" s="402">
        <v>494</v>
      </c>
      <c r="I68" s="842" t="s">
        <v>99</v>
      </c>
      <c r="J68" s="844"/>
      <c r="K68" s="844"/>
      <c r="L68" s="403"/>
      <c r="M68" s="19"/>
      <c r="N68" s="19"/>
    </row>
    <row r="69" spans="1:14" s="1" customFormat="1" ht="12.75">
      <c r="A69" s="404" t="s">
        <v>100</v>
      </c>
      <c r="B69" s="405">
        <v>114</v>
      </c>
      <c r="C69" s="845" t="s">
        <v>101</v>
      </c>
      <c r="D69" s="845"/>
      <c r="E69" s="406"/>
      <c r="F69" s="846" t="s">
        <v>102</v>
      </c>
      <c r="G69" s="847"/>
      <c r="H69" s="405">
        <v>36</v>
      </c>
      <c r="I69" s="845" t="s">
        <v>101</v>
      </c>
      <c r="J69" s="847"/>
      <c r="K69" s="847"/>
      <c r="L69" s="406">
        <v>200</v>
      </c>
      <c r="M69" s="19"/>
      <c r="N69" s="19"/>
    </row>
    <row r="70" spans="1:14" s="1" customFormat="1" ht="12.75">
      <c r="A70" s="404" t="s">
        <v>103</v>
      </c>
      <c r="B70" s="405">
        <v>439</v>
      </c>
      <c r="C70" s="845" t="s">
        <v>657</v>
      </c>
      <c r="D70" s="845"/>
      <c r="E70" s="406">
        <v>247</v>
      </c>
      <c r="F70" s="845" t="s">
        <v>103</v>
      </c>
      <c r="G70" s="845"/>
      <c r="H70" s="405">
        <v>200</v>
      </c>
      <c r="I70" s="845" t="s">
        <v>657</v>
      </c>
      <c r="J70" s="847"/>
      <c r="K70" s="847"/>
      <c r="L70" s="406">
        <v>300</v>
      </c>
      <c r="M70" s="19"/>
      <c r="N70" s="19"/>
    </row>
    <row r="71" spans="1:14" s="1" customFormat="1" ht="13.5" thickBot="1">
      <c r="A71" s="407"/>
      <c r="B71" s="408"/>
      <c r="C71" s="848"/>
      <c r="D71" s="848"/>
      <c r="E71" s="409"/>
      <c r="F71" s="849"/>
      <c r="G71" s="850"/>
      <c r="H71" s="408"/>
      <c r="I71" s="848"/>
      <c r="J71" s="850"/>
      <c r="K71" s="850"/>
      <c r="L71" s="409"/>
      <c r="M71" s="19"/>
      <c r="N71" s="19"/>
    </row>
    <row r="72" spans="1:14" s="1" customFormat="1" ht="13.5" thickBot="1">
      <c r="A72" s="410" t="s">
        <v>168</v>
      </c>
      <c r="B72" s="411">
        <f>SUM(B68:B71)</f>
        <v>741</v>
      </c>
      <c r="C72" s="851" t="s">
        <v>168</v>
      </c>
      <c r="D72" s="851"/>
      <c r="E72" s="413">
        <f>SUM(E68:E71)</f>
        <v>247</v>
      </c>
      <c r="F72" s="852" t="s">
        <v>168</v>
      </c>
      <c r="G72" s="853"/>
      <c r="H72" s="412">
        <f>SUM(H68:H71)</f>
        <v>730</v>
      </c>
      <c r="I72" s="851" t="s">
        <v>168</v>
      </c>
      <c r="J72" s="853"/>
      <c r="K72" s="853"/>
      <c r="L72" s="413">
        <f>SUM(L68:L71)</f>
        <v>500</v>
      </c>
      <c r="M72" s="19"/>
      <c r="N72" s="19"/>
    </row>
    <row r="73" spans="1:14" s="1" customFormat="1" ht="13.5" thickBot="1">
      <c r="A73" s="414" t="s">
        <v>105</v>
      </c>
      <c r="B73" s="415">
        <f>B72-E72</f>
        <v>494</v>
      </c>
      <c r="C73" s="19"/>
      <c r="D73" s="19"/>
      <c r="E73" s="19"/>
      <c r="F73" s="854" t="s">
        <v>105</v>
      </c>
      <c r="G73" s="701"/>
      <c r="H73" s="416">
        <f>H72-L72</f>
        <v>230</v>
      </c>
      <c r="I73" s="19"/>
      <c r="J73" s="19"/>
      <c r="K73" s="19"/>
      <c r="L73" s="19"/>
      <c r="M73" s="19"/>
      <c r="N73" s="19"/>
    </row>
    <row r="74" spans="1:14" s="1" customFormat="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s="1" customFormat="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2" s="1" customFormat="1" ht="12.75">
      <c r="A76" s="20"/>
      <c r="B76" s="21"/>
      <c r="C76" s="21"/>
      <c r="D76" s="21"/>
      <c r="E76" s="2"/>
      <c r="F76" s="4"/>
      <c r="G76" s="4"/>
      <c r="H76" s="20"/>
      <c r="I76" s="21"/>
      <c r="J76" s="21"/>
      <c r="K76" s="21"/>
      <c r="L76" s="2"/>
    </row>
    <row r="77" spans="1:12" s="1" customFormat="1" ht="13.5" thickBot="1">
      <c r="A77" s="20"/>
      <c r="B77" s="21"/>
      <c r="C77" s="21"/>
      <c r="D77" s="21"/>
      <c r="E77" s="2"/>
      <c r="F77" s="4"/>
      <c r="G77" s="4"/>
      <c r="H77" s="20"/>
      <c r="I77" s="21"/>
      <c r="J77" s="21" t="s">
        <v>307</v>
      </c>
      <c r="K77" s="21"/>
      <c r="L77" s="2"/>
    </row>
    <row r="78" spans="1:15" s="1" customFormat="1" ht="13.5" thickBot="1">
      <c r="A78" s="822" t="s">
        <v>227</v>
      </c>
      <c r="B78" s="807" t="s">
        <v>435</v>
      </c>
      <c r="C78" s="808" t="s">
        <v>436</v>
      </c>
      <c r="D78" s="808"/>
      <c r="E78" s="808"/>
      <c r="F78" s="808"/>
      <c r="G78" s="808"/>
      <c r="H78" s="808"/>
      <c r="I78" s="808"/>
      <c r="J78" s="809" t="s">
        <v>437</v>
      </c>
      <c r="K78" s="209"/>
      <c r="L78" s="814" t="s">
        <v>205</v>
      </c>
      <c r="M78" s="814"/>
      <c r="N78" s="221">
        <v>2006</v>
      </c>
      <c r="O78" s="222">
        <v>2007</v>
      </c>
    </row>
    <row r="79" spans="1:15" s="1" customFormat="1" ht="13.5" thickBot="1">
      <c r="A79" s="822"/>
      <c r="B79" s="807"/>
      <c r="C79" s="815" t="s">
        <v>228</v>
      </c>
      <c r="D79" s="816" t="s">
        <v>229</v>
      </c>
      <c r="E79" s="816"/>
      <c r="F79" s="816"/>
      <c r="G79" s="816"/>
      <c r="H79" s="816"/>
      <c r="I79" s="816"/>
      <c r="J79" s="809"/>
      <c r="K79" s="209"/>
      <c r="L79" s="223" t="s">
        <v>273</v>
      </c>
      <c r="M79" s="224"/>
      <c r="N79" s="225">
        <v>0</v>
      </c>
      <c r="O79" s="226">
        <v>0</v>
      </c>
    </row>
    <row r="80" spans="1:15" s="1" customFormat="1" ht="13.5" thickBot="1">
      <c r="A80" s="822"/>
      <c r="B80" s="807"/>
      <c r="C80" s="815"/>
      <c r="D80" s="227">
        <v>1</v>
      </c>
      <c r="E80" s="227">
        <v>2</v>
      </c>
      <c r="F80" s="227">
        <v>3</v>
      </c>
      <c r="G80" s="227">
        <v>4</v>
      </c>
      <c r="H80" s="227">
        <v>5</v>
      </c>
      <c r="I80" s="228">
        <v>6</v>
      </c>
      <c r="J80" s="809"/>
      <c r="K80" s="209"/>
      <c r="L80" s="224" t="s">
        <v>206</v>
      </c>
      <c r="M80" s="223"/>
      <c r="N80" s="229">
        <v>0</v>
      </c>
      <c r="O80" s="230">
        <v>0</v>
      </c>
    </row>
    <row r="81" spans="1:15" s="1" customFormat="1" ht="13.5" thickBot="1">
      <c r="A81" s="231">
        <v>72079</v>
      </c>
      <c r="B81" s="232">
        <v>16477</v>
      </c>
      <c r="C81" s="233">
        <f>SUM(D81:I81)</f>
        <v>1489</v>
      </c>
      <c r="D81" s="234">
        <v>134</v>
      </c>
      <c r="E81" s="234">
        <v>622</v>
      </c>
      <c r="F81" s="234">
        <v>133</v>
      </c>
      <c r="G81" s="234">
        <v>0</v>
      </c>
      <c r="H81" s="233">
        <v>600</v>
      </c>
      <c r="I81" s="235">
        <v>0</v>
      </c>
      <c r="J81" s="236">
        <f>SUM(A81-B81-C81)</f>
        <v>54113</v>
      </c>
      <c r="K81" s="209"/>
      <c r="L81" s="237" t="s">
        <v>207</v>
      </c>
      <c r="M81" s="238"/>
      <c r="N81" s="239">
        <v>0</v>
      </c>
      <c r="O81" s="240">
        <v>0</v>
      </c>
    </row>
    <row r="82" spans="1:12" s="1" customFormat="1" ht="12.75">
      <c r="A82" s="20"/>
      <c r="B82" s="21"/>
      <c r="C82" s="21"/>
      <c r="D82" s="21"/>
      <c r="E82" s="2"/>
      <c r="F82" s="200"/>
      <c r="G82" s="4"/>
      <c r="H82" s="20"/>
      <c r="I82" s="21"/>
      <c r="J82" s="21"/>
      <c r="K82" s="21"/>
      <c r="L82" s="2"/>
    </row>
    <row r="83" spans="1:12" s="1" customFormat="1" ht="13.5" thickBot="1">
      <c r="A83" s="20"/>
      <c r="B83" s="21"/>
      <c r="C83" s="21"/>
      <c r="D83" s="21"/>
      <c r="E83" s="2"/>
      <c r="F83" s="200"/>
      <c r="G83" s="4"/>
      <c r="H83" s="20"/>
      <c r="I83" s="21"/>
      <c r="J83" s="21"/>
      <c r="K83" s="21"/>
      <c r="L83" s="21" t="s">
        <v>307</v>
      </c>
    </row>
    <row r="84" spans="1:12" s="1" customFormat="1" ht="13.5" thickBot="1">
      <c r="A84" s="817" t="s">
        <v>255</v>
      </c>
      <c r="B84" s="818" t="s">
        <v>438</v>
      </c>
      <c r="C84" s="819" t="s">
        <v>439</v>
      </c>
      <c r="D84" s="819"/>
      <c r="E84" s="819"/>
      <c r="F84" s="819"/>
      <c r="G84" s="820" t="s">
        <v>440</v>
      </c>
      <c r="H84" s="821" t="s">
        <v>230</v>
      </c>
      <c r="I84" s="790" t="s">
        <v>441</v>
      </c>
      <c r="J84" s="790"/>
      <c r="K84" s="790"/>
      <c r="L84" s="790"/>
    </row>
    <row r="85" spans="1:12" s="1" customFormat="1" ht="18.75" thickBot="1">
      <c r="A85" s="817"/>
      <c r="B85" s="818"/>
      <c r="C85" s="241" t="s">
        <v>321</v>
      </c>
      <c r="D85" s="242" t="s">
        <v>231</v>
      </c>
      <c r="E85" s="242" t="s">
        <v>232</v>
      </c>
      <c r="F85" s="243" t="s">
        <v>322</v>
      </c>
      <c r="G85" s="820"/>
      <c r="H85" s="821"/>
      <c r="I85" s="244" t="s">
        <v>442</v>
      </c>
      <c r="J85" s="245" t="s">
        <v>231</v>
      </c>
      <c r="K85" s="245" t="s">
        <v>232</v>
      </c>
      <c r="L85" s="246" t="s">
        <v>443</v>
      </c>
    </row>
    <row r="86" spans="1:12" s="1" customFormat="1" ht="12.75">
      <c r="A86" s="247" t="s">
        <v>233</v>
      </c>
      <c r="B86" s="248">
        <v>4084.51</v>
      </c>
      <c r="C86" s="249" t="s">
        <v>234</v>
      </c>
      <c r="D86" s="250" t="s">
        <v>234</v>
      </c>
      <c r="E86" s="250" t="s">
        <v>234</v>
      </c>
      <c r="F86" s="251"/>
      <c r="G86" s="252">
        <v>4478.97</v>
      </c>
      <c r="H86" s="253" t="s">
        <v>234</v>
      </c>
      <c r="I86" s="254" t="s">
        <v>234</v>
      </c>
      <c r="J86" s="255" t="s">
        <v>234</v>
      </c>
      <c r="K86" s="255" t="s">
        <v>234</v>
      </c>
      <c r="L86" s="256" t="s">
        <v>234</v>
      </c>
    </row>
    <row r="87" spans="1:12" s="1" customFormat="1" ht="12.75">
      <c r="A87" s="257" t="s">
        <v>235</v>
      </c>
      <c r="B87" s="134">
        <v>47.59</v>
      </c>
      <c r="C87" s="258">
        <v>47.59</v>
      </c>
      <c r="D87" s="135">
        <v>58</v>
      </c>
      <c r="E87" s="135">
        <v>27.05</v>
      </c>
      <c r="F87" s="136">
        <f>C87+D87-E87</f>
        <v>78.54</v>
      </c>
      <c r="G87" s="259">
        <v>78.54</v>
      </c>
      <c r="H87" s="260">
        <f>+G87-F87</f>
        <v>0</v>
      </c>
      <c r="I87" s="258">
        <v>78.54</v>
      </c>
      <c r="J87" s="135">
        <v>21</v>
      </c>
      <c r="K87" s="135">
        <v>50</v>
      </c>
      <c r="L87" s="136">
        <f>I87+J87-K87</f>
        <v>49.540000000000006</v>
      </c>
    </row>
    <row r="88" spans="1:12" s="1" customFormat="1" ht="12.75">
      <c r="A88" s="257" t="s">
        <v>236</v>
      </c>
      <c r="B88" s="134">
        <v>188.13</v>
      </c>
      <c r="C88" s="258">
        <v>188.13</v>
      </c>
      <c r="D88" s="135">
        <v>553</v>
      </c>
      <c r="E88" s="135">
        <v>246.98</v>
      </c>
      <c r="F88" s="136">
        <f>C88+D88-E88</f>
        <v>494.15</v>
      </c>
      <c r="G88" s="259">
        <v>488.3</v>
      </c>
      <c r="H88" s="260">
        <f>+G88-F88</f>
        <v>-5.849999999999966</v>
      </c>
      <c r="I88" s="258">
        <v>494</v>
      </c>
      <c r="J88" s="135">
        <v>236</v>
      </c>
      <c r="K88" s="135">
        <v>500</v>
      </c>
      <c r="L88" s="136">
        <f>I88+J88-K88</f>
        <v>230</v>
      </c>
    </row>
    <row r="89" spans="1:12" s="1" customFormat="1" ht="12.75">
      <c r="A89" s="257" t="s">
        <v>256</v>
      </c>
      <c r="B89" s="134">
        <v>1659.56</v>
      </c>
      <c r="C89" s="258">
        <v>1474.45</v>
      </c>
      <c r="D89" s="135">
        <v>1478.7</v>
      </c>
      <c r="E89" s="135">
        <v>1261.32</v>
      </c>
      <c r="F89" s="136">
        <f>C89+D89-E89</f>
        <v>1691.8300000000002</v>
      </c>
      <c r="G89" s="259">
        <v>1691.84</v>
      </c>
      <c r="H89" s="260">
        <f>+G89-F89</f>
        <v>0.009999999999763531</v>
      </c>
      <c r="I89" s="261">
        <v>1691.84</v>
      </c>
      <c r="J89" s="262">
        <v>1489</v>
      </c>
      <c r="K89" s="262">
        <v>1652</v>
      </c>
      <c r="L89" s="136">
        <f>I89+J89-K89</f>
        <v>1528.8400000000001</v>
      </c>
    </row>
    <row r="90" spans="1:12" s="1" customFormat="1" ht="12.75">
      <c r="A90" s="257" t="s">
        <v>237</v>
      </c>
      <c r="B90" s="134">
        <v>2189.23</v>
      </c>
      <c r="C90" s="263" t="s">
        <v>234</v>
      </c>
      <c r="D90" s="250" t="s">
        <v>234</v>
      </c>
      <c r="E90" s="264" t="s">
        <v>234</v>
      </c>
      <c r="F90" s="136"/>
      <c r="G90" s="259">
        <v>2220.3</v>
      </c>
      <c r="H90" s="263" t="s">
        <v>234</v>
      </c>
      <c r="I90" s="249"/>
      <c r="J90" s="250"/>
      <c r="K90" s="250"/>
      <c r="L90" s="120">
        <v>0</v>
      </c>
    </row>
    <row r="91" spans="1:12" s="1" customFormat="1" ht="13.5" thickBot="1">
      <c r="A91" s="265" t="s">
        <v>238</v>
      </c>
      <c r="B91" s="141">
        <v>65.64</v>
      </c>
      <c r="C91" s="266">
        <v>94.21</v>
      </c>
      <c r="D91" s="142">
        <v>357</v>
      </c>
      <c r="E91" s="142">
        <v>350.37</v>
      </c>
      <c r="F91" s="143">
        <f>C91+D91-E91</f>
        <v>100.83999999999997</v>
      </c>
      <c r="G91" s="267">
        <v>94.67</v>
      </c>
      <c r="H91" s="268">
        <f>+G91-F91</f>
        <v>-6.169999999999973</v>
      </c>
      <c r="I91" s="266">
        <v>101.42</v>
      </c>
      <c r="J91" s="142">
        <v>376</v>
      </c>
      <c r="K91" s="142">
        <v>370</v>
      </c>
      <c r="L91" s="143">
        <f>I91+J91-K91</f>
        <v>107.42000000000002</v>
      </c>
    </row>
    <row r="92" spans="1:12" s="1" customFormat="1" ht="12.75">
      <c r="A92" s="20"/>
      <c r="B92" s="21"/>
      <c r="C92" s="21"/>
      <c r="D92" s="21"/>
      <c r="E92" s="2"/>
      <c r="F92" s="200"/>
      <c r="G92" s="4"/>
      <c r="H92" s="20"/>
      <c r="I92" s="21"/>
      <c r="J92" s="21"/>
      <c r="K92" s="21"/>
      <c r="L92" s="2"/>
    </row>
    <row r="93" spans="1:12" s="1" customFormat="1" ht="12.75">
      <c r="A93" s="20"/>
      <c r="B93" s="21"/>
      <c r="C93" s="21"/>
      <c r="D93" s="21"/>
      <c r="E93" s="2"/>
      <c r="F93" s="200"/>
      <c r="G93" s="4"/>
      <c r="H93" s="20"/>
      <c r="I93" s="21"/>
      <c r="J93" s="21"/>
      <c r="K93" s="21"/>
      <c r="L93" s="2"/>
    </row>
    <row r="94" spans="1:12" s="1" customFormat="1" ht="12.75">
      <c r="A94" s="20"/>
      <c r="B94" s="21"/>
      <c r="C94" s="21"/>
      <c r="D94" s="21"/>
      <c r="E94" s="2"/>
      <c r="F94" s="200"/>
      <c r="G94" s="4"/>
      <c r="H94" s="20"/>
      <c r="I94" s="21"/>
      <c r="J94" s="21"/>
      <c r="K94" s="21"/>
      <c r="L94" s="2"/>
    </row>
    <row r="95" spans="1:12" s="1" customFormat="1" ht="12.75">
      <c r="A95" s="20"/>
      <c r="B95" s="21"/>
      <c r="C95" s="21"/>
      <c r="D95" s="21"/>
      <c r="E95" s="2"/>
      <c r="F95" s="200"/>
      <c r="G95" s="4"/>
      <c r="H95" s="20"/>
      <c r="I95" s="21"/>
      <c r="J95" s="21"/>
      <c r="K95" s="21"/>
      <c r="L95" s="2"/>
    </row>
    <row r="96" spans="1:12" s="1" customFormat="1" ht="12.75">
      <c r="A96" s="20"/>
      <c r="B96" s="21"/>
      <c r="C96" s="21"/>
      <c r="D96" s="21"/>
      <c r="E96" s="2"/>
      <c r="F96" s="200"/>
      <c r="G96" s="4"/>
      <c r="H96" s="20"/>
      <c r="I96" s="21"/>
      <c r="J96" s="21"/>
      <c r="K96" s="21"/>
      <c r="L96" s="2"/>
    </row>
    <row r="97" spans="1:12" s="1" customFormat="1" ht="12.75">
      <c r="A97" s="20"/>
      <c r="B97" s="21"/>
      <c r="C97" s="21"/>
      <c r="D97" s="21"/>
      <c r="E97" s="2"/>
      <c r="F97" s="4"/>
      <c r="G97" s="4"/>
      <c r="H97" s="20"/>
      <c r="I97" s="21"/>
      <c r="J97" s="21"/>
      <c r="K97" s="21"/>
      <c r="L97" s="2"/>
    </row>
    <row r="98" spans="1:12" s="1" customFormat="1" ht="12.75">
      <c r="A98" s="20"/>
      <c r="B98" s="21"/>
      <c r="C98" s="21"/>
      <c r="D98" s="21"/>
      <c r="E98" s="2"/>
      <c r="F98" s="4"/>
      <c r="G98" s="4"/>
      <c r="H98" s="20"/>
      <c r="I98" s="21"/>
      <c r="J98" s="21"/>
      <c r="K98" s="21"/>
      <c r="L98" s="2"/>
    </row>
    <row r="99" spans="8:12" ht="13.5" thickBot="1">
      <c r="H99" s="21" t="s">
        <v>307</v>
      </c>
      <c r="L99" s="21" t="s">
        <v>307</v>
      </c>
    </row>
    <row r="100" spans="1:12" ht="13.5" thickBot="1">
      <c r="A100" s="823" t="s">
        <v>444</v>
      </c>
      <c r="B100" s="824" t="s">
        <v>168</v>
      </c>
      <c r="C100" s="810" t="s">
        <v>239</v>
      </c>
      <c r="D100" s="810"/>
      <c r="E100" s="810"/>
      <c r="F100" s="810"/>
      <c r="G100" s="810"/>
      <c r="H100" s="810"/>
      <c r="I100" s="24"/>
      <c r="J100" s="825" t="s">
        <v>208</v>
      </c>
      <c r="K100" s="825"/>
      <c r="L100" s="825"/>
    </row>
    <row r="101" spans="1:12" ht="13.5" thickBot="1">
      <c r="A101" s="823"/>
      <c r="B101" s="824"/>
      <c r="C101" s="126" t="s">
        <v>240</v>
      </c>
      <c r="D101" s="127" t="s">
        <v>241</v>
      </c>
      <c r="E101" s="127" t="s">
        <v>242</v>
      </c>
      <c r="F101" s="127" t="s">
        <v>243</v>
      </c>
      <c r="G101" s="128" t="s">
        <v>244</v>
      </c>
      <c r="H101" s="129" t="s">
        <v>228</v>
      </c>
      <c r="I101" s="24"/>
      <c r="J101" s="130"/>
      <c r="K101" s="131" t="s">
        <v>209</v>
      </c>
      <c r="L101" s="132" t="s">
        <v>210</v>
      </c>
    </row>
    <row r="102" spans="1:12" ht="12.75">
      <c r="A102" s="133" t="s">
        <v>245</v>
      </c>
      <c r="B102" s="134">
        <v>879</v>
      </c>
      <c r="C102" s="135">
        <v>0</v>
      </c>
      <c r="D102" s="135">
        <v>0</v>
      </c>
      <c r="E102" s="135">
        <v>0</v>
      </c>
      <c r="F102" s="135">
        <v>66</v>
      </c>
      <c r="G102" s="134">
        <v>51</v>
      </c>
      <c r="H102" s="136">
        <f>SUM(C102:G102)</f>
        <v>117</v>
      </c>
      <c r="I102" s="24"/>
      <c r="J102" s="137">
        <v>2007</v>
      </c>
      <c r="K102" s="138">
        <v>17277</v>
      </c>
      <c r="L102" s="139">
        <f>+G30</f>
        <v>17879</v>
      </c>
    </row>
    <row r="103" spans="1:12" ht="13.5" thickBot="1">
      <c r="A103" s="140" t="s">
        <v>246</v>
      </c>
      <c r="B103" s="141">
        <v>3587</v>
      </c>
      <c r="C103" s="142">
        <v>0</v>
      </c>
      <c r="D103" s="142">
        <v>0</v>
      </c>
      <c r="E103" s="142">
        <v>0</v>
      </c>
      <c r="F103" s="142">
        <v>0</v>
      </c>
      <c r="G103" s="141">
        <v>2</v>
      </c>
      <c r="H103" s="143">
        <f>SUM(C103:G103)</f>
        <v>2</v>
      </c>
      <c r="I103" s="24"/>
      <c r="J103" s="144">
        <v>2008</v>
      </c>
      <c r="K103" s="145">
        <f>L30</f>
        <v>18808</v>
      </c>
      <c r="L103" s="146"/>
    </row>
    <row r="104" ht="12.75" customHeight="1"/>
    <row r="105" ht="13.5" thickBot="1">
      <c r="J105" s="269" t="s">
        <v>323</v>
      </c>
    </row>
    <row r="106" spans="1:10" ht="21" customHeight="1" thickBot="1">
      <c r="A106" s="823" t="s">
        <v>211</v>
      </c>
      <c r="B106" s="826" t="s">
        <v>212</v>
      </c>
      <c r="C106" s="826"/>
      <c r="D106" s="826"/>
      <c r="E106" s="827" t="s">
        <v>274</v>
      </c>
      <c r="F106" s="827"/>
      <c r="G106" s="827"/>
      <c r="H106" s="828" t="s">
        <v>213</v>
      </c>
      <c r="I106" s="828"/>
      <c r="J106" s="828"/>
    </row>
    <row r="107" spans="1:10" ht="12.75">
      <c r="A107" s="823"/>
      <c r="B107" s="147">
        <v>2006</v>
      </c>
      <c r="C107" s="147">
        <v>2007</v>
      </c>
      <c r="D107" s="147" t="s">
        <v>214</v>
      </c>
      <c r="E107" s="147">
        <v>2006</v>
      </c>
      <c r="F107" s="147">
        <v>2007</v>
      </c>
      <c r="G107" s="148" t="s">
        <v>214</v>
      </c>
      <c r="H107" s="149">
        <v>2006</v>
      </c>
      <c r="I107" s="147">
        <v>2007</v>
      </c>
      <c r="J107" s="148" t="s">
        <v>214</v>
      </c>
    </row>
    <row r="108" spans="1:10" ht="18.75">
      <c r="A108" s="150" t="s">
        <v>215</v>
      </c>
      <c r="B108" s="151">
        <v>4</v>
      </c>
      <c r="C108" s="151">
        <v>4</v>
      </c>
      <c r="D108" s="151">
        <f aca="true" t="shared" si="14" ref="D108:D118">+C108-B108</f>
        <v>0</v>
      </c>
      <c r="E108" s="151">
        <v>4</v>
      </c>
      <c r="F108" s="151">
        <v>4</v>
      </c>
      <c r="G108" s="152">
        <f aca="true" t="shared" si="15" ref="G108:G118">+F108-E108</f>
        <v>0</v>
      </c>
      <c r="H108" s="153">
        <v>22010</v>
      </c>
      <c r="I108" s="154">
        <v>24130</v>
      </c>
      <c r="J108" s="155">
        <f aca="true" t="shared" si="16" ref="J108:J118">+I108-H108</f>
        <v>2120</v>
      </c>
    </row>
    <row r="109" spans="1:10" ht="12.75">
      <c r="A109" s="150" t="s">
        <v>248</v>
      </c>
      <c r="B109" s="151">
        <v>20.27</v>
      </c>
      <c r="C109" s="151">
        <v>19.86</v>
      </c>
      <c r="D109" s="151">
        <f t="shared" si="14"/>
        <v>-0.41000000000000014</v>
      </c>
      <c r="E109" s="151">
        <v>20.27</v>
      </c>
      <c r="F109" s="151">
        <v>19.27</v>
      </c>
      <c r="G109" s="152">
        <f t="shared" si="15"/>
        <v>-1</v>
      </c>
      <c r="H109" s="153">
        <v>19951</v>
      </c>
      <c r="I109" s="156">
        <v>22583</v>
      </c>
      <c r="J109" s="155">
        <f t="shared" si="16"/>
        <v>2632</v>
      </c>
    </row>
    <row r="110" spans="1:10" ht="12.75">
      <c r="A110" s="150" t="s">
        <v>216</v>
      </c>
      <c r="B110" s="151">
        <v>1</v>
      </c>
      <c r="C110" s="151">
        <v>1</v>
      </c>
      <c r="D110" s="151">
        <f t="shared" si="14"/>
        <v>0</v>
      </c>
      <c r="E110" s="151">
        <v>1</v>
      </c>
      <c r="F110" s="151">
        <v>1</v>
      </c>
      <c r="G110" s="152">
        <f t="shared" si="15"/>
        <v>0</v>
      </c>
      <c r="H110" s="153">
        <v>18114</v>
      </c>
      <c r="I110" s="156">
        <v>21857</v>
      </c>
      <c r="J110" s="155">
        <f t="shared" si="16"/>
        <v>3743</v>
      </c>
    </row>
    <row r="111" spans="1:10" ht="12.75">
      <c r="A111" s="150" t="s">
        <v>217</v>
      </c>
      <c r="B111" s="151">
        <v>11.65</v>
      </c>
      <c r="C111" s="151">
        <v>10</v>
      </c>
      <c r="D111" s="151">
        <f t="shared" si="14"/>
        <v>-1.6500000000000004</v>
      </c>
      <c r="E111" s="151">
        <v>10</v>
      </c>
      <c r="F111" s="151">
        <v>10</v>
      </c>
      <c r="G111" s="152">
        <f t="shared" si="15"/>
        <v>0</v>
      </c>
      <c r="H111" s="153">
        <v>13518</v>
      </c>
      <c r="I111" s="156">
        <v>16464</v>
      </c>
      <c r="J111" s="155">
        <f t="shared" si="16"/>
        <v>2946</v>
      </c>
    </row>
    <row r="112" spans="1:10" ht="12.75">
      <c r="A112" s="150" t="s">
        <v>299</v>
      </c>
      <c r="B112" s="151">
        <v>1</v>
      </c>
      <c r="C112" s="151">
        <v>1</v>
      </c>
      <c r="D112" s="151">
        <f t="shared" si="14"/>
        <v>0</v>
      </c>
      <c r="E112" s="151">
        <v>1</v>
      </c>
      <c r="F112" s="151">
        <v>1</v>
      </c>
      <c r="G112" s="152">
        <f t="shared" si="15"/>
        <v>0</v>
      </c>
      <c r="H112" s="153">
        <v>11237</v>
      </c>
      <c r="I112" s="156">
        <v>13236</v>
      </c>
      <c r="J112" s="155">
        <f t="shared" si="16"/>
        <v>1999</v>
      </c>
    </row>
    <row r="113" spans="1:10" ht="12.75">
      <c r="A113" s="150" t="s">
        <v>297</v>
      </c>
      <c r="B113" s="151">
        <v>0.75</v>
      </c>
      <c r="C113" s="151">
        <v>0.75</v>
      </c>
      <c r="D113" s="151">
        <f t="shared" si="14"/>
        <v>0</v>
      </c>
      <c r="E113" s="151">
        <v>0.75</v>
      </c>
      <c r="F113" s="151">
        <v>0.75</v>
      </c>
      <c r="G113" s="152">
        <f t="shared" si="15"/>
        <v>0</v>
      </c>
      <c r="H113" s="153">
        <v>16824</v>
      </c>
      <c r="I113" s="156">
        <v>12007</v>
      </c>
      <c r="J113" s="155">
        <f t="shared" si="16"/>
        <v>-4817</v>
      </c>
    </row>
    <row r="114" spans="1:10" ht="12.75">
      <c r="A114" s="150" t="s">
        <v>445</v>
      </c>
      <c r="B114" s="151">
        <v>10.77</v>
      </c>
      <c r="C114" s="151">
        <v>10</v>
      </c>
      <c r="D114" s="151">
        <f t="shared" si="14"/>
        <v>-0.7699999999999996</v>
      </c>
      <c r="E114" s="151">
        <v>10.77</v>
      </c>
      <c r="F114" s="151">
        <v>10</v>
      </c>
      <c r="G114" s="152">
        <f t="shared" si="15"/>
        <v>-0.7699999999999996</v>
      </c>
      <c r="H114" s="153">
        <v>15901</v>
      </c>
      <c r="I114" s="156">
        <v>19264</v>
      </c>
      <c r="J114" s="155">
        <f t="shared" si="16"/>
        <v>3363</v>
      </c>
    </row>
    <row r="115" spans="1:10" ht="12.75">
      <c r="A115" s="150" t="s">
        <v>219</v>
      </c>
      <c r="B115" s="151">
        <v>9.71</v>
      </c>
      <c r="C115" s="151">
        <v>14.59</v>
      </c>
      <c r="D115" s="151">
        <f t="shared" si="14"/>
        <v>4.879999999999999</v>
      </c>
      <c r="E115" s="151">
        <v>14.75</v>
      </c>
      <c r="F115" s="151">
        <v>15</v>
      </c>
      <c r="G115" s="152">
        <f t="shared" si="15"/>
        <v>0.25</v>
      </c>
      <c r="H115" s="153">
        <v>12912</v>
      </c>
      <c r="I115" s="156">
        <v>13981</v>
      </c>
      <c r="J115" s="155">
        <f t="shared" si="16"/>
        <v>1069</v>
      </c>
    </row>
    <row r="116" spans="1:10" ht="12.75">
      <c r="A116" s="150" t="s">
        <v>220</v>
      </c>
      <c r="B116" s="151">
        <v>1</v>
      </c>
      <c r="C116" s="151">
        <v>1.91</v>
      </c>
      <c r="D116" s="151">
        <f t="shared" si="14"/>
        <v>0.9099999999999999</v>
      </c>
      <c r="E116" s="151">
        <v>1</v>
      </c>
      <c r="F116" s="151">
        <v>2</v>
      </c>
      <c r="G116" s="152">
        <f t="shared" si="15"/>
        <v>1</v>
      </c>
      <c r="H116" s="153">
        <v>16770</v>
      </c>
      <c r="I116" s="156">
        <v>16591</v>
      </c>
      <c r="J116" s="155">
        <f t="shared" si="16"/>
        <v>-179</v>
      </c>
    </row>
    <row r="117" spans="1:10" ht="12.75">
      <c r="A117" s="150" t="s">
        <v>221</v>
      </c>
      <c r="B117" s="151">
        <v>23.54</v>
      </c>
      <c r="C117" s="151">
        <v>23.89</v>
      </c>
      <c r="D117" s="151">
        <f t="shared" si="14"/>
        <v>0.3500000000000014</v>
      </c>
      <c r="E117" s="151">
        <v>23.69</v>
      </c>
      <c r="F117" s="151">
        <v>24.88</v>
      </c>
      <c r="G117" s="152">
        <f t="shared" si="15"/>
        <v>1.1899999999999977</v>
      </c>
      <c r="H117" s="153">
        <v>12032</v>
      </c>
      <c r="I117" s="156">
        <v>12898</v>
      </c>
      <c r="J117" s="155">
        <f t="shared" si="16"/>
        <v>866</v>
      </c>
    </row>
    <row r="118" spans="1:10" ht="13.5" thickBot="1">
      <c r="A118" s="157" t="s">
        <v>168</v>
      </c>
      <c r="B118" s="158">
        <v>83.69</v>
      </c>
      <c r="C118" s="158">
        <v>86.99</v>
      </c>
      <c r="D118" s="158">
        <f t="shared" si="14"/>
        <v>3.299999999999997</v>
      </c>
      <c r="E118" s="158">
        <v>87.23</v>
      </c>
      <c r="F118" s="158">
        <v>88.4</v>
      </c>
      <c r="G118" s="159">
        <f t="shared" si="15"/>
        <v>1.1700000000000017</v>
      </c>
      <c r="H118" s="160">
        <v>15397</v>
      </c>
      <c r="I118" s="161">
        <v>17127</v>
      </c>
      <c r="J118" s="162">
        <f t="shared" si="16"/>
        <v>1730</v>
      </c>
    </row>
    <row r="119" ht="13.5" thickBot="1"/>
    <row r="120" spans="1:16" ht="12.75">
      <c r="A120" s="829" t="s">
        <v>222</v>
      </c>
      <c r="B120" s="829"/>
      <c r="C120" s="829"/>
      <c r="D120" s="24"/>
      <c r="E120" s="829" t="s">
        <v>223</v>
      </c>
      <c r="F120" s="829"/>
      <c r="G120" s="829"/>
      <c r="H120"/>
      <c r="I120"/>
      <c r="J120"/>
      <c r="K120"/>
      <c r="L120"/>
      <c r="M120"/>
      <c r="N120"/>
      <c r="O120"/>
      <c r="P120"/>
    </row>
    <row r="121" spans="1:16" ht="13.5" thickBot="1">
      <c r="A121" s="130" t="s">
        <v>224</v>
      </c>
      <c r="B121" s="131" t="s">
        <v>225</v>
      </c>
      <c r="C121" s="132" t="s">
        <v>210</v>
      </c>
      <c r="D121" s="24"/>
      <c r="E121" s="130"/>
      <c r="F121" s="832" t="s">
        <v>226</v>
      </c>
      <c r="G121" s="832"/>
      <c r="H121"/>
      <c r="I121"/>
      <c r="J121"/>
      <c r="K121"/>
      <c r="L121"/>
      <c r="M121"/>
      <c r="N121"/>
      <c r="O121"/>
      <c r="P121"/>
    </row>
    <row r="122" spans="1:16" ht="12.75">
      <c r="A122" s="137">
        <v>2007</v>
      </c>
      <c r="B122" s="138">
        <v>88</v>
      </c>
      <c r="C122" s="139">
        <v>86.99</v>
      </c>
      <c r="D122" s="24"/>
      <c r="E122" s="137">
        <v>2007</v>
      </c>
      <c r="F122" s="830">
        <v>152</v>
      </c>
      <c r="G122" s="830"/>
      <c r="H122"/>
      <c r="I122"/>
      <c r="J122"/>
      <c r="K122"/>
      <c r="L122"/>
      <c r="M122"/>
      <c r="N122"/>
      <c r="O122"/>
      <c r="P122"/>
    </row>
    <row r="123" spans="1:16" ht="13.5" thickBot="1">
      <c r="A123" s="144">
        <v>2008</v>
      </c>
      <c r="B123" s="145">
        <v>91.4</v>
      </c>
      <c r="C123" s="146"/>
      <c r="D123" s="24"/>
      <c r="E123" s="144">
        <v>2008</v>
      </c>
      <c r="F123" s="831">
        <v>152</v>
      </c>
      <c r="G123" s="831"/>
      <c r="H123"/>
      <c r="I123"/>
      <c r="J123"/>
      <c r="K123"/>
      <c r="L123"/>
      <c r="M123"/>
      <c r="N123"/>
      <c r="O123"/>
      <c r="P123"/>
    </row>
  </sheetData>
  <mergeCells count="123">
    <mergeCell ref="C72:D72"/>
    <mergeCell ref="F72:G72"/>
    <mergeCell ref="I72:K72"/>
    <mergeCell ref="F73:G73"/>
    <mergeCell ref="C70:D70"/>
    <mergeCell ref="F70:G70"/>
    <mergeCell ref="I70:K70"/>
    <mergeCell ref="C71:D71"/>
    <mergeCell ref="F71:G71"/>
    <mergeCell ref="I71:K71"/>
    <mergeCell ref="C68:D68"/>
    <mergeCell ref="F68:G68"/>
    <mergeCell ref="I68:K68"/>
    <mergeCell ref="C69:D69"/>
    <mergeCell ref="F69:G69"/>
    <mergeCell ref="I69:K69"/>
    <mergeCell ref="A66:E66"/>
    <mergeCell ref="F66:L66"/>
    <mergeCell ref="C67:D67"/>
    <mergeCell ref="F67:G67"/>
    <mergeCell ref="I67:K67"/>
    <mergeCell ref="F123:G123"/>
    <mergeCell ref="A120:C120"/>
    <mergeCell ref="E120:G120"/>
    <mergeCell ref="F121:G121"/>
    <mergeCell ref="F122:G122"/>
    <mergeCell ref="A106:A107"/>
    <mergeCell ref="B106:D106"/>
    <mergeCell ref="E106:G106"/>
    <mergeCell ref="H106:J106"/>
    <mergeCell ref="A1:N1"/>
    <mergeCell ref="A100:A101"/>
    <mergeCell ref="B100:B101"/>
    <mergeCell ref="C100:H100"/>
    <mergeCell ref="J100:L100"/>
    <mergeCell ref="H42:K43"/>
    <mergeCell ref="B39:D39"/>
    <mergeCell ref="E39:G39"/>
    <mergeCell ref="J39:L39"/>
    <mergeCell ref="B40:D40"/>
    <mergeCell ref="E40:G40"/>
    <mergeCell ref="A42:B43"/>
    <mergeCell ref="C42:C43"/>
    <mergeCell ref="D42:F43"/>
    <mergeCell ref="G42:G43"/>
    <mergeCell ref="A44:B44"/>
    <mergeCell ref="D44:F44"/>
    <mergeCell ref="H44:K44"/>
    <mergeCell ref="A45:B45"/>
    <mergeCell ref="D45:F45"/>
    <mergeCell ref="H45:K45"/>
    <mergeCell ref="A53:B54"/>
    <mergeCell ref="A49:B49"/>
    <mergeCell ref="D49:F49"/>
    <mergeCell ref="H49:K49"/>
    <mergeCell ref="A50:B50"/>
    <mergeCell ref="D50:F50"/>
    <mergeCell ref="H50:K50"/>
    <mergeCell ref="A51:B51"/>
    <mergeCell ref="D51:F51"/>
    <mergeCell ref="H51:K51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H62:K62"/>
    <mergeCell ref="H59:K59"/>
    <mergeCell ref="A60:B60"/>
    <mergeCell ref="D60:F60"/>
    <mergeCell ref="H60:K60"/>
    <mergeCell ref="L42:L43"/>
    <mergeCell ref="A78:A80"/>
    <mergeCell ref="B78:B80"/>
    <mergeCell ref="C78:I78"/>
    <mergeCell ref="J78:J80"/>
    <mergeCell ref="A61:B61"/>
    <mergeCell ref="D61:F61"/>
    <mergeCell ref="H61:K61"/>
    <mergeCell ref="A62:B62"/>
    <mergeCell ref="D62:F62"/>
    <mergeCell ref="A3:A6"/>
    <mergeCell ref="B3:N3"/>
    <mergeCell ref="H4:I4"/>
    <mergeCell ref="M4:N4"/>
    <mergeCell ref="B4:D4"/>
    <mergeCell ref="E4:G4"/>
    <mergeCell ref="J4:L4"/>
    <mergeCell ref="A48:B48"/>
    <mergeCell ref="D48:F48"/>
    <mergeCell ref="H48:K48"/>
    <mergeCell ref="A46:B46"/>
    <mergeCell ref="D46:F46"/>
    <mergeCell ref="A47:B47"/>
    <mergeCell ref="D47:F47"/>
    <mergeCell ref="H46:K46"/>
    <mergeCell ref="H47:K47"/>
    <mergeCell ref="L53:L54"/>
    <mergeCell ref="A63:B63"/>
    <mergeCell ref="D63:F63"/>
    <mergeCell ref="H63:K63"/>
    <mergeCell ref="C53:C54"/>
    <mergeCell ref="D53:F54"/>
    <mergeCell ref="G53:G54"/>
    <mergeCell ref="H53:K54"/>
    <mergeCell ref="A59:B59"/>
    <mergeCell ref="D59:F59"/>
    <mergeCell ref="L78:M78"/>
    <mergeCell ref="C79:C80"/>
    <mergeCell ref="D79:I79"/>
    <mergeCell ref="H84:H85"/>
    <mergeCell ref="I84:L84"/>
    <mergeCell ref="A84:A85"/>
    <mergeCell ref="B84:B85"/>
    <mergeCell ref="C84:F84"/>
    <mergeCell ref="G84:G85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P127"/>
  <sheetViews>
    <sheetView view="pageBreakPreview" zoomScaleSheetLayoutView="100" workbookViewId="0" topLeftCell="A1">
      <selection activeCell="J93" sqref="J93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875"/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307</v>
      </c>
    </row>
    <row r="3" spans="1:14" ht="24" customHeight="1" thickBot="1">
      <c r="A3" s="876" t="s">
        <v>165</v>
      </c>
      <c r="B3" s="792" t="s">
        <v>453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4" ht="14.25" thickBot="1" thickTop="1">
      <c r="A4" s="876"/>
      <c r="B4" s="790" t="s">
        <v>308</v>
      </c>
      <c r="C4" s="790"/>
      <c r="D4" s="790"/>
      <c r="E4" s="790" t="s">
        <v>417</v>
      </c>
      <c r="F4" s="790"/>
      <c r="G4" s="790"/>
      <c r="H4" s="793" t="s">
        <v>309</v>
      </c>
      <c r="I4" s="793"/>
      <c r="J4" s="790" t="s">
        <v>418</v>
      </c>
      <c r="K4" s="790"/>
      <c r="L4" s="790"/>
      <c r="M4" s="790" t="s">
        <v>419</v>
      </c>
      <c r="N4" s="790"/>
    </row>
    <row r="5" spans="1:14" ht="14.25" thickBot="1" thickTop="1">
      <c r="A5" s="876"/>
      <c r="B5" s="66" t="s">
        <v>166</v>
      </c>
      <c r="C5" s="67" t="s">
        <v>167</v>
      </c>
      <c r="D5" s="68" t="s">
        <v>168</v>
      </c>
      <c r="E5" s="66" t="s">
        <v>166</v>
      </c>
      <c r="F5" s="67" t="s">
        <v>167</v>
      </c>
      <c r="G5" s="68" t="s">
        <v>168</v>
      </c>
      <c r="H5" s="69" t="s">
        <v>168</v>
      </c>
      <c r="I5" s="69" t="s">
        <v>169</v>
      </c>
      <c r="J5" s="70" t="s">
        <v>166</v>
      </c>
      <c r="K5" s="67" t="s">
        <v>167</v>
      </c>
      <c r="L5" s="68" t="s">
        <v>168</v>
      </c>
      <c r="M5" s="69" t="s">
        <v>168</v>
      </c>
      <c r="N5" s="68" t="s">
        <v>169</v>
      </c>
    </row>
    <row r="6" spans="1:14" ht="14.25" thickBot="1" thickTop="1">
      <c r="A6" s="791"/>
      <c r="B6" s="183" t="s">
        <v>170</v>
      </c>
      <c r="C6" s="184" t="s">
        <v>170</v>
      </c>
      <c r="D6" s="185"/>
      <c r="E6" s="183" t="s">
        <v>170</v>
      </c>
      <c r="F6" s="184" t="s">
        <v>170</v>
      </c>
      <c r="G6" s="185"/>
      <c r="H6" s="189" t="s">
        <v>171</v>
      </c>
      <c r="I6" s="189" t="s">
        <v>172</v>
      </c>
      <c r="J6" s="197" t="s">
        <v>170</v>
      </c>
      <c r="K6" s="184" t="s">
        <v>170</v>
      </c>
      <c r="L6" s="185"/>
      <c r="M6" s="189" t="s">
        <v>171</v>
      </c>
      <c r="N6" s="185" t="s">
        <v>172</v>
      </c>
    </row>
    <row r="7" spans="1:14" ht="13.5" customHeight="1">
      <c r="A7" s="274" t="s">
        <v>173</v>
      </c>
      <c r="B7" s="163"/>
      <c r="C7" s="164"/>
      <c r="D7" s="167">
        <f aca="true" t="shared" si="0" ref="D7:D18">SUM(B7:C7)</f>
        <v>0</v>
      </c>
      <c r="E7" s="163"/>
      <c r="F7" s="164"/>
      <c r="G7" s="167">
        <f aca="true" t="shared" si="1" ref="G7:G18">SUM(E7:F7)</f>
        <v>0</v>
      </c>
      <c r="H7" s="191">
        <f aca="true" t="shared" si="2" ref="H7:H38">+G7-D7</f>
        <v>0</v>
      </c>
      <c r="I7" s="195"/>
      <c r="J7" s="163"/>
      <c r="K7" s="164"/>
      <c r="L7" s="167">
        <f aca="true" t="shared" si="3" ref="L7:L18">SUM(J7:K7)</f>
        <v>0</v>
      </c>
      <c r="M7" s="191">
        <f aca="true" t="shared" si="4" ref="M7:M38">+L7-G7</f>
        <v>0</v>
      </c>
      <c r="N7" s="192"/>
    </row>
    <row r="8" spans="1:14" ht="13.5" customHeight="1">
      <c r="A8" s="275" t="s">
        <v>174</v>
      </c>
      <c r="B8" s="14">
        <v>10991</v>
      </c>
      <c r="C8" s="13">
        <v>163</v>
      </c>
      <c r="D8" s="168">
        <f t="shared" si="0"/>
        <v>11154</v>
      </c>
      <c r="E8" s="14">
        <v>20714</v>
      </c>
      <c r="F8" s="13">
        <v>190</v>
      </c>
      <c r="G8" s="168">
        <f t="shared" si="1"/>
        <v>20904</v>
      </c>
      <c r="H8" s="193">
        <f t="shared" si="2"/>
        <v>9750</v>
      </c>
      <c r="I8" s="196">
        <f aca="true" t="shared" si="5" ref="I8:I22">+G8/D8</f>
        <v>1.8741258741258742</v>
      </c>
      <c r="J8" s="14">
        <v>22674</v>
      </c>
      <c r="K8" s="13">
        <v>180</v>
      </c>
      <c r="L8" s="168">
        <f t="shared" si="3"/>
        <v>22854</v>
      </c>
      <c r="M8" s="193">
        <f t="shared" si="4"/>
        <v>1950</v>
      </c>
      <c r="N8" s="194">
        <f aca="true" t="shared" si="6" ref="N8:N22">+L8/G8</f>
        <v>1.0932835820895523</v>
      </c>
    </row>
    <row r="9" spans="1:14" ht="13.5" customHeight="1">
      <c r="A9" s="275" t="s">
        <v>175</v>
      </c>
      <c r="B9" s="14"/>
      <c r="C9" s="13"/>
      <c r="D9" s="168">
        <f t="shared" si="0"/>
        <v>0</v>
      </c>
      <c r="E9" s="14"/>
      <c r="F9" s="13"/>
      <c r="G9" s="168">
        <f t="shared" si="1"/>
        <v>0</v>
      </c>
      <c r="H9" s="193">
        <f t="shared" si="2"/>
        <v>0</v>
      </c>
      <c r="I9" s="196"/>
      <c r="J9" s="14"/>
      <c r="K9" s="13"/>
      <c r="L9" s="168">
        <f t="shared" si="3"/>
        <v>0</v>
      </c>
      <c r="M9" s="193">
        <f t="shared" si="4"/>
        <v>0</v>
      </c>
      <c r="N9" s="194"/>
    </row>
    <row r="10" spans="1:14" ht="13.5" customHeight="1">
      <c r="A10" s="275" t="s">
        <v>176</v>
      </c>
      <c r="B10" s="14">
        <v>2</v>
      </c>
      <c r="C10" s="13"/>
      <c r="D10" s="168">
        <f t="shared" si="0"/>
        <v>2</v>
      </c>
      <c r="E10" s="14">
        <v>2</v>
      </c>
      <c r="F10" s="13"/>
      <c r="G10" s="168">
        <f t="shared" si="1"/>
        <v>2</v>
      </c>
      <c r="H10" s="193">
        <f t="shared" si="2"/>
        <v>0</v>
      </c>
      <c r="I10" s="196">
        <f t="shared" si="5"/>
        <v>1</v>
      </c>
      <c r="J10" s="14">
        <v>2</v>
      </c>
      <c r="K10" s="13"/>
      <c r="L10" s="168">
        <f t="shared" si="3"/>
        <v>2</v>
      </c>
      <c r="M10" s="193">
        <f t="shared" si="4"/>
        <v>0</v>
      </c>
      <c r="N10" s="194"/>
    </row>
    <row r="11" spans="1:14" ht="13.5" customHeight="1">
      <c r="A11" s="275" t="s">
        <v>177</v>
      </c>
      <c r="B11" s="14">
        <v>196</v>
      </c>
      <c r="C11" s="13"/>
      <c r="D11" s="168">
        <f t="shared" si="0"/>
        <v>196</v>
      </c>
      <c r="E11" s="14">
        <v>230</v>
      </c>
      <c r="F11" s="13"/>
      <c r="G11" s="168">
        <f t="shared" si="1"/>
        <v>230</v>
      </c>
      <c r="H11" s="193">
        <f t="shared" si="2"/>
        <v>34</v>
      </c>
      <c r="I11" s="196">
        <f t="shared" si="5"/>
        <v>1.1734693877551021</v>
      </c>
      <c r="J11" s="14">
        <f>400+400</f>
        <v>800</v>
      </c>
      <c r="K11" s="13"/>
      <c r="L11" s="168">
        <f t="shared" si="3"/>
        <v>800</v>
      </c>
      <c r="M11" s="193">
        <f t="shared" si="4"/>
        <v>570</v>
      </c>
      <c r="N11" s="194">
        <f t="shared" si="6"/>
        <v>3.4782608695652173</v>
      </c>
    </row>
    <row r="12" spans="1:14" ht="13.5" customHeight="1">
      <c r="A12" s="276" t="s">
        <v>178</v>
      </c>
      <c r="B12" s="14">
        <v>40</v>
      </c>
      <c r="C12" s="13"/>
      <c r="D12" s="168">
        <f t="shared" si="0"/>
        <v>40</v>
      </c>
      <c r="E12" s="14">
        <v>63</v>
      </c>
      <c r="F12" s="13"/>
      <c r="G12" s="168">
        <f t="shared" si="1"/>
        <v>63</v>
      </c>
      <c r="H12" s="193">
        <f t="shared" si="2"/>
        <v>23</v>
      </c>
      <c r="I12" s="196">
        <f t="shared" si="5"/>
        <v>1.575</v>
      </c>
      <c r="J12" s="14">
        <f>200+400</f>
        <v>600</v>
      </c>
      <c r="K12" s="13"/>
      <c r="L12" s="168">
        <f t="shared" si="3"/>
        <v>600</v>
      </c>
      <c r="M12" s="193">
        <f t="shared" si="4"/>
        <v>537</v>
      </c>
      <c r="N12" s="194">
        <f t="shared" si="6"/>
        <v>9.523809523809524</v>
      </c>
    </row>
    <row r="13" spans="1:14" ht="13.5" customHeight="1">
      <c r="A13" s="276" t="s">
        <v>179</v>
      </c>
      <c r="B13" s="14"/>
      <c r="C13" s="13"/>
      <c r="D13" s="168">
        <f t="shared" si="0"/>
        <v>0</v>
      </c>
      <c r="E13" s="14"/>
      <c r="F13" s="13"/>
      <c r="G13" s="168">
        <f t="shared" si="1"/>
        <v>0</v>
      </c>
      <c r="H13" s="193">
        <f t="shared" si="2"/>
        <v>0</v>
      </c>
      <c r="I13" s="196"/>
      <c r="J13" s="14"/>
      <c r="K13" s="13"/>
      <c r="L13" s="168">
        <f t="shared" si="3"/>
        <v>0</v>
      </c>
      <c r="M13" s="193">
        <f t="shared" si="4"/>
        <v>0</v>
      </c>
      <c r="N13" s="194"/>
    </row>
    <row r="14" spans="1:14" ht="23.25" customHeight="1">
      <c r="A14" s="276" t="s">
        <v>180</v>
      </c>
      <c r="B14" s="14"/>
      <c r="C14" s="13"/>
      <c r="D14" s="168">
        <f t="shared" si="0"/>
        <v>0</v>
      </c>
      <c r="E14" s="14"/>
      <c r="F14" s="13"/>
      <c r="G14" s="168">
        <f t="shared" si="1"/>
        <v>0</v>
      </c>
      <c r="H14" s="193">
        <f t="shared" si="2"/>
        <v>0</v>
      </c>
      <c r="I14" s="196"/>
      <c r="J14" s="14"/>
      <c r="K14" s="13"/>
      <c r="L14" s="168">
        <f t="shared" si="3"/>
        <v>0</v>
      </c>
      <c r="M14" s="193">
        <f t="shared" si="4"/>
        <v>0</v>
      </c>
      <c r="N14" s="194"/>
    </row>
    <row r="15" spans="1:14" ht="13.5" customHeight="1">
      <c r="A15" s="275" t="s">
        <v>181</v>
      </c>
      <c r="B15" s="14">
        <v>15314</v>
      </c>
      <c r="C15" s="13"/>
      <c r="D15" s="168">
        <f t="shared" si="0"/>
        <v>15314</v>
      </c>
      <c r="E15" s="14">
        <v>17462</v>
      </c>
      <c r="F15" s="13"/>
      <c r="G15" s="168">
        <f t="shared" si="1"/>
        <v>17462</v>
      </c>
      <c r="H15" s="193">
        <f t="shared" si="2"/>
        <v>2148</v>
      </c>
      <c r="I15" s="196">
        <f t="shared" si="5"/>
        <v>1.1402638108919942</v>
      </c>
      <c r="J15" s="15">
        <v>10706</v>
      </c>
      <c r="K15" s="279"/>
      <c r="L15" s="168">
        <f t="shared" si="3"/>
        <v>10706</v>
      </c>
      <c r="M15" s="193">
        <f t="shared" si="4"/>
        <v>-6756</v>
      </c>
      <c r="N15" s="194">
        <f t="shared" si="6"/>
        <v>0.6131027373725805</v>
      </c>
    </row>
    <row r="16" spans="1:14" ht="13.5" customHeight="1">
      <c r="A16" s="277" t="s">
        <v>310</v>
      </c>
      <c r="B16" s="14">
        <v>14724</v>
      </c>
      <c r="C16" s="13"/>
      <c r="D16" s="168">
        <f t="shared" si="0"/>
        <v>14724</v>
      </c>
      <c r="E16" s="14">
        <v>4047</v>
      </c>
      <c r="F16" s="13"/>
      <c r="G16" s="168">
        <f t="shared" si="1"/>
        <v>4047</v>
      </c>
      <c r="H16" s="193">
        <f t="shared" si="2"/>
        <v>-10677</v>
      </c>
      <c r="I16" s="196">
        <f t="shared" si="5"/>
        <v>0.2748573757131214</v>
      </c>
      <c r="J16" s="15">
        <v>603</v>
      </c>
      <c r="K16" s="13"/>
      <c r="L16" s="168">
        <f t="shared" si="3"/>
        <v>603</v>
      </c>
      <c r="M16" s="193">
        <f t="shared" si="4"/>
        <v>-3444</v>
      </c>
      <c r="N16" s="194">
        <f t="shared" si="6"/>
        <v>0.14899925871015568</v>
      </c>
    </row>
    <row r="17" spans="1:14" ht="13.5" customHeight="1">
      <c r="A17" s="277" t="s">
        <v>311</v>
      </c>
      <c r="B17" s="14"/>
      <c r="C17" s="13"/>
      <c r="D17" s="168">
        <f t="shared" si="0"/>
        <v>0</v>
      </c>
      <c r="E17" s="14">
        <v>12907</v>
      </c>
      <c r="F17" s="13"/>
      <c r="G17" s="168">
        <f t="shared" si="1"/>
        <v>12907</v>
      </c>
      <c r="H17" s="193">
        <f t="shared" si="2"/>
        <v>12907</v>
      </c>
      <c r="I17" s="196"/>
      <c r="J17" s="15">
        <v>9903</v>
      </c>
      <c r="K17" s="13"/>
      <c r="L17" s="168">
        <f t="shared" si="3"/>
        <v>9903</v>
      </c>
      <c r="M17" s="193">
        <f t="shared" si="4"/>
        <v>-3004</v>
      </c>
      <c r="N17" s="194">
        <f t="shared" si="6"/>
        <v>0.7672580770124738</v>
      </c>
    </row>
    <row r="18" spans="1:14" ht="13.5" customHeight="1" thickBot="1">
      <c r="A18" s="278" t="s">
        <v>416</v>
      </c>
      <c r="B18" s="165">
        <v>590</v>
      </c>
      <c r="C18" s="166"/>
      <c r="D18" s="168">
        <f t="shared" si="0"/>
        <v>590</v>
      </c>
      <c r="E18" s="165">
        <v>509</v>
      </c>
      <c r="F18" s="166"/>
      <c r="G18" s="168">
        <f t="shared" si="1"/>
        <v>509</v>
      </c>
      <c r="H18" s="271"/>
      <c r="I18" s="273"/>
      <c r="J18" s="169">
        <v>200</v>
      </c>
      <c r="K18" s="166"/>
      <c r="L18" s="168">
        <f t="shared" si="3"/>
        <v>200</v>
      </c>
      <c r="M18" s="271"/>
      <c r="N18" s="272"/>
    </row>
    <row r="19" spans="1:14" ht="13.5" customHeight="1" thickBot="1">
      <c r="A19" s="182" t="s">
        <v>182</v>
      </c>
      <c r="B19" s="186">
        <f aca="true" t="shared" si="7" ref="B19:G19">SUM(B7+B8+B9+B10+B11+B13+B15)</f>
        <v>26503</v>
      </c>
      <c r="C19" s="187">
        <f t="shared" si="7"/>
        <v>163</v>
      </c>
      <c r="D19" s="188">
        <f t="shared" si="7"/>
        <v>26666</v>
      </c>
      <c r="E19" s="186">
        <f t="shared" si="7"/>
        <v>38408</v>
      </c>
      <c r="F19" s="187">
        <f t="shared" si="7"/>
        <v>190</v>
      </c>
      <c r="G19" s="188">
        <f t="shared" si="7"/>
        <v>38598</v>
      </c>
      <c r="H19" s="190">
        <f t="shared" si="2"/>
        <v>11932</v>
      </c>
      <c r="I19" s="108">
        <f t="shared" si="5"/>
        <v>1.4474611865296632</v>
      </c>
      <c r="J19" s="198">
        <f>SUM(J7+J8+J9+J10+J11+J13+J15)</f>
        <v>34182</v>
      </c>
      <c r="K19" s="187">
        <f>SUM(K7+K8+K9+K10+K11+K13+K15)</f>
        <v>180</v>
      </c>
      <c r="L19" s="188">
        <f>SUM(L7+L8+L9+L10+L11+L13+L15)</f>
        <v>34362</v>
      </c>
      <c r="M19" s="190">
        <f t="shared" si="4"/>
        <v>-4236</v>
      </c>
      <c r="N19" s="199">
        <f t="shared" si="6"/>
        <v>0.8902533810041972</v>
      </c>
    </row>
    <row r="20" spans="1:14" ht="13.5" customHeight="1">
      <c r="A20" s="96" t="s">
        <v>183</v>
      </c>
      <c r="B20" s="71">
        <v>4060</v>
      </c>
      <c r="C20" s="72">
        <v>94</v>
      </c>
      <c r="D20" s="73">
        <f aca="true" t="shared" si="8" ref="D20:D37">SUM(B20:C20)</f>
        <v>4154</v>
      </c>
      <c r="E20" s="71">
        <v>6511</v>
      </c>
      <c r="F20" s="72">
        <v>90</v>
      </c>
      <c r="G20" s="97">
        <f aca="true" t="shared" si="9" ref="G20:G37">SUM(E20:F20)</f>
        <v>6601</v>
      </c>
      <c r="H20" s="98">
        <f t="shared" si="2"/>
        <v>2447</v>
      </c>
      <c r="I20" s="99">
        <f t="shared" si="5"/>
        <v>1.5890707751564757</v>
      </c>
      <c r="J20" s="76">
        <f>5540-300</f>
        <v>5240</v>
      </c>
      <c r="K20" s="72"/>
      <c r="L20" s="100">
        <f aca="true" t="shared" si="10" ref="L20:L37">SUM(J20:K20)</f>
        <v>5240</v>
      </c>
      <c r="M20" s="98">
        <f t="shared" si="4"/>
        <v>-1361</v>
      </c>
      <c r="N20" s="101">
        <f t="shared" si="6"/>
        <v>0.7938191183154067</v>
      </c>
    </row>
    <row r="21" spans="1:14" ht="21" customHeight="1">
      <c r="A21" s="82" t="s">
        <v>184</v>
      </c>
      <c r="B21" s="71">
        <v>286</v>
      </c>
      <c r="C21" s="72">
        <v>2</v>
      </c>
      <c r="D21" s="73">
        <f t="shared" si="8"/>
        <v>288</v>
      </c>
      <c r="E21" s="71">
        <v>2000</v>
      </c>
      <c r="F21" s="72"/>
      <c r="G21" s="97">
        <f t="shared" si="9"/>
        <v>2000</v>
      </c>
      <c r="H21" s="74">
        <f t="shared" si="2"/>
        <v>1712</v>
      </c>
      <c r="I21" s="75">
        <f t="shared" si="5"/>
        <v>6.944444444444445</v>
      </c>
      <c r="J21" s="76">
        <f>800-300</f>
        <v>500</v>
      </c>
      <c r="K21" s="72"/>
      <c r="L21" s="100">
        <f t="shared" si="10"/>
        <v>500</v>
      </c>
      <c r="M21" s="74">
        <f t="shared" si="4"/>
        <v>-1500</v>
      </c>
      <c r="N21" s="77">
        <f t="shared" si="6"/>
        <v>0.25</v>
      </c>
    </row>
    <row r="22" spans="1:14" ht="13.5" customHeight="1">
      <c r="A22" s="78" t="s">
        <v>185</v>
      </c>
      <c r="B22" s="79">
        <v>1934</v>
      </c>
      <c r="C22" s="80">
        <v>8</v>
      </c>
      <c r="D22" s="73">
        <f t="shared" si="8"/>
        <v>1942</v>
      </c>
      <c r="E22" s="79">
        <v>2217</v>
      </c>
      <c r="F22" s="80"/>
      <c r="G22" s="97">
        <f t="shared" si="9"/>
        <v>2217</v>
      </c>
      <c r="H22" s="74">
        <f t="shared" si="2"/>
        <v>275</v>
      </c>
      <c r="I22" s="75">
        <f t="shared" si="5"/>
        <v>1.1416065911431514</v>
      </c>
      <c r="J22" s="81">
        <v>2655</v>
      </c>
      <c r="K22" s="80"/>
      <c r="L22" s="100">
        <f t="shared" si="10"/>
        <v>2655</v>
      </c>
      <c r="M22" s="74">
        <f t="shared" si="4"/>
        <v>438</v>
      </c>
      <c r="N22" s="77">
        <f t="shared" si="6"/>
        <v>1.1975642760487144</v>
      </c>
    </row>
    <row r="23" spans="1:14" ht="13.5" customHeight="1">
      <c r="A23" s="82" t="s">
        <v>186</v>
      </c>
      <c r="B23" s="79"/>
      <c r="C23" s="80"/>
      <c r="D23" s="73">
        <f t="shared" si="8"/>
        <v>0</v>
      </c>
      <c r="E23" s="79"/>
      <c r="F23" s="80"/>
      <c r="G23" s="97">
        <f t="shared" si="9"/>
        <v>0</v>
      </c>
      <c r="H23" s="74">
        <f t="shared" si="2"/>
        <v>0</v>
      </c>
      <c r="I23" s="75"/>
      <c r="J23" s="81"/>
      <c r="K23" s="80"/>
      <c r="L23" s="100">
        <f t="shared" si="10"/>
        <v>0</v>
      </c>
      <c r="M23" s="74">
        <f t="shared" si="4"/>
        <v>0</v>
      </c>
      <c r="N23" s="77"/>
    </row>
    <row r="24" spans="1:14" ht="13.5" customHeight="1">
      <c r="A24" s="78" t="s">
        <v>298</v>
      </c>
      <c r="B24" s="79"/>
      <c r="C24" s="80"/>
      <c r="D24" s="73">
        <f t="shared" si="8"/>
        <v>0</v>
      </c>
      <c r="E24" s="79">
        <v>14</v>
      </c>
      <c r="F24" s="80"/>
      <c r="G24" s="97">
        <f t="shared" si="9"/>
        <v>14</v>
      </c>
      <c r="H24" s="74">
        <f t="shared" si="2"/>
        <v>14</v>
      </c>
      <c r="I24" s="75"/>
      <c r="J24" s="81">
        <v>22</v>
      </c>
      <c r="K24" s="80"/>
      <c r="L24" s="100">
        <f t="shared" si="10"/>
        <v>22</v>
      </c>
      <c r="M24" s="74">
        <f t="shared" si="4"/>
        <v>8</v>
      </c>
      <c r="N24" s="77">
        <f aca="true" t="shared" si="11" ref="N24:N38">+L24/G24</f>
        <v>1.5714285714285714</v>
      </c>
    </row>
    <row r="25" spans="1:14" ht="13.5" customHeight="1">
      <c r="A25" s="78" t="s">
        <v>187</v>
      </c>
      <c r="B25" s="81">
        <v>1204</v>
      </c>
      <c r="C25" s="80">
        <v>2</v>
      </c>
      <c r="D25" s="73">
        <f t="shared" si="8"/>
        <v>1206</v>
      </c>
      <c r="E25" s="81">
        <v>6552</v>
      </c>
      <c r="F25" s="80">
        <v>2</v>
      </c>
      <c r="G25" s="97">
        <f t="shared" si="9"/>
        <v>6554</v>
      </c>
      <c r="H25" s="74">
        <f t="shared" si="2"/>
        <v>5348</v>
      </c>
      <c r="I25" s="75">
        <f aca="true" t="shared" si="12" ref="I25:I38">+G25/D25</f>
        <v>5.434494195688226</v>
      </c>
      <c r="J25" s="81">
        <v>1650</v>
      </c>
      <c r="K25" s="80"/>
      <c r="L25" s="100">
        <f t="shared" si="10"/>
        <v>1650</v>
      </c>
      <c r="M25" s="74">
        <f t="shared" si="4"/>
        <v>-4904</v>
      </c>
      <c r="N25" s="77">
        <f t="shared" si="11"/>
        <v>0.251754653646628</v>
      </c>
    </row>
    <row r="26" spans="1:14" ht="13.5" customHeight="1">
      <c r="A26" s="82" t="s">
        <v>188</v>
      </c>
      <c r="B26" s="79">
        <v>145</v>
      </c>
      <c r="C26" s="80">
        <v>2</v>
      </c>
      <c r="D26" s="73">
        <f t="shared" si="8"/>
        <v>147</v>
      </c>
      <c r="E26" s="79">
        <v>5689</v>
      </c>
      <c r="F26" s="80">
        <v>2</v>
      </c>
      <c r="G26" s="97">
        <f t="shared" si="9"/>
        <v>5691</v>
      </c>
      <c r="H26" s="74">
        <f t="shared" si="2"/>
        <v>5544</v>
      </c>
      <c r="I26" s="75">
        <f t="shared" si="12"/>
        <v>38.714285714285715</v>
      </c>
      <c r="J26" s="102">
        <v>800</v>
      </c>
      <c r="K26" s="80"/>
      <c r="L26" s="100">
        <f t="shared" si="10"/>
        <v>800</v>
      </c>
      <c r="M26" s="74">
        <f t="shared" si="4"/>
        <v>-4891</v>
      </c>
      <c r="N26" s="77">
        <f t="shared" si="11"/>
        <v>0.14057283429977158</v>
      </c>
    </row>
    <row r="27" spans="1:14" ht="13.5" customHeight="1">
      <c r="A27" s="78" t="s">
        <v>189</v>
      </c>
      <c r="B27" s="79">
        <v>1059</v>
      </c>
      <c r="C27" s="80"/>
      <c r="D27" s="73">
        <f t="shared" si="8"/>
        <v>1059</v>
      </c>
      <c r="E27" s="79">
        <v>863</v>
      </c>
      <c r="F27" s="80"/>
      <c r="G27" s="97">
        <f t="shared" si="9"/>
        <v>863</v>
      </c>
      <c r="H27" s="74">
        <f t="shared" si="2"/>
        <v>-196</v>
      </c>
      <c r="I27" s="75">
        <f t="shared" si="12"/>
        <v>0.8149197355996223</v>
      </c>
      <c r="J27" s="102">
        <v>850</v>
      </c>
      <c r="K27" s="80"/>
      <c r="L27" s="100">
        <f t="shared" si="10"/>
        <v>850</v>
      </c>
      <c r="M27" s="74">
        <f t="shared" si="4"/>
        <v>-13</v>
      </c>
      <c r="N27" s="77">
        <f t="shared" si="11"/>
        <v>0.984936268829664</v>
      </c>
    </row>
    <row r="28" spans="1:14" ht="13.5" customHeight="1">
      <c r="A28" s="103" t="s">
        <v>190</v>
      </c>
      <c r="B28" s="81">
        <v>18225</v>
      </c>
      <c r="C28" s="80">
        <v>35</v>
      </c>
      <c r="D28" s="73">
        <f t="shared" si="8"/>
        <v>18260</v>
      </c>
      <c r="E28" s="81">
        <f>E29+E32</f>
        <v>21004</v>
      </c>
      <c r="F28" s="80"/>
      <c r="G28" s="97">
        <f t="shared" si="9"/>
        <v>21004</v>
      </c>
      <c r="H28" s="74">
        <f t="shared" si="2"/>
        <v>2744</v>
      </c>
      <c r="I28" s="75">
        <f t="shared" si="12"/>
        <v>1.1502738225629792</v>
      </c>
      <c r="J28" s="81">
        <v>24893</v>
      </c>
      <c r="K28" s="80"/>
      <c r="L28" s="100">
        <f t="shared" si="10"/>
        <v>24893</v>
      </c>
      <c r="M28" s="74">
        <f t="shared" si="4"/>
        <v>3889</v>
      </c>
      <c r="N28" s="77">
        <f t="shared" si="11"/>
        <v>1.1851552085317083</v>
      </c>
    </row>
    <row r="29" spans="1:14" ht="13.5" customHeight="1">
      <c r="A29" s="82" t="s">
        <v>191</v>
      </c>
      <c r="B29" s="79">
        <v>13239</v>
      </c>
      <c r="C29" s="80">
        <v>26</v>
      </c>
      <c r="D29" s="73">
        <f t="shared" si="8"/>
        <v>13265</v>
      </c>
      <c r="E29" s="79">
        <v>15603</v>
      </c>
      <c r="F29" s="80">
        <v>36</v>
      </c>
      <c r="G29" s="97">
        <f t="shared" si="9"/>
        <v>15639</v>
      </c>
      <c r="H29" s="74">
        <f t="shared" si="2"/>
        <v>2374</v>
      </c>
      <c r="I29" s="75">
        <f t="shared" si="12"/>
        <v>1.1789672069355446</v>
      </c>
      <c r="J29" s="102">
        <v>18170</v>
      </c>
      <c r="K29" s="104"/>
      <c r="L29" s="100">
        <f t="shared" si="10"/>
        <v>18170</v>
      </c>
      <c r="M29" s="74">
        <f t="shared" si="4"/>
        <v>2531</v>
      </c>
      <c r="N29" s="77">
        <f t="shared" si="11"/>
        <v>1.1618389922629324</v>
      </c>
    </row>
    <row r="30" spans="1:14" ht="13.5" customHeight="1">
      <c r="A30" s="103" t="s">
        <v>192</v>
      </c>
      <c r="B30" s="79">
        <v>13113</v>
      </c>
      <c r="C30" s="80">
        <v>26</v>
      </c>
      <c r="D30" s="73">
        <f t="shared" si="8"/>
        <v>13139</v>
      </c>
      <c r="E30" s="79">
        <v>15367</v>
      </c>
      <c r="F30" s="80">
        <v>35</v>
      </c>
      <c r="G30" s="97">
        <f t="shared" si="9"/>
        <v>15402</v>
      </c>
      <c r="H30" s="74">
        <f t="shared" si="2"/>
        <v>2263</v>
      </c>
      <c r="I30" s="75">
        <f t="shared" si="12"/>
        <v>1.1722353299337849</v>
      </c>
      <c r="J30" s="81">
        <v>18000</v>
      </c>
      <c r="K30" s="80"/>
      <c r="L30" s="100">
        <f t="shared" si="10"/>
        <v>18000</v>
      </c>
      <c r="M30" s="74">
        <f t="shared" si="4"/>
        <v>2598</v>
      </c>
      <c r="N30" s="77">
        <f t="shared" si="11"/>
        <v>1.168679392286716</v>
      </c>
    </row>
    <row r="31" spans="1:14" ht="13.5" customHeight="1">
      <c r="A31" s="82" t="s">
        <v>193</v>
      </c>
      <c r="B31" s="79">
        <v>126</v>
      </c>
      <c r="C31" s="80"/>
      <c r="D31" s="73">
        <f t="shared" si="8"/>
        <v>126</v>
      </c>
      <c r="E31" s="79">
        <v>236</v>
      </c>
      <c r="F31" s="80"/>
      <c r="G31" s="97">
        <f t="shared" si="9"/>
        <v>236</v>
      </c>
      <c r="H31" s="74">
        <f t="shared" si="2"/>
        <v>110</v>
      </c>
      <c r="I31" s="75">
        <f t="shared" si="12"/>
        <v>1.873015873015873</v>
      </c>
      <c r="J31" s="81">
        <v>170</v>
      </c>
      <c r="K31" s="80"/>
      <c r="L31" s="100">
        <f t="shared" si="10"/>
        <v>170</v>
      </c>
      <c r="M31" s="74">
        <f t="shared" si="4"/>
        <v>-66</v>
      </c>
      <c r="N31" s="77">
        <f t="shared" si="11"/>
        <v>0.7203389830508474</v>
      </c>
    </row>
    <row r="32" spans="1:14" ht="13.5" customHeight="1">
      <c r="A32" s="82" t="s">
        <v>194</v>
      </c>
      <c r="B32" s="79">
        <v>4986</v>
      </c>
      <c r="C32" s="80">
        <v>9</v>
      </c>
      <c r="D32" s="73">
        <f t="shared" si="8"/>
        <v>4995</v>
      </c>
      <c r="E32" s="79">
        <v>5401</v>
      </c>
      <c r="F32" s="80">
        <v>13</v>
      </c>
      <c r="G32" s="97">
        <f t="shared" si="9"/>
        <v>5414</v>
      </c>
      <c r="H32" s="74">
        <f t="shared" si="2"/>
        <v>419</v>
      </c>
      <c r="I32" s="75">
        <f t="shared" si="12"/>
        <v>1.0838838838838838</v>
      </c>
      <c r="J32" s="81">
        <v>6723</v>
      </c>
      <c r="K32" s="80"/>
      <c r="L32" s="100">
        <f t="shared" si="10"/>
        <v>6723</v>
      </c>
      <c r="M32" s="74">
        <f t="shared" si="4"/>
        <v>1309</v>
      </c>
      <c r="N32" s="77">
        <f t="shared" si="11"/>
        <v>1.2417805688954562</v>
      </c>
    </row>
    <row r="33" spans="1:14" ht="13.5" customHeight="1">
      <c r="A33" s="103" t="s">
        <v>195</v>
      </c>
      <c r="B33" s="79"/>
      <c r="C33" s="80"/>
      <c r="D33" s="73">
        <f t="shared" si="8"/>
        <v>0</v>
      </c>
      <c r="E33" s="79"/>
      <c r="F33" s="80"/>
      <c r="G33" s="97">
        <f t="shared" si="9"/>
        <v>0</v>
      </c>
      <c r="H33" s="74">
        <f t="shared" si="2"/>
        <v>0</v>
      </c>
      <c r="I33" s="75"/>
      <c r="J33" s="81"/>
      <c r="K33" s="80"/>
      <c r="L33" s="100">
        <f t="shared" si="10"/>
        <v>0</v>
      </c>
      <c r="M33" s="74">
        <f t="shared" si="4"/>
        <v>0</v>
      </c>
      <c r="N33" s="77"/>
    </row>
    <row r="34" spans="1:14" ht="13.5" customHeight="1">
      <c r="A34" s="103" t="s">
        <v>196</v>
      </c>
      <c r="B34" s="79">
        <v>154</v>
      </c>
      <c r="C34" s="80"/>
      <c r="D34" s="73">
        <f t="shared" si="8"/>
        <v>154</v>
      </c>
      <c r="E34" s="79">
        <v>366</v>
      </c>
      <c r="F34" s="80"/>
      <c r="G34" s="97">
        <f t="shared" si="9"/>
        <v>366</v>
      </c>
      <c r="H34" s="74">
        <f t="shared" si="2"/>
        <v>212</v>
      </c>
      <c r="I34" s="75">
        <f t="shared" si="12"/>
        <v>2.3766233766233764</v>
      </c>
      <c r="J34" s="81">
        <v>200</v>
      </c>
      <c r="K34" s="80"/>
      <c r="L34" s="100">
        <f t="shared" si="10"/>
        <v>200</v>
      </c>
      <c r="M34" s="74">
        <f t="shared" si="4"/>
        <v>-166</v>
      </c>
      <c r="N34" s="77">
        <f t="shared" si="11"/>
        <v>0.546448087431694</v>
      </c>
    </row>
    <row r="35" spans="1:14" ht="13.5" customHeight="1">
      <c r="A35" s="82" t="s">
        <v>197</v>
      </c>
      <c r="B35" s="79">
        <v>948</v>
      </c>
      <c r="C35" s="80">
        <v>1</v>
      </c>
      <c r="D35" s="73">
        <f t="shared" si="8"/>
        <v>949</v>
      </c>
      <c r="E35" s="79">
        <v>936</v>
      </c>
      <c r="F35" s="80">
        <v>2</v>
      </c>
      <c r="G35" s="97">
        <f t="shared" si="9"/>
        <v>938</v>
      </c>
      <c r="H35" s="74">
        <f t="shared" si="2"/>
        <v>-11</v>
      </c>
      <c r="I35" s="75">
        <f t="shared" si="12"/>
        <v>0.9884088514225501</v>
      </c>
      <c r="J35" s="102">
        <v>930</v>
      </c>
      <c r="K35" s="80"/>
      <c r="L35" s="100">
        <f t="shared" si="10"/>
        <v>930</v>
      </c>
      <c r="M35" s="74">
        <f t="shared" si="4"/>
        <v>-8</v>
      </c>
      <c r="N35" s="77">
        <f t="shared" si="11"/>
        <v>0.9914712153518124</v>
      </c>
    </row>
    <row r="36" spans="1:14" ht="22.5" customHeight="1">
      <c r="A36" s="82" t="s">
        <v>198</v>
      </c>
      <c r="B36" s="79">
        <v>948</v>
      </c>
      <c r="C36" s="80">
        <v>1</v>
      </c>
      <c r="D36" s="73">
        <f t="shared" si="8"/>
        <v>949</v>
      </c>
      <c r="E36" s="79">
        <v>936</v>
      </c>
      <c r="F36" s="80">
        <v>2</v>
      </c>
      <c r="G36" s="97">
        <f t="shared" si="9"/>
        <v>938</v>
      </c>
      <c r="H36" s="74">
        <f t="shared" si="2"/>
        <v>-11</v>
      </c>
      <c r="I36" s="75">
        <f t="shared" si="12"/>
        <v>0.9884088514225501</v>
      </c>
      <c r="J36" s="102">
        <v>930</v>
      </c>
      <c r="K36" s="80"/>
      <c r="L36" s="100">
        <f t="shared" si="10"/>
        <v>930</v>
      </c>
      <c r="M36" s="74">
        <f t="shared" si="4"/>
        <v>-8</v>
      </c>
      <c r="N36" s="77">
        <f t="shared" si="11"/>
        <v>0.9914712153518124</v>
      </c>
    </row>
    <row r="37" spans="1:14" ht="13.5" customHeight="1" thickBot="1">
      <c r="A37" s="105" t="s">
        <v>199</v>
      </c>
      <c r="B37" s="83"/>
      <c r="C37" s="84"/>
      <c r="D37" s="73">
        <f t="shared" si="8"/>
        <v>0</v>
      </c>
      <c r="E37" s="83"/>
      <c r="F37" s="84"/>
      <c r="G37" s="97">
        <f t="shared" si="9"/>
        <v>0</v>
      </c>
      <c r="H37" s="85">
        <f t="shared" si="2"/>
        <v>0</v>
      </c>
      <c r="I37" s="86"/>
      <c r="J37" s="106"/>
      <c r="K37" s="84"/>
      <c r="L37" s="100">
        <f t="shared" si="10"/>
        <v>0</v>
      </c>
      <c r="M37" s="85">
        <f t="shared" si="4"/>
        <v>0</v>
      </c>
      <c r="N37" s="87"/>
    </row>
    <row r="38" spans="1:14" ht="13.5" customHeight="1" thickBot="1">
      <c r="A38" s="88" t="s">
        <v>200</v>
      </c>
      <c r="B38" s="89">
        <f>SUM(B20+B22+B23+B24+B25+B28+B33+B34+B35+B37)</f>
        <v>26525</v>
      </c>
      <c r="C38" s="90">
        <f>SUM(C20+C22+C23+C24+C25+C28+C33+C34+C35+C37)</f>
        <v>140</v>
      </c>
      <c r="D38" s="91">
        <f>SUM(D20+D22+D23+D24+D25+D28+D33+D34+D35+D37)</f>
        <v>26665</v>
      </c>
      <c r="E38" s="89">
        <v>38028</v>
      </c>
      <c r="F38" s="90">
        <v>153</v>
      </c>
      <c r="G38" s="91">
        <v>38181</v>
      </c>
      <c r="H38" s="92">
        <f t="shared" si="2"/>
        <v>11516</v>
      </c>
      <c r="I38" s="93">
        <f t="shared" si="12"/>
        <v>1.4318769923120196</v>
      </c>
      <c r="J38" s="94">
        <f>SUM(J20+J22+J23+J24+J25+J28+J33+J34+J35+J37)</f>
        <v>35590</v>
      </c>
      <c r="K38" s="90">
        <f>SUM(K20+K22+K23+K24+K25+K28+K33+K34+K35+K37)</f>
        <v>0</v>
      </c>
      <c r="L38" s="91">
        <f>SUM(L20+L22+L23+L24+L25+L28+L33+L34+L35+L37)</f>
        <v>35590</v>
      </c>
      <c r="M38" s="92">
        <f t="shared" si="4"/>
        <v>-2591</v>
      </c>
      <c r="N38" s="95">
        <f t="shared" si="11"/>
        <v>0.9321390220266624</v>
      </c>
    </row>
    <row r="39" spans="1:14" ht="13.5" customHeight="1" thickBot="1">
      <c r="A39" s="88" t="s">
        <v>201</v>
      </c>
      <c r="B39" s="787">
        <f>+D19-D38</f>
        <v>1</v>
      </c>
      <c r="C39" s="787"/>
      <c r="D39" s="787"/>
      <c r="E39" s="787">
        <f>+G19-G38</f>
        <v>417</v>
      </c>
      <c r="F39" s="787"/>
      <c r="G39" s="787">
        <v>-50784</v>
      </c>
      <c r="H39" s="107"/>
      <c r="I39" s="108"/>
      <c r="J39" s="789">
        <f>+L19-L38</f>
        <v>-1228</v>
      </c>
      <c r="K39" s="789"/>
      <c r="L39" s="789">
        <v>0</v>
      </c>
      <c r="M39" s="92"/>
      <c r="N39" s="95"/>
    </row>
    <row r="40" spans="1:16" ht="20.25" customHeight="1" thickBot="1">
      <c r="A40" s="109" t="s">
        <v>202</v>
      </c>
      <c r="B40" s="787"/>
      <c r="C40" s="787"/>
      <c r="D40" s="787"/>
      <c r="E40" s="787"/>
      <c r="F40" s="787"/>
      <c r="G40" s="787"/>
      <c r="H40"/>
      <c r="I40"/>
      <c r="J40"/>
      <c r="K40"/>
      <c r="L40"/>
      <c r="M40"/>
      <c r="N40"/>
      <c r="O40"/>
      <c r="P40"/>
    </row>
    <row r="41" spans="2:8" ht="14.25" customHeight="1" thickBot="1">
      <c r="B41" s="7"/>
      <c r="C41" s="7"/>
      <c r="D41" s="16"/>
      <c r="E41" s="7"/>
      <c r="F41" s="7"/>
      <c r="G41" s="7"/>
      <c r="H41" s="7"/>
    </row>
    <row r="42" spans="1:16" ht="13.5" thickBot="1">
      <c r="A42" s="805" t="s">
        <v>312</v>
      </c>
      <c r="B42" s="805"/>
      <c r="C42" s="799" t="s">
        <v>203</v>
      </c>
      <c r="D42" s="805" t="s">
        <v>420</v>
      </c>
      <c r="E42" s="805"/>
      <c r="F42" s="805"/>
      <c r="G42" s="799" t="s">
        <v>203</v>
      </c>
      <c r="H42" s="785" t="s">
        <v>421</v>
      </c>
      <c r="I42" s="785"/>
      <c r="J42" s="785"/>
      <c r="K42" s="785"/>
      <c r="L42" s="799" t="s">
        <v>203</v>
      </c>
      <c r="O42"/>
      <c r="P42"/>
    </row>
    <row r="43" spans="1:16" ht="13.5" thickBot="1">
      <c r="A43" s="922"/>
      <c r="B43" s="922"/>
      <c r="C43" s="810"/>
      <c r="D43" s="922"/>
      <c r="E43" s="922"/>
      <c r="F43" s="922"/>
      <c r="G43" s="810"/>
      <c r="H43" s="786"/>
      <c r="I43" s="786"/>
      <c r="J43" s="786"/>
      <c r="K43" s="786"/>
      <c r="L43" s="810"/>
      <c r="O43"/>
      <c r="P43"/>
    </row>
    <row r="44" spans="1:16" ht="12.75">
      <c r="A44" s="918" t="s">
        <v>265</v>
      </c>
      <c r="B44" s="919"/>
      <c r="C44" s="572">
        <v>598</v>
      </c>
      <c r="D44" s="918" t="s">
        <v>260</v>
      </c>
      <c r="E44" s="919"/>
      <c r="F44" s="919"/>
      <c r="G44" s="575">
        <v>156</v>
      </c>
      <c r="H44" s="924" t="s">
        <v>454</v>
      </c>
      <c r="I44" s="925"/>
      <c r="J44" s="925"/>
      <c r="K44" s="925"/>
      <c r="L44" s="579">
        <v>200</v>
      </c>
      <c r="O44"/>
      <c r="P44"/>
    </row>
    <row r="45" spans="1:16" ht="12.75">
      <c r="A45" s="920" t="s">
        <v>250</v>
      </c>
      <c r="B45" s="921"/>
      <c r="C45" s="573">
        <v>334</v>
      </c>
      <c r="D45" s="920" t="s">
        <v>326</v>
      </c>
      <c r="E45" s="921"/>
      <c r="F45" s="921"/>
      <c r="G45" s="576">
        <v>49</v>
      </c>
      <c r="H45" s="923" t="s">
        <v>455</v>
      </c>
      <c r="I45" s="796"/>
      <c r="J45" s="796"/>
      <c r="K45" s="796"/>
      <c r="L45" s="580">
        <v>150</v>
      </c>
      <c r="O45"/>
      <c r="P45"/>
    </row>
    <row r="46" spans="1:16" ht="12.75">
      <c r="A46" s="920"/>
      <c r="B46" s="921"/>
      <c r="C46" s="573"/>
      <c r="D46" s="920" t="s">
        <v>456</v>
      </c>
      <c r="E46" s="921"/>
      <c r="F46" s="921"/>
      <c r="G46" s="576">
        <v>144</v>
      </c>
      <c r="H46" s="923" t="s">
        <v>457</v>
      </c>
      <c r="I46" s="796"/>
      <c r="J46" s="796"/>
      <c r="K46" s="796"/>
      <c r="L46" s="580">
        <v>130</v>
      </c>
      <c r="O46"/>
      <c r="P46"/>
    </row>
    <row r="47" spans="1:16" ht="12.75">
      <c r="A47" s="920"/>
      <c r="B47" s="921"/>
      <c r="C47" s="573"/>
      <c r="D47" s="920" t="s">
        <v>250</v>
      </c>
      <c r="E47" s="921"/>
      <c r="F47" s="921"/>
      <c r="G47" s="576">
        <v>350</v>
      </c>
      <c r="H47" s="923" t="s">
        <v>458</v>
      </c>
      <c r="I47" s="796"/>
      <c r="J47" s="796"/>
      <c r="K47" s="796"/>
      <c r="L47" s="580">
        <v>350</v>
      </c>
      <c r="O47"/>
      <c r="P47"/>
    </row>
    <row r="48" spans="1:16" ht="12.75">
      <c r="A48" s="920"/>
      <c r="B48" s="921"/>
      <c r="C48" s="573"/>
      <c r="D48" s="920"/>
      <c r="E48" s="921"/>
      <c r="F48" s="921"/>
      <c r="G48" s="576"/>
      <c r="H48" s="923" t="s">
        <v>303</v>
      </c>
      <c r="I48" s="796"/>
      <c r="J48" s="796"/>
      <c r="K48" s="796"/>
      <c r="L48" s="580">
        <v>100</v>
      </c>
      <c r="O48"/>
      <c r="P48"/>
    </row>
    <row r="49" spans="1:16" ht="12.75">
      <c r="A49" s="920"/>
      <c r="B49" s="921"/>
      <c r="C49" s="573"/>
      <c r="D49" s="920"/>
      <c r="E49" s="921"/>
      <c r="F49" s="921"/>
      <c r="G49" s="576"/>
      <c r="H49" s="923" t="s">
        <v>459</v>
      </c>
      <c r="I49" s="796"/>
      <c r="J49" s="796"/>
      <c r="K49" s="796"/>
      <c r="L49" s="580">
        <v>150</v>
      </c>
      <c r="O49"/>
      <c r="P49"/>
    </row>
    <row r="50" spans="1:16" ht="12.75">
      <c r="A50" s="920"/>
      <c r="B50" s="921"/>
      <c r="C50" s="573"/>
      <c r="D50" s="920"/>
      <c r="E50" s="921"/>
      <c r="F50" s="921"/>
      <c r="G50" s="576"/>
      <c r="H50" s="923" t="s">
        <v>460</v>
      </c>
      <c r="I50" s="796"/>
      <c r="J50" s="796"/>
      <c r="K50" s="796"/>
      <c r="L50" s="580">
        <f>200-11</f>
        <v>189</v>
      </c>
      <c r="O50"/>
      <c r="P50"/>
    </row>
    <row r="51" spans="1:16" ht="12.75">
      <c r="A51" s="920"/>
      <c r="B51" s="921"/>
      <c r="C51" s="573"/>
      <c r="D51" s="920"/>
      <c r="E51" s="921"/>
      <c r="F51" s="921"/>
      <c r="G51" s="576"/>
      <c r="H51" s="923" t="s">
        <v>126</v>
      </c>
      <c r="I51" s="796"/>
      <c r="J51" s="796"/>
      <c r="K51" s="796"/>
      <c r="L51" s="580">
        <v>600</v>
      </c>
      <c r="O51"/>
      <c r="P51"/>
    </row>
    <row r="52" spans="1:16" ht="12.75">
      <c r="A52" s="920"/>
      <c r="B52" s="921"/>
      <c r="C52" s="573"/>
      <c r="D52" s="920"/>
      <c r="E52" s="921"/>
      <c r="F52" s="921"/>
      <c r="G52" s="576"/>
      <c r="H52" s="923" t="s">
        <v>247</v>
      </c>
      <c r="I52" s="796"/>
      <c r="J52" s="796"/>
      <c r="K52" s="796"/>
      <c r="L52" s="580">
        <v>350</v>
      </c>
      <c r="O52"/>
      <c r="P52"/>
    </row>
    <row r="53" spans="1:16" ht="12.75">
      <c r="A53" s="920"/>
      <c r="B53" s="921"/>
      <c r="C53" s="573"/>
      <c r="D53" s="920"/>
      <c r="E53" s="921"/>
      <c r="F53" s="921"/>
      <c r="G53" s="576"/>
      <c r="H53" s="802" t="s">
        <v>462</v>
      </c>
      <c r="I53" s="802"/>
      <c r="J53" s="802"/>
      <c r="K53" s="802"/>
      <c r="L53" s="112">
        <v>200</v>
      </c>
      <c r="O53"/>
      <c r="P53"/>
    </row>
    <row r="54" spans="1:16" ht="13.5" thickBot="1">
      <c r="A54" s="926"/>
      <c r="B54" s="927"/>
      <c r="C54" s="574"/>
      <c r="D54" s="926"/>
      <c r="E54" s="927"/>
      <c r="F54" s="927"/>
      <c r="G54" s="577"/>
      <c r="H54" s="776" t="s">
        <v>464</v>
      </c>
      <c r="I54" s="776"/>
      <c r="J54" s="776"/>
      <c r="K54" s="776"/>
      <c r="L54" s="120">
        <v>200</v>
      </c>
      <c r="O54"/>
      <c r="P54"/>
    </row>
    <row r="55" spans="1:16" ht="13.5" thickBot="1">
      <c r="A55" s="812"/>
      <c r="B55" s="812"/>
      <c r="C55" s="468">
        <f>SUM(C44:C50)</f>
        <v>932</v>
      </c>
      <c r="D55" s="812" t="s">
        <v>168</v>
      </c>
      <c r="E55" s="812"/>
      <c r="F55" s="812"/>
      <c r="G55" s="468">
        <f>SUM(G44:G50)</f>
        <v>699</v>
      </c>
      <c r="H55" s="813" t="s">
        <v>168</v>
      </c>
      <c r="I55" s="813"/>
      <c r="J55" s="813"/>
      <c r="K55" s="813"/>
      <c r="L55" s="468">
        <f>SUM(L44:L54)</f>
        <v>2619</v>
      </c>
      <c r="M55" s="17"/>
      <c r="N55" s="17"/>
      <c r="O55"/>
      <c r="P55"/>
    </row>
    <row r="56" spans="1:16" s="1" customFormat="1" ht="13.5" customHeight="1" thickBot="1">
      <c r="A56" s="18"/>
      <c r="B56" s="5"/>
      <c r="C56" s="5"/>
      <c r="D56" s="5"/>
      <c r="E56" s="5"/>
      <c r="F56" s="5"/>
      <c r="G56" s="5"/>
      <c r="H56" s="6"/>
      <c r="I56" s="3"/>
      <c r="J56" s="3"/>
      <c r="K56" s="3"/>
      <c r="L56" s="3"/>
      <c r="M56" s="3"/>
      <c r="N56" s="3"/>
      <c r="O56" s="3"/>
      <c r="P56" s="3"/>
    </row>
    <row r="57" spans="1:16" ht="13.5" thickBot="1">
      <c r="A57" s="866" t="s">
        <v>429</v>
      </c>
      <c r="B57" s="867"/>
      <c r="C57" s="869" t="s">
        <v>203</v>
      </c>
      <c r="D57" s="806" t="s">
        <v>430</v>
      </c>
      <c r="E57" s="806"/>
      <c r="F57" s="806"/>
      <c r="G57" s="798" t="s">
        <v>203</v>
      </c>
      <c r="H57" s="785" t="s">
        <v>431</v>
      </c>
      <c r="I57" s="785"/>
      <c r="J57" s="785"/>
      <c r="K57" s="785"/>
      <c r="L57" s="799" t="s">
        <v>203</v>
      </c>
      <c r="O57"/>
      <c r="P57"/>
    </row>
    <row r="58" spans="1:16" ht="13.5" thickBot="1">
      <c r="A58" s="868"/>
      <c r="B58" s="805"/>
      <c r="C58" s="870"/>
      <c r="D58" s="806"/>
      <c r="E58" s="806"/>
      <c r="F58" s="806"/>
      <c r="G58" s="798"/>
      <c r="H58" s="785"/>
      <c r="I58" s="785"/>
      <c r="J58" s="785"/>
      <c r="K58" s="785"/>
      <c r="L58" s="799"/>
      <c r="O58"/>
      <c r="P58"/>
    </row>
    <row r="59" spans="1:16" ht="12.75">
      <c r="A59" s="871" t="s">
        <v>461</v>
      </c>
      <c r="B59" s="803"/>
      <c r="C59" s="201">
        <v>147</v>
      </c>
      <c r="D59" s="804" t="s">
        <v>278</v>
      </c>
      <c r="E59" s="804"/>
      <c r="F59" s="804"/>
      <c r="G59" s="118">
        <v>4726</v>
      </c>
      <c r="H59" s="802" t="s">
        <v>462</v>
      </c>
      <c r="I59" s="802"/>
      <c r="J59" s="802"/>
      <c r="K59" s="802"/>
      <c r="L59" s="112">
        <v>200</v>
      </c>
      <c r="O59"/>
      <c r="P59"/>
    </row>
    <row r="60" spans="1:16" ht="13.5" customHeight="1">
      <c r="A60" s="872"/>
      <c r="B60" s="781"/>
      <c r="C60" s="202"/>
      <c r="D60" s="782" t="s">
        <v>463</v>
      </c>
      <c r="E60" s="782"/>
      <c r="F60" s="782"/>
      <c r="G60" s="119">
        <v>403</v>
      </c>
      <c r="H60" s="776" t="s">
        <v>464</v>
      </c>
      <c r="I60" s="776"/>
      <c r="J60" s="776"/>
      <c r="K60" s="776"/>
      <c r="L60" s="120">
        <v>200</v>
      </c>
      <c r="O60"/>
      <c r="P60"/>
    </row>
    <row r="61" spans="1:16" ht="13.5" customHeight="1">
      <c r="A61" s="872"/>
      <c r="B61" s="781"/>
      <c r="C61" s="202"/>
      <c r="D61" s="782" t="s">
        <v>465</v>
      </c>
      <c r="E61" s="782"/>
      <c r="F61" s="782"/>
      <c r="G61" s="119">
        <v>416</v>
      </c>
      <c r="H61" s="776" t="s">
        <v>271</v>
      </c>
      <c r="I61" s="776"/>
      <c r="J61" s="776"/>
      <c r="K61" s="776"/>
      <c r="L61" s="120">
        <v>400</v>
      </c>
      <c r="O61"/>
      <c r="P61"/>
    </row>
    <row r="62" spans="1:16" ht="13.5" customHeight="1">
      <c r="A62" s="872"/>
      <c r="B62" s="781"/>
      <c r="C62" s="202"/>
      <c r="D62" s="782" t="s">
        <v>466</v>
      </c>
      <c r="E62" s="782"/>
      <c r="F62" s="782"/>
      <c r="G62" s="119">
        <v>146</v>
      </c>
      <c r="H62" s="776"/>
      <c r="I62" s="776"/>
      <c r="J62" s="776"/>
      <c r="K62" s="776"/>
      <c r="L62" s="120"/>
      <c r="O62"/>
      <c r="P62"/>
    </row>
    <row r="63" spans="1:16" ht="13.5" customHeight="1">
      <c r="A63" s="872"/>
      <c r="B63" s="781"/>
      <c r="C63" s="203"/>
      <c r="D63" s="782"/>
      <c r="E63" s="782"/>
      <c r="F63" s="782"/>
      <c r="G63" s="121"/>
      <c r="H63" s="776"/>
      <c r="I63" s="776"/>
      <c r="J63" s="776"/>
      <c r="K63" s="776"/>
      <c r="L63" s="122"/>
      <c r="O63"/>
      <c r="P63"/>
    </row>
    <row r="64" spans="1:16" ht="13.5" customHeight="1">
      <c r="A64" s="872"/>
      <c r="B64" s="781"/>
      <c r="C64" s="203"/>
      <c r="D64" s="782"/>
      <c r="E64" s="782"/>
      <c r="F64" s="782"/>
      <c r="G64" s="121"/>
      <c r="H64" s="776"/>
      <c r="I64" s="776"/>
      <c r="J64" s="776"/>
      <c r="K64" s="776"/>
      <c r="L64" s="122"/>
      <c r="O64"/>
      <c r="P64"/>
    </row>
    <row r="65" spans="1:16" ht="13.5" customHeight="1">
      <c r="A65" s="872"/>
      <c r="B65" s="873"/>
      <c r="C65" s="202"/>
      <c r="D65" s="782"/>
      <c r="E65" s="782"/>
      <c r="F65" s="782"/>
      <c r="G65" s="119"/>
      <c r="H65" s="776"/>
      <c r="I65" s="776"/>
      <c r="J65" s="776"/>
      <c r="K65" s="776"/>
      <c r="L65" s="120"/>
      <c r="O65"/>
      <c r="P65"/>
    </row>
    <row r="66" spans="1:16" ht="13.5" thickBot="1">
      <c r="A66" s="874"/>
      <c r="B66" s="780"/>
      <c r="C66" s="204"/>
      <c r="D66" s="783"/>
      <c r="E66" s="783"/>
      <c r="F66" s="783"/>
      <c r="G66" s="123"/>
      <c r="H66" s="777"/>
      <c r="I66" s="777"/>
      <c r="J66" s="777"/>
      <c r="K66" s="777"/>
      <c r="L66" s="124"/>
      <c r="O66"/>
      <c r="P66"/>
    </row>
    <row r="67" spans="1:16" ht="13.5" thickBot="1">
      <c r="A67" s="877" t="s">
        <v>168</v>
      </c>
      <c r="B67" s="878"/>
      <c r="C67" s="205">
        <f>SUM(C59:C66)</f>
        <v>147</v>
      </c>
      <c r="D67" s="784" t="s">
        <v>168</v>
      </c>
      <c r="E67" s="784"/>
      <c r="F67" s="784"/>
      <c r="G67" s="125">
        <f>SUM(G59:G66)</f>
        <v>5691</v>
      </c>
      <c r="H67" s="778" t="s">
        <v>168</v>
      </c>
      <c r="I67" s="778"/>
      <c r="J67" s="778"/>
      <c r="K67" s="778"/>
      <c r="L67" s="117">
        <f>SUM(L59:L66)</f>
        <v>800</v>
      </c>
      <c r="M67" s="17"/>
      <c r="N67" s="17"/>
      <c r="O67"/>
      <c r="P67"/>
    </row>
    <row r="68" spans="1:14" s="1" customFormat="1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s="1" customFormat="1" ht="13.5" thickBo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s="3" customFormat="1" ht="26.25" customHeight="1" thickBot="1">
      <c r="A70" s="833" t="s">
        <v>106</v>
      </c>
      <c r="B70" s="834"/>
      <c r="C70" s="834"/>
      <c r="D70" s="834"/>
      <c r="E70" s="835"/>
      <c r="F70" s="836" t="s">
        <v>107</v>
      </c>
      <c r="G70" s="914"/>
      <c r="H70" s="914"/>
      <c r="I70" s="914"/>
      <c r="J70" s="914"/>
      <c r="K70" s="914"/>
      <c r="L70" s="915"/>
      <c r="M70" s="19"/>
      <c r="N70" s="19"/>
    </row>
    <row r="71" spans="1:14" s="3" customFormat="1" ht="14.25" customHeight="1" thickBot="1">
      <c r="A71" s="417" t="s">
        <v>231</v>
      </c>
      <c r="B71" s="418" t="s">
        <v>96</v>
      </c>
      <c r="C71" s="908" t="s">
        <v>232</v>
      </c>
      <c r="D71" s="908"/>
      <c r="E71" s="419" t="s">
        <v>97</v>
      </c>
      <c r="F71" s="911" t="s">
        <v>231</v>
      </c>
      <c r="G71" s="912"/>
      <c r="H71" s="418" t="s">
        <v>96</v>
      </c>
      <c r="I71" s="908" t="s">
        <v>232</v>
      </c>
      <c r="J71" s="908"/>
      <c r="K71" s="908"/>
      <c r="L71" s="420" t="s">
        <v>97</v>
      </c>
      <c r="M71" s="19"/>
      <c r="N71" s="19"/>
    </row>
    <row r="72" spans="1:14" s="3" customFormat="1" ht="12.75">
      <c r="A72" s="401" t="s">
        <v>98</v>
      </c>
      <c r="B72" s="402">
        <v>310</v>
      </c>
      <c r="C72" s="842" t="s">
        <v>99</v>
      </c>
      <c r="D72" s="842"/>
      <c r="E72" s="403"/>
      <c r="F72" s="843" t="s">
        <v>98</v>
      </c>
      <c r="G72" s="909"/>
      <c r="H72" s="402">
        <v>545</v>
      </c>
      <c r="I72" s="842" t="s">
        <v>99</v>
      </c>
      <c r="J72" s="909"/>
      <c r="K72" s="909"/>
      <c r="L72" s="403">
        <v>400</v>
      </c>
      <c r="M72" s="19"/>
      <c r="N72" s="19"/>
    </row>
    <row r="73" spans="1:14" s="3" customFormat="1" ht="12.75">
      <c r="A73" s="404" t="s">
        <v>100</v>
      </c>
      <c r="B73" s="405"/>
      <c r="C73" s="845" t="s">
        <v>101</v>
      </c>
      <c r="D73" s="845"/>
      <c r="E73" s="406">
        <v>68</v>
      </c>
      <c r="F73" s="846" t="s">
        <v>102</v>
      </c>
      <c r="G73" s="901"/>
      <c r="H73" s="405">
        <v>322</v>
      </c>
      <c r="I73" s="845" t="s">
        <v>101</v>
      </c>
      <c r="J73" s="901"/>
      <c r="K73" s="901"/>
      <c r="L73" s="406">
        <v>100</v>
      </c>
      <c r="M73" s="19"/>
      <c r="N73" s="19"/>
    </row>
    <row r="74" spans="1:14" s="3" customFormat="1" ht="12.75">
      <c r="A74" s="404" t="s">
        <v>103</v>
      </c>
      <c r="B74" s="405">
        <v>303</v>
      </c>
      <c r="C74" s="845"/>
      <c r="D74" s="845"/>
      <c r="E74" s="406"/>
      <c r="F74" s="845" t="s">
        <v>103</v>
      </c>
      <c r="G74" s="845"/>
      <c r="H74" s="405">
        <v>200</v>
      </c>
      <c r="I74" s="845"/>
      <c r="J74" s="901"/>
      <c r="K74" s="901"/>
      <c r="L74" s="406"/>
      <c r="M74" s="19"/>
      <c r="N74" s="19"/>
    </row>
    <row r="75" spans="1:14" s="3" customFormat="1" ht="13.5" thickBot="1">
      <c r="A75" s="407"/>
      <c r="B75" s="408"/>
      <c r="C75" s="848"/>
      <c r="D75" s="848"/>
      <c r="E75" s="409"/>
      <c r="F75" s="849"/>
      <c r="G75" s="910"/>
      <c r="H75" s="408"/>
      <c r="I75" s="848"/>
      <c r="J75" s="910"/>
      <c r="K75" s="910"/>
      <c r="L75" s="409"/>
      <c r="M75" s="19"/>
      <c r="N75" s="19"/>
    </row>
    <row r="76" spans="1:14" s="3" customFormat="1" ht="13.5" thickBot="1">
      <c r="A76" s="410" t="s">
        <v>168</v>
      </c>
      <c r="B76" s="411">
        <f>SUM(B72:B75)</f>
        <v>613</v>
      </c>
      <c r="C76" s="851" t="s">
        <v>168</v>
      </c>
      <c r="D76" s="851"/>
      <c r="E76" s="413">
        <f>SUM(E72:E75)</f>
        <v>68</v>
      </c>
      <c r="F76" s="852" t="s">
        <v>168</v>
      </c>
      <c r="G76" s="913"/>
      <c r="H76" s="412">
        <f>SUM(H72:H75)</f>
        <v>1067</v>
      </c>
      <c r="I76" s="851" t="s">
        <v>168</v>
      </c>
      <c r="J76" s="913"/>
      <c r="K76" s="913"/>
      <c r="L76" s="413">
        <f>SUM(L72:L75)</f>
        <v>500</v>
      </c>
      <c r="M76" s="19"/>
      <c r="N76" s="19"/>
    </row>
    <row r="77" spans="1:14" s="3" customFormat="1" ht="13.5" thickBot="1">
      <c r="A77" s="421" t="s">
        <v>105</v>
      </c>
      <c r="B77" s="413">
        <f>B76-E76</f>
        <v>545</v>
      </c>
      <c r="C77" s="19"/>
      <c r="D77" s="19"/>
      <c r="E77" s="19"/>
      <c r="F77" s="916" t="s">
        <v>105</v>
      </c>
      <c r="G77" s="917"/>
      <c r="H77" s="422">
        <f>H76-L76</f>
        <v>567</v>
      </c>
      <c r="I77" s="19"/>
      <c r="J77" s="19"/>
      <c r="K77" s="19"/>
      <c r="L77" s="19"/>
      <c r="M77" s="19"/>
      <c r="N77" s="19"/>
    </row>
    <row r="78" spans="1:14" s="1" customFormat="1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s="1" customFormat="1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2" s="1" customFormat="1" ht="12.75">
      <c r="A80" s="20"/>
      <c r="B80" s="21"/>
      <c r="C80" s="21"/>
      <c r="D80" s="21"/>
      <c r="E80" s="2"/>
      <c r="F80" s="4"/>
      <c r="G80" s="4"/>
      <c r="H80" s="20"/>
      <c r="I80" s="21"/>
      <c r="J80" s="21"/>
      <c r="K80" s="21"/>
      <c r="L80" s="2"/>
    </row>
    <row r="81" spans="1:12" s="1" customFormat="1" ht="13.5" thickBot="1">
      <c r="A81" s="20"/>
      <c r="B81" s="21"/>
      <c r="C81" s="21"/>
      <c r="D81" s="21"/>
      <c r="E81" s="2"/>
      <c r="F81" s="4"/>
      <c r="G81" s="4"/>
      <c r="H81" s="20"/>
      <c r="I81" s="21"/>
      <c r="J81" s="21" t="s">
        <v>307</v>
      </c>
      <c r="K81" s="21"/>
      <c r="L81" s="2"/>
    </row>
    <row r="82" spans="1:15" s="1" customFormat="1" ht="12.75">
      <c r="A82" s="879" t="s">
        <v>227</v>
      </c>
      <c r="B82" s="882" t="s">
        <v>435</v>
      </c>
      <c r="C82" s="885" t="s">
        <v>436</v>
      </c>
      <c r="D82" s="886"/>
      <c r="E82" s="886"/>
      <c r="F82" s="886"/>
      <c r="G82" s="886"/>
      <c r="H82" s="886"/>
      <c r="I82" s="887"/>
      <c r="J82" s="888" t="s">
        <v>437</v>
      </c>
      <c r="K82" s="7"/>
      <c r="L82" s="864" t="s">
        <v>205</v>
      </c>
      <c r="M82" s="865"/>
      <c r="N82" s="59">
        <v>2006</v>
      </c>
      <c r="O82" s="60">
        <v>2007</v>
      </c>
    </row>
    <row r="83" spans="1:15" s="1" customFormat="1" ht="12.75">
      <c r="A83" s="880"/>
      <c r="B83" s="883"/>
      <c r="C83" s="891" t="s">
        <v>228</v>
      </c>
      <c r="D83" s="893" t="s">
        <v>229</v>
      </c>
      <c r="E83" s="894"/>
      <c r="F83" s="894"/>
      <c r="G83" s="894"/>
      <c r="H83" s="894"/>
      <c r="I83" s="895"/>
      <c r="J83" s="889"/>
      <c r="K83" s="7"/>
      <c r="L83" s="63" t="s">
        <v>273</v>
      </c>
      <c r="M83" s="62"/>
      <c r="N83" s="58"/>
      <c r="O83" s="61"/>
    </row>
    <row r="84" spans="1:15" s="1" customFormat="1" ht="13.5" thickBot="1">
      <c r="A84" s="881"/>
      <c r="B84" s="884"/>
      <c r="C84" s="892"/>
      <c r="D84" s="25">
        <v>1</v>
      </c>
      <c r="E84" s="25">
        <v>2</v>
      </c>
      <c r="F84" s="25">
        <v>3</v>
      </c>
      <c r="G84" s="25">
        <v>4</v>
      </c>
      <c r="H84" s="25">
        <v>5</v>
      </c>
      <c r="I84" s="56">
        <v>6</v>
      </c>
      <c r="J84" s="890"/>
      <c r="K84" s="7"/>
      <c r="L84" s="62" t="s">
        <v>206</v>
      </c>
      <c r="M84" s="63"/>
      <c r="N84" s="22">
        <v>0</v>
      </c>
      <c r="O84" s="23">
        <v>0</v>
      </c>
    </row>
    <row r="85" spans="1:15" s="1" customFormat="1" ht="13.5" thickBot="1">
      <c r="A85" s="26">
        <v>44393</v>
      </c>
      <c r="B85" s="27">
        <v>13077</v>
      </c>
      <c r="C85" s="54">
        <v>930</v>
      </c>
      <c r="D85" s="55">
        <v>35</v>
      </c>
      <c r="E85" s="55">
        <v>514</v>
      </c>
      <c r="F85" s="55"/>
      <c r="G85" s="55">
        <v>4</v>
      </c>
      <c r="H85" s="54">
        <v>377</v>
      </c>
      <c r="I85" s="57"/>
      <c r="J85" s="28">
        <v>30386</v>
      </c>
      <c r="K85" s="7"/>
      <c r="L85" s="64" t="s">
        <v>207</v>
      </c>
      <c r="M85" s="65"/>
      <c r="N85" s="52">
        <v>0</v>
      </c>
      <c r="O85" s="53">
        <v>0</v>
      </c>
    </row>
    <row r="86" spans="1:12" s="1" customFormat="1" ht="12.75">
      <c r="A86" s="20"/>
      <c r="B86" s="21"/>
      <c r="C86" s="21"/>
      <c r="D86" s="21"/>
      <c r="E86" s="2"/>
      <c r="F86" s="200"/>
      <c r="G86" s="4"/>
      <c r="H86" s="20"/>
      <c r="I86" s="21"/>
      <c r="J86" s="21"/>
      <c r="K86" s="21"/>
      <c r="L86" s="2"/>
    </row>
    <row r="87" spans="1:12" s="1" customFormat="1" ht="13.5" thickBot="1">
      <c r="A87" s="20"/>
      <c r="B87" s="21"/>
      <c r="C87" s="21"/>
      <c r="D87" s="21"/>
      <c r="E87" s="2"/>
      <c r="F87" s="200"/>
      <c r="G87" s="4"/>
      <c r="H87" s="20"/>
      <c r="I87" s="21"/>
      <c r="J87" s="21"/>
      <c r="K87" s="21"/>
      <c r="L87" s="21" t="s">
        <v>307</v>
      </c>
    </row>
    <row r="88" spans="1:12" s="1" customFormat="1" ht="12.75">
      <c r="A88" s="855" t="s">
        <v>255</v>
      </c>
      <c r="B88" s="857" t="s">
        <v>438</v>
      </c>
      <c r="C88" s="859" t="s">
        <v>439</v>
      </c>
      <c r="D88" s="860"/>
      <c r="E88" s="860"/>
      <c r="F88" s="861"/>
      <c r="G88" s="862" t="s">
        <v>440</v>
      </c>
      <c r="H88" s="896" t="s">
        <v>230</v>
      </c>
      <c r="I88" s="898" t="s">
        <v>441</v>
      </c>
      <c r="J88" s="899"/>
      <c r="K88" s="899"/>
      <c r="L88" s="900"/>
    </row>
    <row r="89" spans="1:12" s="1" customFormat="1" ht="18.75" thickBot="1">
      <c r="A89" s="856"/>
      <c r="B89" s="858"/>
      <c r="C89" s="29" t="s">
        <v>321</v>
      </c>
      <c r="D89" s="30" t="s">
        <v>231</v>
      </c>
      <c r="E89" s="30" t="s">
        <v>232</v>
      </c>
      <c r="F89" s="31" t="s">
        <v>322</v>
      </c>
      <c r="G89" s="863"/>
      <c r="H89" s="897"/>
      <c r="I89" s="174" t="s">
        <v>442</v>
      </c>
      <c r="J89" s="175" t="s">
        <v>231</v>
      </c>
      <c r="K89" s="175" t="s">
        <v>232</v>
      </c>
      <c r="L89" s="176" t="s">
        <v>443</v>
      </c>
    </row>
    <row r="90" spans="1:12" s="1" customFormat="1" ht="12.75">
      <c r="A90" s="32" t="s">
        <v>233</v>
      </c>
      <c r="B90" s="33">
        <v>2694</v>
      </c>
      <c r="C90" s="34" t="s">
        <v>234</v>
      </c>
      <c r="D90" s="35" t="s">
        <v>234</v>
      </c>
      <c r="E90" s="35" t="s">
        <v>234</v>
      </c>
      <c r="F90" s="36"/>
      <c r="G90" s="37">
        <v>3348</v>
      </c>
      <c r="H90" s="171" t="s">
        <v>234</v>
      </c>
      <c r="I90" s="177" t="s">
        <v>234</v>
      </c>
      <c r="J90" s="178" t="s">
        <v>234</v>
      </c>
      <c r="K90" s="178" t="s">
        <v>234</v>
      </c>
      <c r="L90" s="179" t="s">
        <v>234</v>
      </c>
    </row>
    <row r="91" spans="1:12" s="1" customFormat="1" ht="12.75">
      <c r="A91" s="38" t="s">
        <v>235</v>
      </c>
      <c r="B91" s="39">
        <v>41</v>
      </c>
      <c r="C91" s="40">
        <v>41</v>
      </c>
      <c r="D91" s="41"/>
      <c r="E91" s="41"/>
      <c r="F91" s="42">
        <f>C91+D91-E91</f>
        <v>41</v>
      </c>
      <c r="G91" s="43">
        <v>41</v>
      </c>
      <c r="H91" s="172">
        <f>+G91-F91</f>
        <v>0</v>
      </c>
      <c r="I91" s="40">
        <v>41</v>
      </c>
      <c r="J91" s="41">
        <v>95</v>
      </c>
      <c r="K91" s="41"/>
      <c r="L91" s="42">
        <f>I91+J91-K91</f>
        <v>136</v>
      </c>
    </row>
    <row r="92" spans="1:12" s="1" customFormat="1" ht="12.75">
      <c r="A92" s="38" t="s">
        <v>236</v>
      </c>
      <c r="B92" s="39">
        <v>280</v>
      </c>
      <c r="C92" s="40">
        <v>310</v>
      </c>
      <c r="D92" s="41">
        <v>303</v>
      </c>
      <c r="E92" s="41">
        <v>68</v>
      </c>
      <c r="F92" s="42">
        <f>C92+D92-E92</f>
        <v>545</v>
      </c>
      <c r="G92" s="43">
        <v>545</v>
      </c>
      <c r="H92" s="172">
        <f>+G92-F92</f>
        <v>0</v>
      </c>
      <c r="I92" s="40">
        <v>545</v>
      </c>
      <c r="J92" s="41">
        <v>522</v>
      </c>
      <c r="K92" s="41">
        <v>500</v>
      </c>
      <c r="L92" s="42">
        <f>I92+J92-K92</f>
        <v>567</v>
      </c>
    </row>
    <row r="93" spans="1:12" s="1" customFormat="1" ht="12.75">
      <c r="A93" s="38" t="s">
        <v>256</v>
      </c>
      <c r="B93" s="39">
        <v>359</v>
      </c>
      <c r="C93" s="40">
        <v>359</v>
      </c>
      <c r="D93" s="41">
        <v>1029</v>
      </c>
      <c r="E93" s="41">
        <v>699</v>
      </c>
      <c r="F93" s="42">
        <f>C93+D93-E93</f>
        <v>689</v>
      </c>
      <c r="G93" s="43">
        <v>690</v>
      </c>
      <c r="H93" s="172">
        <f>+G93-F93</f>
        <v>1</v>
      </c>
      <c r="I93" s="180">
        <v>689</v>
      </c>
      <c r="J93" s="170">
        <f>930+600+400</f>
        <v>1930</v>
      </c>
      <c r="K93" s="170">
        <f>L55</f>
        <v>2619</v>
      </c>
      <c r="L93" s="42">
        <f>I93+J93-K93</f>
        <v>0</v>
      </c>
    </row>
    <row r="94" spans="1:12" s="1" customFormat="1" ht="12.75">
      <c r="A94" s="38" t="s">
        <v>237</v>
      </c>
      <c r="B94" s="39">
        <v>2014</v>
      </c>
      <c r="C94" s="50" t="s">
        <v>234</v>
      </c>
      <c r="D94" s="35" t="s">
        <v>234</v>
      </c>
      <c r="E94" s="51" t="s">
        <v>234</v>
      </c>
      <c r="F94" s="42"/>
      <c r="G94" s="43">
        <v>2072</v>
      </c>
      <c r="H94" s="50" t="s">
        <v>234</v>
      </c>
      <c r="I94" s="34"/>
      <c r="J94" s="35"/>
      <c r="K94" s="35"/>
      <c r="L94" s="181">
        <v>0</v>
      </c>
    </row>
    <row r="95" spans="1:12" s="1" customFormat="1" ht="13.5" thickBot="1">
      <c r="A95" s="44" t="s">
        <v>238</v>
      </c>
      <c r="B95" s="45">
        <v>187</v>
      </c>
      <c r="C95" s="46">
        <v>205</v>
      </c>
      <c r="D95" s="47">
        <v>304</v>
      </c>
      <c r="E95" s="47">
        <v>274</v>
      </c>
      <c r="F95" s="48">
        <v>232</v>
      </c>
      <c r="G95" s="49">
        <v>233</v>
      </c>
      <c r="H95" s="173">
        <f>+G95-F95</f>
        <v>1</v>
      </c>
      <c r="I95" s="46">
        <v>232</v>
      </c>
      <c r="J95" s="47">
        <v>320</v>
      </c>
      <c r="K95" s="47">
        <v>480</v>
      </c>
      <c r="L95" s="48">
        <f>I95+J95-K95</f>
        <v>72</v>
      </c>
    </row>
    <row r="96" spans="1:12" s="1" customFormat="1" ht="12.75">
      <c r="A96" s="20"/>
      <c r="B96" s="21"/>
      <c r="C96" s="21"/>
      <c r="D96" s="21"/>
      <c r="E96" s="2"/>
      <c r="F96" s="200"/>
      <c r="G96" s="4"/>
      <c r="H96" s="20"/>
      <c r="I96" s="21"/>
      <c r="J96" s="21"/>
      <c r="K96" s="21"/>
      <c r="L96" s="2"/>
    </row>
    <row r="97" spans="1:12" s="1" customFormat="1" ht="12.75">
      <c r="A97" s="20"/>
      <c r="B97" s="21"/>
      <c r="C97" s="21"/>
      <c r="D97" s="21"/>
      <c r="E97" s="2"/>
      <c r="F97" s="200"/>
      <c r="G97" s="4"/>
      <c r="H97" s="20"/>
      <c r="I97" s="21"/>
      <c r="J97" s="21"/>
      <c r="K97" s="21"/>
      <c r="L97" s="2"/>
    </row>
    <row r="98" spans="1:12" s="1" customFormat="1" ht="12.75">
      <c r="A98" s="20"/>
      <c r="B98" s="21"/>
      <c r="C98" s="21"/>
      <c r="D98" s="21"/>
      <c r="E98" s="2"/>
      <c r="F98" s="200"/>
      <c r="G98" s="4"/>
      <c r="H98" s="20"/>
      <c r="I98" s="21"/>
      <c r="J98" s="21"/>
      <c r="K98" s="21"/>
      <c r="L98" s="2"/>
    </row>
    <row r="99" spans="1:12" s="1" customFormat="1" ht="12.75">
      <c r="A99" s="20"/>
      <c r="B99" s="21"/>
      <c r="C99" s="21"/>
      <c r="D99" s="21"/>
      <c r="E99" s="2"/>
      <c r="F99" s="200"/>
      <c r="G99" s="4"/>
      <c r="H99" s="20"/>
      <c r="I99" s="21"/>
      <c r="J99" s="21"/>
      <c r="K99" s="21"/>
      <c r="L99" s="2"/>
    </row>
    <row r="100" spans="1:12" s="1" customFormat="1" ht="12.75">
      <c r="A100" s="20"/>
      <c r="B100" s="21"/>
      <c r="C100" s="21"/>
      <c r="D100" s="21"/>
      <c r="E100" s="2"/>
      <c r="F100" s="200"/>
      <c r="G100" s="4"/>
      <c r="H100" s="20"/>
      <c r="I100" s="21"/>
      <c r="J100" s="21"/>
      <c r="K100" s="21"/>
      <c r="L100" s="2"/>
    </row>
    <row r="101" spans="1:12" s="1" customFormat="1" ht="12.75">
      <c r="A101" s="20"/>
      <c r="B101" s="21"/>
      <c r="C101" s="21"/>
      <c r="D101" s="21"/>
      <c r="E101" s="2"/>
      <c r="F101" s="4"/>
      <c r="G101" s="4"/>
      <c r="H101" s="20"/>
      <c r="I101" s="21"/>
      <c r="J101" s="21"/>
      <c r="K101" s="21"/>
      <c r="L101" s="2"/>
    </row>
    <row r="102" spans="1:12" s="1" customFormat="1" ht="12.75">
      <c r="A102" s="20"/>
      <c r="B102" s="21"/>
      <c r="C102" s="21"/>
      <c r="D102" s="21"/>
      <c r="E102" s="2"/>
      <c r="F102" s="4"/>
      <c r="G102" s="4"/>
      <c r="H102" s="20"/>
      <c r="I102" s="21"/>
      <c r="J102" s="21"/>
      <c r="K102" s="21"/>
      <c r="L102" s="2"/>
    </row>
    <row r="103" spans="8:12" ht="13.5" thickBot="1">
      <c r="H103" s="21" t="s">
        <v>307</v>
      </c>
      <c r="L103" s="21" t="s">
        <v>307</v>
      </c>
    </row>
    <row r="104" spans="1:12" ht="13.5" thickBot="1">
      <c r="A104" s="823" t="s">
        <v>444</v>
      </c>
      <c r="B104" s="824" t="s">
        <v>168</v>
      </c>
      <c r="C104" s="810" t="s">
        <v>239</v>
      </c>
      <c r="D104" s="810"/>
      <c r="E104" s="810"/>
      <c r="F104" s="810"/>
      <c r="G104" s="810"/>
      <c r="H104" s="810"/>
      <c r="I104" s="24"/>
      <c r="J104" s="825" t="s">
        <v>208</v>
      </c>
      <c r="K104" s="825"/>
      <c r="L104" s="825"/>
    </row>
    <row r="105" spans="1:12" ht="13.5" thickBot="1">
      <c r="A105" s="823"/>
      <c r="B105" s="824"/>
      <c r="C105" s="126" t="s">
        <v>240</v>
      </c>
      <c r="D105" s="127" t="s">
        <v>241</v>
      </c>
      <c r="E105" s="127" t="s">
        <v>242</v>
      </c>
      <c r="F105" s="127" t="s">
        <v>243</v>
      </c>
      <c r="G105" s="128" t="s">
        <v>244</v>
      </c>
      <c r="H105" s="129" t="s">
        <v>228</v>
      </c>
      <c r="I105" s="24"/>
      <c r="J105" s="130"/>
      <c r="K105" s="131" t="s">
        <v>209</v>
      </c>
      <c r="L105" s="132" t="s">
        <v>210</v>
      </c>
    </row>
    <row r="106" spans="1:12" ht="12.75">
      <c r="A106" s="133" t="s">
        <v>245</v>
      </c>
      <c r="B106" s="134">
        <v>329</v>
      </c>
      <c r="C106" s="135"/>
      <c r="D106" s="135"/>
      <c r="E106" s="135"/>
      <c r="F106" s="135"/>
      <c r="G106" s="134"/>
      <c r="H106" s="136">
        <f>SUM(C106:G106)</f>
        <v>0</v>
      </c>
      <c r="I106" s="24"/>
      <c r="J106" s="137">
        <v>2007</v>
      </c>
      <c r="K106" s="138">
        <v>15127</v>
      </c>
      <c r="L106" s="139">
        <f>+G30</f>
        <v>15402</v>
      </c>
    </row>
    <row r="107" spans="1:12" ht="13.5" thickBot="1">
      <c r="A107" s="140" t="s">
        <v>246</v>
      </c>
      <c r="B107" s="141">
        <v>1880</v>
      </c>
      <c r="C107" s="142"/>
      <c r="D107" s="142"/>
      <c r="E107" s="142"/>
      <c r="F107" s="142"/>
      <c r="G107" s="141"/>
      <c r="H107" s="143">
        <f>SUM(C107:G107)</f>
        <v>0</v>
      </c>
      <c r="I107" s="24"/>
      <c r="J107" s="144">
        <v>2008</v>
      </c>
      <c r="K107" s="145">
        <f>L30</f>
        <v>18000</v>
      </c>
      <c r="L107" s="146"/>
    </row>
    <row r="108" ht="12.75" customHeight="1"/>
    <row r="109" ht="13.5" thickBot="1">
      <c r="J109" s="208" t="s">
        <v>323</v>
      </c>
    </row>
    <row r="110" spans="1:10" ht="21" customHeight="1" thickBot="1">
      <c r="A110" s="823" t="s">
        <v>211</v>
      </c>
      <c r="B110" s="826" t="s">
        <v>212</v>
      </c>
      <c r="C110" s="826"/>
      <c r="D110" s="826"/>
      <c r="E110" s="827" t="s">
        <v>274</v>
      </c>
      <c r="F110" s="827"/>
      <c r="G110" s="827"/>
      <c r="H110" s="828" t="s">
        <v>213</v>
      </c>
      <c r="I110" s="828"/>
      <c r="J110" s="828"/>
    </row>
    <row r="111" spans="1:10" ht="12.75">
      <c r="A111" s="823"/>
      <c r="B111" s="147">
        <v>2006</v>
      </c>
      <c r="C111" s="147">
        <v>2007</v>
      </c>
      <c r="D111" s="147" t="s">
        <v>214</v>
      </c>
      <c r="E111" s="147">
        <v>2006</v>
      </c>
      <c r="F111" s="147">
        <v>2007</v>
      </c>
      <c r="G111" s="148" t="s">
        <v>214</v>
      </c>
      <c r="H111" s="149">
        <v>2006</v>
      </c>
      <c r="I111" s="147">
        <v>2007</v>
      </c>
      <c r="J111" s="148" t="s">
        <v>214</v>
      </c>
    </row>
    <row r="112" spans="1:10" ht="18.75">
      <c r="A112" s="150" t="s">
        <v>215</v>
      </c>
      <c r="B112" s="151">
        <v>3.33</v>
      </c>
      <c r="C112" s="151">
        <v>3.97</v>
      </c>
      <c r="D112" s="151">
        <f aca="true" t="shared" si="13" ref="D112:D122">+C112-B112</f>
        <v>0.6400000000000001</v>
      </c>
      <c r="E112" s="151">
        <v>4</v>
      </c>
      <c r="F112" s="151">
        <v>3.5</v>
      </c>
      <c r="G112" s="152">
        <f aca="true" t="shared" si="14" ref="G112:G122">+F112-E112</f>
        <v>-0.5</v>
      </c>
      <c r="H112" s="153">
        <v>20237</v>
      </c>
      <c r="I112" s="154">
        <v>21429</v>
      </c>
      <c r="J112" s="155">
        <f aca="true" t="shared" si="15" ref="J112:J122">+I112-H112</f>
        <v>1192</v>
      </c>
    </row>
    <row r="113" spans="1:10" ht="12.75">
      <c r="A113" s="150" t="s">
        <v>248</v>
      </c>
      <c r="B113" s="151">
        <v>11.68</v>
      </c>
      <c r="C113" s="151">
        <v>11.39</v>
      </c>
      <c r="D113" s="151">
        <f t="shared" si="13"/>
        <v>-0.28999999999999915</v>
      </c>
      <c r="E113" s="151">
        <v>11</v>
      </c>
      <c r="F113" s="151">
        <v>12</v>
      </c>
      <c r="G113" s="152">
        <f t="shared" si="14"/>
        <v>1</v>
      </c>
      <c r="H113" s="153">
        <v>20662</v>
      </c>
      <c r="I113" s="156">
        <v>20692</v>
      </c>
      <c r="J113" s="155">
        <f t="shared" si="15"/>
        <v>30</v>
      </c>
    </row>
    <row r="114" spans="1:10" ht="12.75">
      <c r="A114" s="150" t="s">
        <v>216</v>
      </c>
      <c r="B114" s="151"/>
      <c r="C114" s="151"/>
      <c r="D114" s="151">
        <f t="shared" si="13"/>
        <v>0</v>
      </c>
      <c r="E114" s="151"/>
      <c r="F114" s="151"/>
      <c r="G114" s="152">
        <f t="shared" si="14"/>
        <v>0</v>
      </c>
      <c r="H114" s="153"/>
      <c r="I114" s="156"/>
      <c r="J114" s="155">
        <f t="shared" si="15"/>
        <v>0</v>
      </c>
    </row>
    <row r="115" spans="1:10" ht="12.75">
      <c r="A115" s="150" t="s">
        <v>217</v>
      </c>
      <c r="B115" s="151">
        <v>8.62</v>
      </c>
      <c r="C115" s="151"/>
      <c r="D115" s="151">
        <f t="shared" si="13"/>
        <v>-8.62</v>
      </c>
      <c r="E115" s="151">
        <v>0</v>
      </c>
      <c r="F115" s="151"/>
      <c r="G115" s="152">
        <f t="shared" si="14"/>
        <v>0</v>
      </c>
      <c r="H115" s="153">
        <v>13643</v>
      </c>
      <c r="I115" s="156"/>
      <c r="J115" s="155">
        <f t="shared" si="15"/>
        <v>-13643</v>
      </c>
    </row>
    <row r="116" spans="1:10" ht="12.75">
      <c r="A116" s="150" t="s">
        <v>299</v>
      </c>
      <c r="B116" s="151"/>
      <c r="C116" s="151"/>
      <c r="D116" s="151">
        <f t="shared" si="13"/>
        <v>0</v>
      </c>
      <c r="E116" s="151"/>
      <c r="F116" s="151"/>
      <c r="G116" s="152">
        <f t="shared" si="14"/>
        <v>0</v>
      </c>
      <c r="H116" s="153"/>
      <c r="I116" s="156"/>
      <c r="J116" s="155">
        <f t="shared" si="15"/>
        <v>0</v>
      </c>
    </row>
    <row r="117" spans="1:10" ht="12.75">
      <c r="A117" s="150" t="s">
        <v>297</v>
      </c>
      <c r="B117" s="151">
        <v>1.86</v>
      </c>
      <c r="C117" s="151">
        <v>1.7</v>
      </c>
      <c r="D117" s="151">
        <f t="shared" si="13"/>
        <v>-0.16000000000000014</v>
      </c>
      <c r="E117" s="151">
        <v>1.67</v>
      </c>
      <c r="F117" s="151">
        <v>1.71</v>
      </c>
      <c r="G117" s="152">
        <f t="shared" si="14"/>
        <v>0.040000000000000036</v>
      </c>
      <c r="H117" s="153">
        <v>18515</v>
      </c>
      <c r="I117" s="156">
        <v>14918</v>
      </c>
      <c r="J117" s="155">
        <f t="shared" si="15"/>
        <v>-3597</v>
      </c>
    </row>
    <row r="118" spans="1:10" ht="12.75">
      <c r="A118" s="150" t="s">
        <v>325</v>
      </c>
      <c r="B118" s="151">
        <v>8.75</v>
      </c>
      <c r="C118" s="151">
        <v>9.69</v>
      </c>
      <c r="D118" s="151">
        <f t="shared" si="13"/>
        <v>0.9399999999999995</v>
      </c>
      <c r="E118" s="151">
        <v>10</v>
      </c>
      <c r="F118" s="151">
        <v>10</v>
      </c>
      <c r="G118" s="152">
        <f t="shared" si="14"/>
        <v>0</v>
      </c>
      <c r="H118" s="153">
        <v>12150</v>
      </c>
      <c r="I118" s="156">
        <v>13161</v>
      </c>
      <c r="J118" s="155">
        <f t="shared" si="15"/>
        <v>1011</v>
      </c>
    </row>
    <row r="119" spans="1:10" ht="12.75">
      <c r="A119" s="150" t="s">
        <v>219</v>
      </c>
      <c r="B119" s="151">
        <v>23</v>
      </c>
      <c r="C119" s="151">
        <v>39</v>
      </c>
      <c r="D119" s="151">
        <f t="shared" si="13"/>
        <v>16</v>
      </c>
      <c r="E119" s="151">
        <v>36.35</v>
      </c>
      <c r="F119" s="151">
        <v>38.6</v>
      </c>
      <c r="G119" s="152">
        <f t="shared" si="14"/>
        <v>2.25</v>
      </c>
      <c r="H119" s="153">
        <v>13715</v>
      </c>
      <c r="I119" s="156">
        <v>14816</v>
      </c>
      <c r="J119" s="155">
        <f t="shared" si="15"/>
        <v>1101</v>
      </c>
    </row>
    <row r="120" spans="1:10" ht="12.75">
      <c r="A120" s="150" t="s">
        <v>220</v>
      </c>
      <c r="B120" s="151">
        <v>1</v>
      </c>
      <c r="C120" s="151">
        <v>1.89</v>
      </c>
      <c r="D120" s="151">
        <f t="shared" si="13"/>
        <v>0.8899999999999999</v>
      </c>
      <c r="E120" s="151">
        <v>1</v>
      </c>
      <c r="F120" s="151">
        <v>2.44</v>
      </c>
      <c r="G120" s="152">
        <f t="shared" si="14"/>
        <v>1.44</v>
      </c>
      <c r="H120" s="153">
        <v>19250</v>
      </c>
      <c r="I120" s="156">
        <v>18251</v>
      </c>
      <c r="J120" s="155">
        <f t="shared" si="15"/>
        <v>-999</v>
      </c>
    </row>
    <row r="121" spans="1:10" ht="12.75">
      <c r="A121" s="150" t="s">
        <v>221</v>
      </c>
      <c r="B121" s="151">
        <v>14.62</v>
      </c>
      <c r="C121" s="151">
        <v>15.07</v>
      </c>
      <c r="D121" s="151">
        <f t="shared" si="13"/>
        <v>0.45000000000000107</v>
      </c>
      <c r="E121" s="151">
        <v>15</v>
      </c>
      <c r="F121" s="151">
        <v>16</v>
      </c>
      <c r="G121" s="152">
        <f t="shared" si="14"/>
        <v>1</v>
      </c>
      <c r="H121" s="153">
        <v>12644</v>
      </c>
      <c r="I121" s="156">
        <v>12371</v>
      </c>
      <c r="J121" s="155">
        <f t="shared" si="15"/>
        <v>-273</v>
      </c>
    </row>
    <row r="122" spans="1:10" ht="13.5" thickBot="1">
      <c r="A122" s="157" t="s">
        <v>168</v>
      </c>
      <c r="B122" s="158">
        <v>72.86</v>
      </c>
      <c r="C122" s="158">
        <v>82.71</v>
      </c>
      <c r="D122" s="158">
        <f t="shared" si="13"/>
        <v>9.849999999999994</v>
      </c>
      <c r="E122" s="158">
        <v>79.02</v>
      </c>
      <c r="F122" s="158">
        <v>84.25</v>
      </c>
      <c r="G122" s="159">
        <f t="shared" si="14"/>
        <v>5.230000000000004</v>
      </c>
      <c r="H122" s="160">
        <v>14914</v>
      </c>
      <c r="I122" s="161">
        <v>15519</v>
      </c>
      <c r="J122" s="162">
        <f t="shared" si="15"/>
        <v>605</v>
      </c>
    </row>
    <row r="123" ht="13.5" thickBot="1"/>
    <row r="124" spans="1:16" ht="12.75">
      <c r="A124" s="829" t="s">
        <v>222</v>
      </c>
      <c r="B124" s="829"/>
      <c r="C124" s="829"/>
      <c r="D124" s="24"/>
      <c r="E124" s="829" t="s">
        <v>223</v>
      </c>
      <c r="F124" s="829"/>
      <c r="G124" s="829"/>
      <c r="H124"/>
      <c r="I124"/>
      <c r="J124"/>
      <c r="K124"/>
      <c r="L124"/>
      <c r="M124"/>
      <c r="N124"/>
      <c r="O124"/>
      <c r="P124"/>
    </row>
    <row r="125" spans="1:16" ht="13.5" thickBot="1">
      <c r="A125" s="130" t="s">
        <v>224</v>
      </c>
      <c r="B125" s="131" t="s">
        <v>225</v>
      </c>
      <c r="C125" s="132" t="s">
        <v>210</v>
      </c>
      <c r="D125" s="24"/>
      <c r="E125" s="130"/>
      <c r="F125" s="832" t="s">
        <v>226</v>
      </c>
      <c r="G125" s="832"/>
      <c r="H125"/>
      <c r="I125"/>
      <c r="J125"/>
      <c r="K125"/>
      <c r="L125"/>
      <c r="M125"/>
      <c r="N125"/>
      <c r="O125"/>
      <c r="P125"/>
    </row>
    <row r="126" spans="1:16" ht="12.75">
      <c r="A126" s="137">
        <v>2007</v>
      </c>
      <c r="B126" s="138">
        <v>82</v>
      </c>
      <c r="C126" s="139">
        <v>83</v>
      </c>
      <c r="D126" s="24"/>
      <c r="E126" s="137">
        <v>2007</v>
      </c>
      <c r="F126" s="830">
        <v>136</v>
      </c>
      <c r="G126" s="830"/>
      <c r="H126"/>
      <c r="I126"/>
      <c r="J126"/>
      <c r="K126"/>
      <c r="L126"/>
      <c r="M126"/>
      <c r="N126"/>
      <c r="O126"/>
      <c r="P126"/>
    </row>
    <row r="127" spans="1:16" ht="13.5" thickBot="1">
      <c r="A127" s="144">
        <v>2008</v>
      </c>
      <c r="B127" s="145">
        <v>86</v>
      </c>
      <c r="C127" s="146"/>
      <c r="D127" s="24"/>
      <c r="E127" s="144">
        <v>2008</v>
      </c>
      <c r="F127" s="831">
        <v>130</v>
      </c>
      <c r="G127" s="831"/>
      <c r="H127"/>
      <c r="I127"/>
      <c r="J127"/>
      <c r="K127"/>
      <c r="L127"/>
      <c r="M127"/>
      <c r="N127"/>
      <c r="O127"/>
      <c r="P127"/>
    </row>
  </sheetData>
  <mergeCells count="135">
    <mergeCell ref="H53:K53"/>
    <mergeCell ref="H54:K54"/>
    <mergeCell ref="A53:B53"/>
    <mergeCell ref="A54:B54"/>
    <mergeCell ref="D53:F53"/>
    <mergeCell ref="D54:F54"/>
    <mergeCell ref="H52:K52"/>
    <mergeCell ref="C76:D76"/>
    <mergeCell ref="F76:G76"/>
    <mergeCell ref="I76:K76"/>
    <mergeCell ref="C72:D72"/>
    <mergeCell ref="F72:G72"/>
    <mergeCell ref="I72:K72"/>
    <mergeCell ref="C73:D73"/>
    <mergeCell ref="F73:G73"/>
    <mergeCell ref="I73:K73"/>
    <mergeCell ref="F77:G77"/>
    <mergeCell ref="C74:D74"/>
    <mergeCell ref="F74:G74"/>
    <mergeCell ref="I74:K74"/>
    <mergeCell ref="C75:D75"/>
    <mergeCell ref="F75:G75"/>
    <mergeCell ref="I75:K75"/>
    <mergeCell ref="A70:E70"/>
    <mergeCell ref="F70:L70"/>
    <mergeCell ref="C71:D71"/>
    <mergeCell ref="F71:G71"/>
    <mergeCell ref="I71:K71"/>
    <mergeCell ref="F127:G127"/>
    <mergeCell ref="A124:C124"/>
    <mergeCell ref="E124:G124"/>
    <mergeCell ref="F125:G125"/>
    <mergeCell ref="F126:G126"/>
    <mergeCell ref="A110:A111"/>
    <mergeCell ref="B110:D110"/>
    <mergeCell ref="E110:G110"/>
    <mergeCell ref="H110:J110"/>
    <mergeCell ref="A1:N1"/>
    <mergeCell ref="A104:A105"/>
    <mergeCell ref="B104:B105"/>
    <mergeCell ref="C104:H104"/>
    <mergeCell ref="J104:L104"/>
    <mergeCell ref="A67:B67"/>
    <mergeCell ref="H67:K67"/>
    <mergeCell ref="L82:M82"/>
    <mergeCell ref="A82:A84"/>
    <mergeCell ref="B82:B84"/>
    <mergeCell ref="A65:B65"/>
    <mergeCell ref="D65:F65"/>
    <mergeCell ref="A66:B66"/>
    <mergeCell ref="A61:B61"/>
    <mergeCell ref="D61:F61"/>
    <mergeCell ref="A62:B62"/>
    <mergeCell ref="D62:F62"/>
    <mergeCell ref="A63:B63"/>
    <mergeCell ref="D63:F63"/>
    <mergeCell ref="A64:B64"/>
    <mergeCell ref="H59:K59"/>
    <mergeCell ref="H60:K60"/>
    <mergeCell ref="A57:B58"/>
    <mergeCell ref="C57:C58"/>
    <mergeCell ref="D57:F58"/>
    <mergeCell ref="A59:B59"/>
    <mergeCell ref="D59:F59"/>
    <mergeCell ref="A60:B60"/>
    <mergeCell ref="D60:F60"/>
    <mergeCell ref="H50:K50"/>
    <mergeCell ref="L57:L58"/>
    <mergeCell ref="A55:B55"/>
    <mergeCell ref="D55:F55"/>
    <mergeCell ref="H55:K55"/>
    <mergeCell ref="H57:K58"/>
    <mergeCell ref="A51:B51"/>
    <mergeCell ref="D51:F51"/>
    <mergeCell ref="H51:K51"/>
    <mergeCell ref="A52:B52"/>
    <mergeCell ref="H48:K48"/>
    <mergeCell ref="A49:B49"/>
    <mergeCell ref="D49:F49"/>
    <mergeCell ref="H49:K49"/>
    <mergeCell ref="B40:D40"/>
    <mergeCell ref="E40:G40"/>
    <mergeCell ref="A42:B43"/>
    <mergeCell ref="C42:C43"/>
    <mergeCell ref="H45:K45"/>
    <mergeCell ref="D64:F64"/>
    <mergeCell ref="D44:F44"/>
    <mergeCell ref="D45:F45"/>
    <mergeCell ref="H46:K46"/>
    <mergeCell ref="D47:F47"/>
    <mergeCell ref="H47:K47"/>
    <mergeCell ref="H61:K61"/>
    <mergeCell ref="D46:F46"/>
    <mergeCell ref="H44:K44"/>
    <mergeCell ref="A3:A6"/>
    <mergeCell ref="B3:N3"/>
    <mergeCell ref="H4:I4"/>
    <mergeCell ref="M4:N4"/>
    <mergeCell ref="L42:L43"/>
    <mergeCell ref="B4:D4"/>
    <mergeCell ref="E4:G4"/>
    <mergeCell ref="J4:L4"/>
    <mergeCell ref="B39:D39"/>
    <mergeCell ref="D42:F43"/>
    <mergeCell ref="G42:G43"/>
    <mergeCell ref="H42:K43"/>
    <mergeCell ref="E39:G39"/>
    <mergeCell ref="J39:L39"/>
    <mergeCell ref="A44:B44"/>
    <mergeCell ref="A45:B45"/>
    <mergeCell ref="A47:B47"/>
    <mergeCell ref="G57:G58"/>
    <mergeCell ref="A46:B46"/>
    <mergeCell ref="A48:B48"/>
    <mergeCell ref="D48:F48"/>
    <mergeCell ref="A50:B50"/>
    <mergeCell ref="D50:F50"/>
    <mergeCell ref="D52:F52"/>
    <mergeCell ref="C82:I82"/>
    <mergeCell ref="J82:J84"/>
    <mergeCell ref="C83:C84"/>
    <mergeCell ref="D83:I83"/>
    <mergeCell ref="D67:F67"/>
    <mergeCell ref="H66:K66"/>
    <mergeCell ref="H62:K62"/>
    <mergeCell ref="H63:K63"/>
    <mergeCell ref="H65:K65"/>
    <mergeCell ref="H64:K64"/>
    <mergeCell ref="D66:F66"/>
    <mergeCell ref="H88:H89"/>
    <mergeCell ref="I88:L88"/>
    <mergeCell ref="A88:A89"/>
    <mergeCell ref="B88:B89"/>
    <mergeCell ref="C88:F88"/>
    <mergeCell ref="G88:G89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SheetLayoutView="100" workbookViewId="0" topLeftCell="A1">
      <selection activeCell="K88" sqref="K88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875"/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307</v>
      </c>
    </row>
    <row r="3" spans="1:14" ht="24" customHeight="1" thickBot="1">
      <c r="A3" s="876" t="s">
        <v>165</v>
      </c>
      <c r="B3" s="792" t="s">
        <v>61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4" ht="14.25" thickBot="1" thickTop="1">
      <c r="A4" s="876"/>
      <c r="B4" s="790" t="s">
        <v>308</v>
      </c>
      <c r="C4" s="790"/>
      <c r="D4" s="790"/>
      <c r="E4" s="790" t="s">
        <v>417</v>
      </c>
      <c r="F4" s="790"/>
      <c r="G4" s="790"/>
      <c r="H4" s="793" t="s">
        <v>309</v>
      </c>
      <c r="I4" s="793"/>
      <c r="J4" s="790" t="s">
        <v>418</v>
      </c>
      <c r="K4" s="790"/>
      <c r="L4" s="790"/>
      <c r="M4" s="790" t="s">
        <v>419</v>
      </c>
      <c r="N4" s="790"/>
    </row>
    <row r="5" spans="1:14" ht="14.25" thickBot="1" thickTop="1">
      <c r="A5" s="876"/>
      <c r="B5" s="66" t="s">
        <v>166</v>
      </c>
      <c r="C5" s="67" t="s">
        <v>167</v>
      </c>
      <c r="D5" s="68" t="s">
        <v>168</v>
      </c>
      <c r="E5" s="66" t="s">
        <v>166</v>
      </c>
      <c r="F5" s="67" t="s">
        <v>167</v>
      </c>
      <c r="G5" s="68" t="s">
        <v>168</v>
      </c>
      <c r="H5" s="69" t="s">
        <v>168</v>
      </c>
      <c r="I5" s="69" t="s">
        <v>169</v>
      </c>
      <c r="J5" s="70" t="s">
        <v>166</v>
      </c>
      <c r="K5" s="67" t="s">
        <v>167</v>
      </c>
      <c r="L5" s="68" t="s">
        <v>168</v>
      </c>
      <c r="M5" s="69" t="s">
        <v>168</v>
      </c>
      <c r="N5" s="68" t="s">
        <v>169</v>
      </c>
    </row>
    <row r="6" spans="1:14" ht="14.25" thickBot="1" thickTop="1">
      <c r="A6" s="791"/>
      <c r="B6" s="183" t="s">
        <v>170</v>
      </c>
      <c r="C6" s="184" t="s">
        <v>170</v>
      </c>
      <c r="D6" s="185"/>
      <c r="E6" s="183" t="s">
        <v>170</v>
      </c>
      <c r="F6" s="184" t="s">
        <v>170</v>
      </c>
      <c r="G6" s="185"/>
      <c r="H6" s="189" t="s">
        <v>171</v>
      </c>
      <c r="I6" s="189" t="s">
        <v>172</v>
      </c>
      <c r="J6" s="197" t="s">
        <v>170</v>
      </c>
      <c r="K6" s="184" t="s">
        <v>170</v>
      </c>
      <c r="L6" s="185"/>
      <c r="M6" s="189" t="s">
        <v>171</v>
      </c>
      <c r="N6" s="185" t="s">
        <v>172</v>
      </c>
    </row>
    <row r="7" spans="1:14" ht="13.5" customHeight="1">
      <c r="A7" s="274" t="s">
        <v>173</v>
      </c>
      <c r="B7" s="163"/>
      <c r="C7" s="164"/>
      <c r="D7" s="167">
        <f aca="true" t="shared" si="0" ref="D7:D18">SUM(B7:C7)</f>
        <v>0</v>
      </c>
      <c r="E7" s="163"/>
      <c r="F7" s="164"/>
      <c r="G7" s="167">
        <f aca="true" t="shared" si="1" ref="G7:G18">SUM(E7:F7)</f>
        <v>0</v>
      </c>
      <c r="H7" s="191">
        <f aca="true" t="shared" si="2" ref="H7:H38">+G7-D7</f>
        <v>0</v>
      </c>
      <c r="I7" s="195"/>
      <c r="J7" s="163"/>
      <c r="K7" s="164"/>
      <c r="L7" s="167">
        <f aca="true" t="shared" si="3" ref="L7:L18">SUM(J7:K7)</f>
        <v>0</v>
      </c>
      <c r="M7" s="191">
        <f aca="true" t="shared" si="4" ref="M7:M38">+L7-G7</f>
        <v>0</v>
      </c>
      <c r="N7" s="192"/>
    </row>
    <row r="8" spans="1:14" ht="13.5" customHeight="1">
      <c r="A8" s="275" t="s">
        <v>174</v>
      </c>
      <c r="B8" s="14">
        <v>13091</v>
      </c>
      <c r="C8" s="13">
        <v>252</v>
      </c>
      <c r="D8" s="168">
        <f t="shared" si="0"/>
        <v>13343</v>
      </c>
      <c r="E8" s="14">
        <v>23290</v>
      </c>
      <c r="F8" s="13">
        <v>217</v>
      </c>
      <c r="G8" s="168">
        <f t="shared" si="1"/>
        <v>23507</v>
      </c>
      <c r="H8" s="193">
        <f t="shared" si="2"/>
        <v>10164</v>
      </c>
      <c r="I8" s="196">
        <f aca="true" t="shared" si="5" ref="I8:I22">+G8/D8</f>
        <v>1.7617477328936522</v>
      </c>
      <c r="J8" s="14">
        <f>24280+200</f>
        <v>24480</v>
      </c>
      <c r="K8" s="13">
        <v>220</v>
      </c>
      <c r="L8" s="168">
        <f t="shared" si="3"/>
        <v>24700</v>
      </c>
      <c r="M8" s="193">
        <f t="shared" si="4"/>
        <v>1193</v>
      </c>
      <c r="N8" s="194">
        <f aca="true" t="shared" si="6" ref="N8:N22">+L8/G8</f>
        <v>1.050750840175267</v>
      </c>
    </row>
    <row r="9" spans="1:14" ht="13.5" customHeight="1">
      <c r="A9" s="275" t="s">
        <v>175</v>
      </c>
      <c r="B9" s="14"/>
      <c r="C9" s="13"/>
      <c r="D9" s="168">
        <f t="shared" si="0"/>
        <v>0</v>
      </c>
      <c r="E9" s="14"/>
      <c r="F9" s="13"/>
      <c r="G9" s="168">
        <f t="shared" si="1"/>
        <v>0</v>
      </c>
      <c r="H9" s="193">
        <f t="shared" si="2"/>
        <v>0</v>
      </c>
      <c r="I9" s="196"/>
      <c r="J9" s="14"/>
      <c r="K9" s="13"/>
      <c r="L9" s="168">
        <f t="shared" si="3"/>
        <v>0</v>
      </c>
      <c r="M9" s="193">
        <f t="shared" si="4"/>
        <v>0</v>
      </c>
      <c r="N9" s="194"/>
    </row>
    <row r="10" spans="1:14" ht="13.5" customHeight="1">
      <c r="A10" s="275" t="s">
        <v>176</v>
      </c>
      <c r="B10" s="14">
        <v>122</v>
      </c>
      <c r="C10" s="13"/>
      <c r="D10" s="168">
        <f t="shared" si="0"/>
        <v>122</v>
      </c>
      <c r="E10" s="14"/>
      <c r="F10" s="13"/>
      <c r="G10" s="168">
        <f t="shared" si="1"/>
        <v>0</v>
      </c>
      <c r="H10" s="193">
        <f t="shared" si="2"/>
        <v>-122</v>
      </c>
      <c r="I10" s="196">
        <f t="shared" si="5"/>
        <v>0</v>
      </c>
      <c r="J10" s="14"/>
      <c r="K10" s="13"/>
      <c r="L10" s="168">
        <f t="shared" si="3"/>
        <v>0</v>
      </c>
      <c r="M10" s="193">
        <f t="shared" si="4"/>
        <v>0</v>
      </c>
      <c r="N10" s="194"/>
    </row>
    <row r="11" spans="1:14" ht="13.5" customHeight="1">
      <c r="A11" s="275" t="s">
        <v>177</v>
      </c>
      <c r="B11" s="14">
        <v>233</v>
      </c>
      <c r="C11" s="13"/>
      <c r="D11" s="168">
        <f t="shared" si="0"/>
        <v>233</v>
      </c>
      <c r="E11" s="14">
        <v>398</v>
      </c>
      <c r="F11" s="13"/>
      <c r="G11" s="168">
        <f t="shared" si="1"/>
        <v>398</v>
      </c>
      <c r="H11" s="193">
        <f t="shared" si="2"/>
        <v>165</v>
      </c>
      <c r="I11" s="196">
        <f t="shared" si="5"/>
        <v>1.7081545064377683</v>
      </c>
      <c r="J11" s="14">
        <f>330+300</f>
        <v>630</v>
      </c>
      <c r="K11" s="13"/>
      <c r="L11" s="168">
        <f t="shared" si="3"/>
        <v>630</v>
      </c>
      <c r="M11" s="193">
        <f t="shared" si="4"/>
        <v>232</v>
      </c>
      <c r="N11" s="194">
        <f t="shared" si="6"/>
        <v>1.5829145728643217</v>
      </c>
    </row>
    <row r="12" spans="1:14" ht="13.5" customHeight="1">
      <c r="A12" s="276" t="s">
        <v>178</v>
      </c>
      <c r="B12" s="14">
        <v>0</v>
      </c>
      <c r="C12" s="13">
        <v>6</v>
      </c>
      <c r="D12" s="168">
        <f t="shared" si="0"/>
        <v>6</v>
      </c>
      <c r="E12" s="14">
        <v>212</v>
      </c>
      <c r="F12" s="13"/>
      <c r="G12" s="168">
        <f t="shared" si="1"/>
        <v>212</v>
      </c>
      <c r="H12" s="193">
        <f t="shared" si="2"/>
        <v>206</v>
      </c>
      <c r="I12" s="196">
        <f t="shared" si="5"/>
        <v>35.333333333333336</v>
      </c>
      <c r="J12" s="14">
        <f>200+300</f>
        <v>500</v>
      </c>
      <c r="K12" s="13"/>
      <c r="L12" s="168">
        <f t="shared" si="3"/>
        <v>500</v>
      </c>
      <c r="M12" s="193">
        <f t="shared" si="4"/>
        <v>288</v>
      </c>
      <c r="N12" s="194">
        <f t="shared" si="6"/>
        <v>2.358490566037736</v>
      </c>
    </row>
    <row r="13" spans="1:14" ht="13.5" customHeight="1">
      <c r="A13" s="276" t="s">
        <v>179</v>
      </c>
      <c r="B13" s="14"/>
      <c r="C13" s="13"/>
      <c r="D13" s="168">
        <f t="shared" si="0"/>
        <v>0</v>
      </c>
      <c r="E13" s="14"/>
      <c r="F13" s="13"/>
      <c r="G13" s="168">
        <f t="shared" si="1"/>
        <v>0</v>
      </c>
      <c r="H13" s="193">
        <f t="shared" si="2"/>
        <v>0</v>
      </c>
      <c r="I13" s="196"/>
      <c r="J13" s="14"/>
      <c r="K13" s="13"/>
      <c r="L13" s="168">
        <f t="shared" si="3"/>
        <v>0</v>
      </c>
      <c r="M13" s="193">
        <f t="shared" si="4"/>
        <v>0</v>
      </c>
      <c r="N13" s="194"/>
    </row>
    <row r="14" spans="1:14" ht="23.25" customHeight="1">
      <c r="A14" s="276" t="s">
        <v>180</v>
      </c>
      <c r="B14" s="14"/>
      <c r="C14" s="13"/>
      <c r="D14" s="168">
        <f t="shared" si="0"/>
        <v>0</v>
      </c>
      <c r="E14" s="14"/>
      <c r="F14" s="13"/>
      <c r="G14" s="168">
        <f t="shared" si="1"/>
        <v>0</v>
      </c>
      <c r="H14" s="193">
        <f t="shared" si="2"/>
        <v>0</v>
      </c>
      <c r="I14" s="196"/>
      <c r="J14" s="14"/>
      <c r="K14" s="13"/>
      <c r="L14" s="168">
        <f t="shared" si="3"/>
        <v>0</v>
      </c>
      <c r="M14" s="193">
        <f t="shared" si="4"/>
        <v>0</v>
      </c>
      <c r="N14" s="194"/>
    </row>
    <row r="15" spans="1:14" ht="13.5" customHeight="1">
      <c r="A15" s="275" t="s">
        <v>181</v>
      </c>
      <c r="B15" s="14">
        <v>18444</v>
      </c>
      <c r="C15" s="13"/>
      <c r="D15" s="168">
        <f t="shared" si="0"/>
        <v>18444</v>
      </c>
      <c r="E15" s="14">
        <v>16386</v>
      </c>
      <c r="F15" s="13"/>
      <c r="G15" s="168">
        <f t="shared" si="1"/>
        <v>16386</v>
      </c>
      <c r="H15" s="193">
        <f t="shared" si="2"/>
        <v>-2058</v>
      </c>
      <c r="I15" s="196">
        <f t="shared" si="5"/>
        <v>0.8884189980481457</v>
      </c>
      <c r="J15" s="15">
        <f>SUM(J16:J18)</f>
        <v>11937</v>
      </c>
      <c r="K15" s="279"/>
      <c r="L15" s="168">
        <f t="shared" si="3"/>
        <v>11937</v>
      </c>
      <c r="M15" s="193">
        <f t="shared" si="4"/>
        <v>-4449</v>
      </c>
      <c r="N15" s="194">
        <f t="shared" si="6"/>
        <v>0.7284877334309776</v>
      </c>
    </row>
    <row r="16" spans="1:14" ht="13.5" customHeight="1">
      <c r="A16" s="277" t="s">
        <v>310</v>
      </c>
      <c r="B16" s="14">
        <v>18444</v>
      </c>
      <c r="C16" s="13"/>
      <c r="D16" s="168">
        <f t="shared" si="0"/>
        <v>18444</v>
      </c>
      <c r="E16" s="14">
        <v>592</v>
      </c>
      <c r="F16" s="13"/>
      <c r="G16" s="168">
        <f t="shared" si="1"/>
        <v>592</v>
      </c>
      <c r="H16" s="193">
        <f t="shared" si="2"/>
        <v>-17852</v>
      </c>
      <c r="I16" s="196">
        <f t="shared" si="5"/>
        <v>0.03209715896768597</v>
      </c>
      <c r="J16" s="15">
        <v>765</v>
      </c>
      <c r="K16" s="13"/>
      <c r="L16" s="168">
        <f t="shared" si="3"/>
        <v>765</v>
      </c>
      <c r="M16" s="193">
        <f t="shared" si="4"/>
        <v>173</v>
      </c>
      <c r="N16" s="194">
        <f t="shared" si="6"/>
        <v>1.2922297297297298</v>
      </c>
    </row>
    <row r="17" spans="1:14" ht="13.5" customHeight="1">
      <c r="A17" s="277" t="s">
        <v>311</v>
      </c>
      <c r="B17" s="14"/>
      <c r="C17" s="13"/>
      <c r="D17" s="168">
        <f t="shared" si="0"/>
        <v>0</v>
      </c>
      <c r="E17" s="14">
        <v>15441</v>
      </c>
      <c r="F17" s="13"/>
      <c r="G17" s="168">
        <f t="shared" si="1"/>
        <v>15441</v>
      </c>
      <c r="H17" s="193">
        <f t="shared" si="2"/>
        <v>15441</v>
      </c>
      <c r="I17" s="196"/>
      <c r="J17" s="15">
        <v>11037</v>
      </c>
      <c r="K17" s="13"/>
      <c r="L17" s="168">
        <f t="shared" si="3"/>
        <v>11037</v>
      </c>
      <c r="M17" s="193">
        <f t="shared" si="4"/>
        <v>-4404</v>
      </c>
      <c r="N17" s="194">
        <f t="shared" si="6"/>
        <v>0.7147853118321352</v>
      </c>
    </row>
    <row r="18" spans="1:14" ht="13.5" customHeight="1" thickBot="1">
      <c r="A18" s="278" t="s">
        <v>416</v>
      </c>
      <c r="B18" s="165"/>
      <c r="C18" s="166"/>
      <c r="D18" s="168">
        <f t="shared" si="0"/>
        <v>0</v>
      </c>
      <c r="E18" s="165">
        <v>353</v>
      </c>
      <c r="F18" s="166"/>
      <c r="G18" s="168">
        <f t="shared" si="1"/>
        <v>353</v>
      </c>
      <c r="H18" s="271"/>
      <c r="I18" s="273"/>
      <c r="J18" s="169">
        <v>135</v>
      </c>
      <c r="K18" s="166"/>
      <c r="L18" s="168">
        <f t="shared" si="3"/>
        <v>135</v>
      </c>
      <c r="M18" s="271"/>
      <c r="N18" s="272"/>
    </row>
    <row r="19" spans="1:14" ht="13.5" customHeight="1" thickBot="1">
      <c r="A19" s="182" t="s">
        <v>182</v>
      </c>
      <c r="B19" s="186">
        <f aca="true" t="shared" si="7" ref="B19:G19">SUM(B7+B8+B9+B10+B11+B13+B15)</f>
        <v>31890</v>
      </c>
      <c r="C19" s="187">
        <v>258</v>
      </c>
      <c r="D19" s="188">
        <v>32148</v>
      </c>
      <c r="E19" s="186">
        <f t="shared" si="7"/>
        <v>40074</v>
      </c>
      <c r="F19" s="187">
        <f t="shared" si="7"/>
        <v>217</v>
      </c>
      <c r="G19" s="188">
        <f t="shared" si="7"/>
        <v>40291</v>
      </c>
      <c r="H19" s="190">
        <f t="shared" si="2"/>
        <v>8143</v>
      </c>
      <c r="I19" s="108">
        <f t="shared" si="5"/>
        <v>1.2532972502177429</v>
      </c>
      <c r="J19" s="198">
        <f>J8+J11+J15</f>
        <v>37047</v>
      </c>
      <c r="K19" s="187">
        <f>SUM(K7+K8+K9+K10+K11+K13+K15)</f>
        <v>220</v>
      </c>
      <c r="L19" s="188">
        <f>K19+J19</f>
        <v>37267</v>
      </c>
      <c r="M19" s="190">
        <f t="shared" si="4"/>
        <v>-3024</v>
      </c>
      <c r="N19" s="199">
        <f t="shared" si="6"/>
        <v>0.9249460177210791</v>
      </c>
    </row>
    <row r="20" spans="1:14" ht="13.5" customHeight="1">
      <c r="A20" s="96" t="s">
        <v>183</v>
      </c>
      <c r="B20" s="71">
        <v>6291</v>
      </c>
      <c r="C20" s="72">
        <v>135</v>
      </c>
      <c r="D20" s="73">
        <f aca="true" t="shared" si="8" ref="D20:D37">SUM(B20:C20)</f>
        <v>6426</v>
      </c>
      <c r="E20" s="71">
        <v>8629</v>
      </c>
      <c r="F20" s="72">
        <v>116</v>
      </c>
      <c r="G20" s="97">
        <f aca="true" t="shared" si="9" ref="G20:G37">SUM(E20:F20)</f>
        <v>8745</v>
      </c>
      <c r="H20" s="98">
        <f t="shared" si="2"/>
        <v>2319</v>
      </c>
      <c r="I20" s="99">
        <f t="shared" si="5"/>
        <v>1.3608776844070962</v>
      </c>
      <c r="J20" s="76">
        <v>6084</v>
      </c>
      <c r="K20" s="72">
        <v>119</v>
      </c>
      <c r="L20" s="100">
        <f aca="true" t="shared" si="10" ref="L20:L37">SUM(J20:K20)</f>
        <v>6203</v>
      </c>
      <c r="M20" s="98">
        <f t="shared" si="4"/>
        <v>-2542</v>
      </c>
      <c r="N20" s="101">
        <f t="shared" si="6"/>
        <v>0.7093196112064036</v>
      </c>
    </row>
    <row r="21" spans="1:14" ht="21" customHeight="1">
      <c r="A21" s="82" t="s">
        <v>184</v>
      </c>
      <c r="B21" s="71">
        <v>548</v>
      </c>
      <c r="C21" s="72"/>
      <c r="D21" s="73">
        <f t="shared" si="8"/>
        <v>548</v>
      </c>
      <c r="E21" s="71">
        <v>1861</v>
      </c>
      <c r="F21" s="72">
        <v>2</v>
      </c>
      <c r="G21" s="97">
        <f t="shared" si="9"/>
        <v>1863</v>
      </c>
      <c r="H21" s="74">
        <f t="shared" si="2"/>
        <v>1315</v>
      </c>
      <c r="I21" s="75">
        <f t="shared" si="5"/>
        <v>3.3996350364963503</v>
      </c>
      <c r="J21" s="76">
        <v>450</v>
      </c>
      <c r="K21" s="72">
        <v>2</v>
      </c>
      <c r="L21" s="100">
        <f t="shared" si="10"/>
        <v>452</v>
      </c>
      <c r="M21" s="74">
        <f t="shared" si="4"/>
        <v>-1411</v>
      </c>
      <c r="N21" s="77">
        <f t="shared" si="6"/>
        <v>0.24261943102522812</v>
      </c>
    </row>
    <row r="22" spans="1:14" ht="13.5" customHeight="1">
      <c r="A22" s="78" t="s">
        <v>185</v>
      </c>
      <c r="B22" s="79">
        <v>2549</v>
      </c>
      <c r="C22" s="80">
        <v>12</v>
      </c>
      <c r="D22" s="73">
        <f t="shared" si="8"/>
        <v>2561</v>
      </c>
      <c r="E22" s="79">
        <v>2285</v>
      </c>
      <c r="F22" s="80">
        <v>14</v>
      </c>
      <c r="G22" s="97">
        <f t="shared" si="9"/>
        <v>2299</v>
      </c>
      <c r="H22" s="74">
        <f t="shared" si="2"/>
        <v>-262</v>
      </c>
      <c r="I22" s="75">
        <f t="shared" si="5"/>
        <v>0.8976962124170246</v>
      </c>
      <c r="J22" s="81">
        <v>2850</v>
      </c>
      <c r="K22" s="80">
        <v>14</v>
      </c>
      <c r="L22" s="100">
        <f t="shared" si="10"/>
        <v>2864</v>
      </c>
      <c r="M22" s="74">
        <f t="shared" si="4"/>
        <v>565</v>
      </c>
      <c r="N22" s="77">
        <f t="shared" si="6"/>
        <v>1.245759025663332</v>
      </c>
    </row>
    <row r="23" spans="1:14" ht="13.5" customHeight="1">
      <c r="A23" s="82" t="s">
        <v>186</v>
      </c>
      <c r="B23" s="79"/>
      <c r="C23" s="80"/>
      <c r="D23" s="73">
        <f t="shared" si="8"/>
        <v>0</v>
      </c>
      <c r="E23" s="79"/>
      <c r="F23" s="80"/>
      <c r="G23" s="97">
        <f t="shared" si="9"/>
        <v>0</v>
      </c>
      <c r="H23" s="74">
        <f t="shared" si="2"/>
        <v>0</v>
      </c>
      <c r="I23" s="75"/>
      <c r="J23" s="81"/>
      <c r="K23" s="80"/>
      <c r="L23" s="100">
        <f t="shared" si="10"/>
        <v>0</v>
      </c>
      <c r="M23" s="74">
        <f t="shared" si="4"/>
        <v>0</v>
      </c>
      <c r="N23" s="77"/>
    </row>
    <row r="24" spans="1:14" ht="13.5" customHeight="1">
      <c r="A24" s="78" t="s">
        <v>298</v>
      </c>
      <c r="B24" s="79"/>
      <c r="C24" s="80"/>
      <c r="D24" s="73">
        <f t="shared" si="8"/>
        <v>0</v>
      </c>
      <c r="E24" s="79">
        <v>24</v>
      </c>
      <c r="F24" s="80"/>
      <c r="G24" s="97">
        <f t="shared" si="9"/>
        <v>24</v>
      </c>
      <c r="H24" s="74">
        <f t="shared" si="2"/>
        <v>24</v>
      </c>
      <c r="I24" s="75"/>
      <c r="J24" s="81">
        <v>26</v>
      </c>
      <c r="K24" s="80"/>
      <c r="L24" s="100">
        <f t="shared" si="10"/>
        <v>26</v>
      </c>
      <c r="M24" s="74">
        <f t="shared" si="4"/>
        <v>2</v>
      </c>
      <c r="N24" s="77">
        <f aca="true" t="shared" si="11" ref="N24:N38">+L24/G24</f>
        <v>1.0833333333333333</v>
      </c>
    </row>
    <row r="25" spans="1:14" ht="13.5" customHeight="1">
      <c r="A25" s="78" t="s">
        <v>187</v>
      </c>
      <c r="B25" s="81">
        <v>1402</v>
      </c>
      <c r="C25" s="80">
        <v>2</v>
      </c>
      <c r="D25" s="73">
        <f t="shared" si="8"/>
        <v>1404</v>
      </c>
      <c r="E25" s="81">
        <v>1541</v>
      </c>
      <c r="F25" s="80">
        <v>3</v>
      </c>
      <c r="G25" s="97">
        <f t="shared" si="9"/>
        <v>1544</v>
      </c>
      <c r="H25" s="74">
        <f t="shared" si="2"/>
        <v>140</v>
      </c>
      <c r="I25" s="75">
        <f aca="true" t="shared" si="12" ref="I25:I38">+G25/D25</f>
        <v>1.0997150997150997</v>
      </c>
      <c r="J25" s="81">
        <v>1756</v>
      </c>
      <c r="K25" s="80">
        <v>2</v>
      </c>
      <c r="L25" s="100">
        <f t="shared" si="10"/>
        <v>1758</v>
      </c>
      <c r="M25" s="74">
        <f t="shared" si="4"/>
        <v>214</v>
      </c>
      <c r="N25" s="77">
        <f t="shared" si="11"/>
        <v>1.13860103626943</v>
      </c>
    </row>
    <row r="26" spans="1:14" ht="13.5" customHeight="1">
      <c r="A26" s="82" t="s">
        <v>188</v>
      </c>
      <c r="B26" s="79">
        <v>503</v>
      </c>
      <c r="C26" s="80">
        <v>2</v>
      </c>
      <c r="D26" s="73">
        <f t="shared" si="8"/>
        <v>505</v>
      </c>
      <c r="E26" s="79">
        <v>522</v>
      </c>
      <c r="F26" s="80">
        <v>3</v>
      </c>
      <c r="G26" s="97">
        <f t="shared" si="9"/>
        <v>525</v>
      </c>
      <c r="H26" s="74">
        <f t="shared" si="2"/>
        <v>20</v>
      </c>
      <c r="I26" s="75">
        <f t="shared" si="12"/>
        <v>1.0396039603960396</v>
      </c>
      <c r="J26" s="102">
        <v>752</v>
      </c>
      <c r="K26" s="80">
        <v>2</v>
      </c>
      <c r="L26" s="100">
        <f t="shared" si="10"/>
        <v>754</v>
      </c>
      <c r="M26" s="74">
        <f t="shared" si="4"/>
        <v>229</v>
      </c>
      <c r="N26" s="77">
        <f t="shared" si="11"/>
        <v>1.4361904761904762</v>
      </c>
    </row>
    <row r="27" spans="1:14" ht="13.5" customHeight="1">
      <c r="A27" s="78" t="s">
        <v>189</v>
      </c>
      <c r="B27" s="79">
        <v>899</v>
      </c>
      <c r="C27" s="80"/>
      <c r="D27" s="73">
        <f t="shared" si="8"/>
        <v>899</v>
      </c>
      <c r="E27" s="79">
        <v>1019</v>
      </c>
      <c r="F27" s="80"/>
      <c r="G27" s="97">
        <f t="shared" si="9"/>
        <v>1019</v>
      </c>
      <c r="H27" s="74">
        <f t="shared" si="2"/>
        <v>120</v>
      </c>
      <c r="I27" s="75">
        <f t="shared" si="12"/>
        <v>1.1334816462736375</v>
      </c>
      <c r="J27" s="102">
        <v>1004</v>
      </c>
      <c r="K27" s="80"/>
      <c r="L27" s="100">
        <f t="shared" si="10"/>
        <v>1004</v>
      </c>
      <c r="M27" s="74">
        <f t="shared" si="4"/>
        <v>-15</v>
      </c>
      <c r="N27" s="77">
        <f t="shared" si="11"/>
        <v>0.985279685966634</v>
      </c>
    </row>
    <row r="28" spans="1:14" ht="13.5" customHeight="1">
      <c r="A28" s="103" t="s">
        <v>190</v>
      </c>
      <c r="B28" s="81">
        <v>20893</v>
      </c>
      <c r="C28" s="80">
        <v>50</v>
      </c>
      <c r="D28" s="73">
        <f t="shared" si="8"/>
        <v>20943</v>
      </c>
      <c r="E28" s="81">
        <v>25050</v>
      </c>
      <c r="F28" s="80">
        <v>58</v>
      </c>
      <c r="G28" s="97">
        <f t="shared" si="9"/>
        <v>25108</v>
      </c>
      <c r="H28" s="74">
        <f t="shared" si="2"/>
        <v>4165</v>
      </c>
      <c r="I28" s="75">
        <f t="shared" si="12"/>
        <v>1.1988731318340258</v>
      </c>
      <c r="J28" s="81">
        <v>25759</v>
      </c>
      <c r="K28" s="80">
        <v>60</v>
      </c>
      <c r="L28" s="100">
        <f t="shared" si="10"/>
        <v>25819</v>
      </c>
      <c r="M28" s="74">
        <f t="shared" si="4"/>
        <v>711</v>
      </c>
      <c r="N28" s="77">
        <f t="shared" si="11"/>
        <v>1.0283176676756411</v>
      </c>
    </row>
    <row r="29" spans="1:14" ht="13.5" customHeight="1">
      <c r="A29" s="82" t="s">
        <v>191</v>
      </c>
      <c r="B29" s="79">
        <v>15183</v>
      </c>
      <c r="C29" s="80">
        <v>37</v>
      </c>
      <c r="D29" s="73">
        <f t="shared" si="8"/>
        <v>15220</v>
      </c>
      <c r="E29" s="79">
        <v>18143</v>
      </c>
      <c r="F29" s="80">
        <v>43</v>
      </c>
      <c r="G29" s="97">
        <f t="shared" si="9"/>
        <v>18186</v>
      </c>
      <c r="H29" s="74">
        <f t="shared" si="2"/>
        <v>2966</v>
      </c>
      <c r="I29" s="75">
        <f t="shared" si="12"/>
        <v>1.194875164257556</v>
      </c>
      <c r="J29" s="102">
        <v>18668</v>
      </c>
      <c r="K29" s="104">
        <v>44</v>
      </c>
      <c r="L29" s="100">
        <f t="shared" si="10"/>
        <v>18712</v>
      </c>
      <c r="M29" s="74">
        <f t="shared" si="4"/>
        <v>526</v>
      </c>
      <c r="N29" s="77">
        <f t="shared" si="11"/>
        <v>1.028923347630045</v>
      </c>
    </row>
    <row r="30" spans="1:14" ht="13.5" customHeight="1">
      <c r="A30" s="103" t="s">
        <v>192</v>
      </c>
      <c r="B30" s="79">
        <v>15082</v>
      </c>
      <c r="C30" s="80">
        <v>37</v>
      </c>
      <c r="D30" s="73">
        <f t="shared" si="8"/>
        <v>15119</v>
      </c>
      <c r="E30" s="79">
        <v>17926</v>
      </c>
      <c r="F30" s="80">
        <v>43</v>
      </c>
      <c r="G30" s="97">
        <f t="shared" si="9"/>
        <v>17969</v>
      </c>
      <c r="H30" s="74">
        <f t="shared" si="2"/>
        <v>2850</v>
      </c>
      <c r="I30" s="75">
        <f t="shared" si="12"/>
        <v>1.1885045307229314</v>
      </c>
      <c r="J30" s="81">
        <v>18593</v>
      </c>
      <c r="K30" s="80">
        <v>44</v>
      </c>
      <c r="L30" s="100">
        <f t="shared" si="10"/>
        <v>18637</v>
      </c>
      <c r="M30" s="74">
        <f t="shared" si="4"/>
        <v>668</v>
      </c>
      <c r="N30" s="77">
        <f t="shared" si="11"/>
        <v>1.037175134954644</v>
      </c>
    </row>
    <row r="31" spans="1:14" ht="13.5" customHeight="1">
      <c r="A31" s="82" t="s">
        <v>193</v>
      </c>
      <c r="B31" s="79">
        <v>101</v>
      </c>
      <c r="C31" s="80"/>
      <c r="D31" s="73">
        <f t="shared" si="8"/>
        <v>101</v>
      </c>
      <c r="E31" s="79">
        <v>217</v>
      </c>
      <c r="F31" s="80"/>
      <c r="G31" s="97">
        <f t="shared" si="9"/>
        <v>217</v>
      </c>
      <c r="H31" s="74">
        <f t="shared" si="2"/>
        <v>116</v>
      </c>
      <c r="I31" s="75">
        <f t="shared" si="12"/>
        <v>2.1485148514851486</v>
      </c>
      <c r="J31" s="81">
        <v>75</v>
      </c>
      <c r="K31" s="80"/>
      <c r="L31" s="100">
        <f t="shared" si="10"/>
        <v>75</v>
      </c>
      <c r="M31" s="74">
        <f t="shared" si="4"/>
        <v>-142</v>
      </c>
      <c r="N31" s="77">
        <f t="shared" si="11"/>
        <v>0.3456221198156682</v>
      </c>
    </row>
    <row r="32" spans="1:14" ht="13.5" customHeight="1">
      <c r="A32" s="82" t="s">
        <v>194</v>
      </c>
      <c r="B32" s="79">
        <v>5710</v>
      </c>
      <c r="C32" s="80">
        <v>13</v>
      </c>
      <c r="D32" s="73">
        <f t="shared" si="8"/>
        <v>5723</v>
      </c>
      <c r="E32" s="79">
        <v>6907</v>
      </c>
      <c r="F32" s="80">
        <v>15</v>
      </c>
      <c r="G32" s="97">
        <f t="shared" si="9"/>
        <v>6922</v>
      </c>
      <c r="H32" s="74">
        <f t="shared" si="2"/>
        <v>1199</v>
      </c>
      <c r="I32" s="75">
        <f t="shared" si="12"/>
        <v>1.209505504106238</v>
      </c>
      <c r="J32" s="81">
        <v>7091</v>
      </c>
      <c r="K32" s="80">
        <v>16</v>
      </c>
      <c r="L32" s="100">
        <f t="shared" si="10"/>
        <v>7107</v>
      </c>
      <c r="M32" s="74">
        <f t="shared" si="4"/>
        <v>185</v>
      </c>
      <c r="N32" s="77">
        <f t="shared" si="11"/>
        <v>1.026726379659058</v>
      </c>
    </row>
    <row r="33" spans="1:14" ht="13.5" customHeight="1">
      <c r="A33" s="103" t="s">
        <v>195</v>
      </c>
      <c r="B33" s="79"/>
      <c r="C33" s="80"/>
      <c r="D33" s="73">
        <f t="shared" si="8"/>
        <v>0</v>
      </c>
      <c r="E33" s="79"/>
      <c r="F33" s="80"/>
      <c r="G33" s="97">
        <f t="shared" si="9"/>
        <v>0</v>
      </c>
      <c r="H33" s="74">
        <f t="shared" si="2"/>
        <v>0</v>
      </c>
      <c r="I33" s="75"/>
      <c r="J33" s="81"/>
      <c r="K33" s="80"/>
      <c r="L33" s="100">
        <f t="shared" si="10"/>
        <v>0</v>
      </c>
      <c r="M33" s="74">
        <f t="shared" si="4"/>
        <v>0</v>
      </c>
      <c r="N33" s="77"/>
    </row>
    <row r="34" spans="1:14" ht="13.5" customHeight="1">
      <c r="A34" s="103" t="s">
        <v>196</v>
      </c>
      <c r="B34" s="79">
        <v>149</v>
      </c>
      <c r="C34" s="80"/>
      <c r="D34" s="73">
        <f t="shared" si="8"/>
        <v>149</v>
      </c>
      <c r="E34" s="79">
        <v>418</v>
      </c>
      <c r="F34" s="80"/>
      <c r="G34" s="97">
        <f t="shared" si="9"/>
        <v>418</v>
      </c>
      <c r="H34" s="74">
        <f t="shared" si="2"/>
        <v>269</v>
      </c>
      <c r="I34" s="75">
        <f t="shared" si="12"/>
        <v>2.8053691275167787</v>
      </c>
      <c r="J34" s="81">
        <v>450</v>
      </c>
      <c r="K34" s="80"/>
      <c r="L34" s="100">
        <f t="shared" si="10"/>
        <v>450</v>
      </c>
      <c r="M34" s="74">
        <f t="shared" si="4"/>
        <v>32</v>
      </c>
      <c r="N34" s="77">
        <f t="shared" si="11"/>
        <v>1.076555023923445</v>
      </c>
    </row>
    <row r="35" spans="1:14" ht="13.5" customHeight="1">
      <c r="A35" s="82" t="s">
        <v>197</v>
      </c>
      <c r="B35" s="79">
        <v>606</v>
      </c>
      <c r="C35" s="80">
        <v>2</v>
      </c>
      <c r="D35" s="73">
        <f t="shared" si="8"/>
        <v>608</v>
      </c>
      <c r="E35" s="79">
        <v>594</v>
      </c>
      <c r="F35" s="80"/>
      <c r="G35" s="97">
        <f t="shared" si="9"/>
        <v>594</v>
      </c>
      <c r="H35" s="74">
        <f t="shared" si="2"/>
        <v>-14</v>
      </c>
      <c r="I35" s="75">
        <f t="shared" si="12"/>
        <v>0.9769736842105263</v>
      </c>
      <c r="J35" s="102">
        <v>569</v>
      </c>
      <c r="K35" s="80"/>
      <c r="L35" s="100">
        <f t="shared" si="10"/>
        <v>569</v>
      </c>
      <c r="M35" s="74">
        <f t="shared" si="4"/>
        <v>-25</v>
      </c>
      <c r="N35" s="77">
        <f t="shared" si="11"/>
        <v>0.9579124579124579</v>
      </c>
    </row>
    <row r="36" spans="1:14" ht="22.5" customHeight="1">
      <c r="A36" s="82" t="s">
        <v>198</v>
      </c>
      <c r="B36" s="79">
        <v>606</v>
      </c>
      <c r="C36" s="80">
        <v>2</v>
      </c>
      <c r="D36" s="73">
        <f t="shared" si="8"/>
        <v>608</v>
      </c>
      <c r="E36" s="79">
        <v>594</v>
      </c>
      <c r="F36" s="80"/>
      <c r="G36" s="97">
        <f t="shared" si="9"/>
        <v>594</v>
      </c>
      <c r="H36" s="74">
        <f t="shared" si="2"/>
        <v>-14</v>
      </c>
      <c r="I36" s="75">
        <f t="shared" si="12"/>
        <v>0.9769736842105263</v>
      </c>
      <c r="J36" s="102">
        <v>569</v>
      </c>
      <c r="K36" s="80"/>
      <c r="L36" s="100">
        <f t="shared" si="10"/>
        <v>569</v>
      </c>
      <c r="M36" s="74">
        <f t="shared" si="4"/>
        <v>-25</v>
      </c>
      <c r="N36" s="77">
        <f t="shared" si="11"/>
        <v>0.9579124579124579</v>
      </c>
    </row>
    <row r="37" spans="1:14" ht="13.5" customHeight="1" thickBot="1">
      <c r="A37" s="105" t="s">
        <v>199</v>
      </c>
      <c r="B37" s="83"/>
      <c r="C37" s="84"/>
      <c r="D37" s="73">
        <f t="shared" si="8"/>
        <v>0</v>
      </c>
      <c r="E37" s="83">
        <v>223.5</v>
      </c>
      <c r="F37" s="84"/>
      <c r="G37" s="97">
        <f t="shared" si="9"/>
        <v>223.5</v>
      </c>
      <c r="H37" s="85">
        <f t="shared" si="2"/>
        <v>223.5</v>
      </c>
      <c r="I37" s="86"/>
      <c r="J37" s="106"/>
      <c r="K37" s="84"/>
      <c r="L37" s="100">
        <f t="shared" si="10"/>
        <v>0</v>
      </c>
      <c r="M37" s="85">
        <f t="shared" si="4"/>
        <v>-223.5</v>
      </c>
      <c r="N37" s="87"/>
    </row>
    <row r="38" spans="1:14" ht="13.5" customHeight="1" thickBot="1">
      <c r="A38" s="88" t="s">
        <v>200</v>
      </c>
      <c r="B38" s="89">
        <f aca="true" t="shared" si="13" ref="B38:G38">SUM(B20+B22+B23+B24+B25+B28+B33+B34+B35+B37)</f>
        <v>31890</v>
      </c>
      <c r="C38" s="90">
        <f t="shared" si="13"/>
        <v>201</v>
      </c>
      <c r="D38" s="91">
        <f t="shared" si="13"/>
        <v>32091</v>
      </c>
      <c r="E38" s="89">
        <f t="shared" si="13"/>
        <v>38764.5</v>
      </c>
      <c r="F38" s="90">
        <f t="shared" si="13"/>
        <v>191</v>
      </c>
      <c r="G38" s="91">
        <f t="shared" si="13"/>
        <v>38955.5</v>
      </c>
      <c r="H38" s="92">
        <f t="shared" si="2"/>
        <v>6864.5</v>
      </c>
      <c r="I38" s="93">
        <f t="shared" si="12"/>
        <v>1.2139073260415694</v>
      </c>
      <c r="J38" s="94">
        <f>SUM(J20+J22+J23+J24+J25+J28+J33+J34+J35+J37)</f>
        <v>37494</v>
      </c>
      <c r="K38" s="90">
        <f>SUM(K20+K22+K23+K24+K25+K28+K33+K34+K35+K37)</f>
        <v>195</v>
      </c>
      <c r="L38" s="91">
        <f>SUM(L20+L22+L23+L24+L25+L28+L33+L34+L35+L37)</f>
        <v>37689</v>
      </c>
      <c r="M38" s="92">
        <f t="shared" si="4"/>
        <v>-1266.5</v>
      </c>
      <c r="N38" s="95">
        <f t="shared" si="11"/>
        <v>0.967488544621427</v>
      </c>
    </row>
    <row r="39" spans="1:14" ht="13.5" customHeight="1" thickBot="1">
      <c r="A39" s="88" t="s">
        <v>201</v>
      </c>
      <c r="B39" s="787">
        <v>57</v>
      </c>
      <c r="C39" s="787"/>
      <c r="D39" s="787"/>
      <c r="E39" s="787">
        <f>+G19-G38</f>
        <v>1335.5</v>
      </c>
      <c r="F39" s="787"/>
      <c r="G39" s="787">
        <v>-50784</v>
      </c>
      <c r="H39" s="107"/>
      <c r="I39" s="108"/>
      <c r="J39" s="789">
        <f>+L19-L38</f>
        <v>-422</v>
      </c>
      <c r="K39" s="789"/>
      <c r="L39" s="789">
        <v>0</v>
      </c>
      <c r="M39" s="92"/>
      <c r="N39" s="95"/>
    </row>
    <row r="40" spans="1:16" ht="20.25" customHeight="1" thickBot="1">
      <c r="A40" s="109" t="s">
        <v>202</v>
      </c>
      <c r="B40" s="787"/>
      <c r="C40" s="787"/>
      <c r="D40" s="787"/>
      <c r="E40" s="787"/>
      <c r="F40" s="787"/>
      <c r="G40" s="787"/>
      <c r="H40"/>
      <c r="I40"/>
      <c r="J40"/>
      <c r="K40"/>
      <c r="L40"/>
      <c r="M40"/>
      <c r="N40"/>
      <c r="O40"/>
      <c r="P40"/>
    </row>
    <row r="41" spans="2:8" ht="14.25" customHeight="1" thickBot="1">
      <c r="B41" s="7"/>
      <c r="C41" s="7"/>
      <c r="D41" s="16"/>
      <c r="E41" s="7"/>
      <c r="F41" s="7"/>
      <c r="G41" s="7"/>
      <c r="H41" s="7"/>
    </row>
    <row r="42" spans="1:16" ht="13.5" thickBot="1">
      <c r="A42" s="805" t="s">
        <v>312</v>
      </c>
      <c r="B42" s="805"/>
      <c r="C42" s="799" t="s">
        <v>203</v>
      </c>
      <c r="D42" s="805" t="s">
        <v>420</v>
      </c>
      <c r="E42" s="805"/>
      <c r="F42" s="805"/>
      <c r="G42" s="799" t="s">
        <v>203</v>
      </c>
      <c r="H42" s="785" t="s">
        <v>421</v>
      </c>
      <c r="I42" s="785"/>
      <c r="J42" s="785"/>
      <c r="K42" s="785"/>
      <c r="L42" s="799" t="s">
        <v>203</v>
      </c>
      <c r="O42"/>
      <c r="P42"/>
    </row>
    <row r="43" spans="1:16" ht="13.5" thickBot="1">
      <c r="A43" s="805"/>
      <c r="B43" s="805"/>
      <c r="C43" s="799"/>
      <c r="D43" s="805"/>
      <c r="E43" s="805"/>
      <c r="F43" s="805"/>
      <c r="G43" s="799"/>
      <c r="H43" s="785"/>
      <c r="I43" s="785"/>
      <c r="J43" s="785"/>
      <c r="K43" s="785"/>
      <c r="L43" s="799"/>
      <c r="O43"/>
      <c r="P43"/>
    </row>
    <row r="44" spans="1:16" ht="12.75">
      <c r="A44" s="794" t="s">
        <v>387</v>
      </c>
      <c r="B44" s="794"/>
      <c r="C44" s="110">
        <v>317</v>
      </c>
      <c r="D44" s="795" t="s">
        <v>572</v>
      </c>
      <c r="E44" s="795"/>
      <c r="F44" s="795"/>
      <c r="G44" s="111">
        <v>44</v>
      </c>
      <c r="H44" s="802" t="s">
        <v>573</v>
      </c>
      <c r="I44" s="802"/>
      <c r="J44" s="802"/>
      <c r="K44" s="802"/>
      <c r="L44" s="112">
        <v>150</v>
      </c>
      <c r="O44"/>
      <c r="P44"/>
    </row>
    <row r="45" spans="1:16" ht="12.75">
      <c r="A45" s="797" t="s">
        <v>574</v>
      </c>
      <c r="B45" s="797"/>
      <c r="C45" s="113">
        <v>120</v>
      </c>
      <c r="D45" s="795" t="s">
        <v>575</v>
      </c>
      <c r="E45" s="795"/>
      <c r="F45" s="795"/>
      <c r="G45" s="114">
        <v>80</v>
      </c>
      <c r="H45" s="802" t="s">
        <v>377</v>
      </c>
      <c r="I45" s="802"/>
      <c r="J45" s="802"/>
      <c r="K45" s="802"/>
      <c r="L45" s="112">
        <v>600</v>
      </c>
      <c r="O45"/>
      <c r="P45"/>
    </row>
    <row r="46" spans="1:16" ht="12.75">
      <c r="A46" s="797" t="s">
        <v>388</v>
      </c>
      <c r="B46" s="797"/>
      <c r="C46" s="113">
        <v>56</v>
      </c>
      <c r="D46" s="795" t="s">
        <v>576</v>
      </c>
      <c r="E46" s="795"/>
      <c r="F46" s="795"/>
      <c r="G46" s="114">
        <v>268</v>
      </c>
      <c r="H46" s="802" t="s">
        <v>204</v>
      </c>
      <c r="I46" s="802"/>
      <c r="J46" s="802"/>
      <c r="K46" s="802"/>
      <c r="L46" s="112">
        <v>169</v>
      </c>
      <c r="O46"/>
      <c r="P46"/>
    </row>
    <row r="47" spans="1:16" ht="12.75">
      <c r="A47" s="797" t="s">
        <v>300</v>
      </c>
      <c r="B47" s="797"/>
      <c r="C47" s="115">
        <v>66</v>
      </c>
      <c r="D47" s="797" t="s">
        <v>576</v>
      </c>
      <c r="E47" s="797"/>
      <c r="F47" s="797"/>
      <c r="G47" s="116">
        <v>137</v>
      </c>
      <c r="H47" s="776" t="s">
        <v>146</v>
      </c>
      <c r="I47" s="776"/>
      <c r="J47" s="776"/>
      <c r="K47" s="776"/>
      <c r="L47" s="112">
        <v>300</v>
      </c>
      <c r="O47"/>
      <c r="P47"/>
    </row>
    <row r="48" spans="1:16" ht="12.75">
      <c r="A48" s="797" t="s">
        <v>389</v>
      </c>
      <c r="B48" s="797"/>
      <c r="C48" s="115">
        <v>71</v>
      </c>
      <c r="D48" s="797"/>
      <c r="E48" s="797"/>
      <c r="F48" s="797"/>
      <c r="G48" s="116"/>
      <c r="H48" s="776"/>
      <c r="I48" s="776"/>
      <c r="J48" s="776"/>
      <c r="K48" s="776"/>
      <c r="L48" s="112"/>
      <c r="O48"/>
      <c r="P48"/>
    </row>
    <row r="49" spans="1:16" ht="12.75">
      <c r="A49" s="797" t="s">
        <v>390</v>
      </c>
      <c r="B49" s="797"/>
      <c r="C49" s="115">
        <v>83</v>
      </c>
      <c r="D49" s="797"/>
      <c r="E49" s="797"/>
      <c r="F49" s="797"/>
      <c r="G49" s="116"/>
      <c r="H49" s="776"/>
      <c r="I49" s="776"/>
      <c r="J49" s="776"/>
      <c r="K49" s="776"/>
      <c r="L49" s="112"/>
      <c r="O49"/>
      <c r="P49"/>
    </row>
    <row r="50" spans="1:16" ht="13.5" thickBot="1">
      <c r="A50" s="800"/>
      <c r="B50" s="800"/>
      <c r="C50" s="115"/>
      <c r="D50" s="801"/>
      <c r="E50" s="801"/>
      <c r="F50" s="801"/>
      <c r="G50" s="116"/>
      <c r="H50" s="802"/>
      <c r="I50" s="802"/>
      <c r="J50" s="802"/>
      <c r="K50" s="802"/>
      <c r="L50" s="112"/>
      <c r="O50"/>
      <c r="P50"/>
    </row>
    <row r="51" spans="1:16" ht="13.5" thickBot="1">
      <c r="A51" s="811"/>
      <c r="B51" s="811"/>
      <c r="C51" s="117">
        <f>SUM(C44:C50)</f>
        <v>713</v>
      </c>
      <c r="D51" s="812" t="s">
        <v>168</v>
      </c>
      <c r="E51" s="812"/>
      <c r="F51" s="812"/>
      <c r="G51" s="117">
        <f>SUM(G44:G50)</f>
        <v>529</v>
      </c>
      <c r="H51" s="778" t="s">
        <v>168</v>
      </c>
      <c r="I51" s="778"/>
      <c r="J51" s="778"/>
      <c r="K51" s="778"/>
      <c r="L51" s="117">
        <f>SUM(L44:L50)</f>
        <v>1219</v>
      </c>
      <c r="M51" s="17"/>
      <c r="N51" s="17"/>
      <c r="O51"/>
      <c r="P51"/>
    </row>
    <row r="52" spans="1:16" s="1" customFormat="1" ht="13.5" customHeight="1" thickBot="1">
      <c r="A52" s="18"/>
      <c r="B52" s="5"/>
      <c r="C52" s="5"/>
      <c r="D52" s="5"/>
      <c r="E52" s="5"/>
      <c r="F52" s="5"/>
      <c r="G52" s="5"/>
      <c r="H52" s="6"/>
      <c r="I52" s="3"/>
      <c r="J52" s="3"/>
      <c r="K52" s="3"/>
      <c r="L52" s="3"/>
      <c r="M52" s="3"/>
      <c r="N52" s="3"/>
      <c r="O52" s="3"/>
      <c r="P52" s="3"/>
    </row>
    <row r="53" spans="1:16" ht="13.5" thickBot="1">
      <c r="A53" s="866" t="s">
        <v>429</v>
      </c>
      <c r="B53" s="867"/>
      <c r="C53" s="869" t="s">
        <v>203</v>
      </c>
      <c r="D53" s="806" t="s">
        <v>430</v>
      </c>
      <c r="E53" s="806"/>
      <c r="F53" s="806"/>
      <c r="G53" s="798" t="s">
        <v>203</v>
      </c>
      <c r="H53" s="785" t="s">
        <v>431</v>
      </c>
      <c r="I53" s="785"/>
      <c r="J53" s="785"/>
      <c r="K53" s="785"/>
      <c r="L53" s="799" t="s">
        <v>203</v>
      </c>
      <c r="O53"/>
      <c r="P53"/>
    </row>
    <row r="54" spans="1:16" ht="13.5" thickBot="1">
      <c r="A54" s="868"/>
      <c r="B54" s="805"/>
      <c r="C54" s="870"/>
      <c r="D54" s="806"/>
      <c r="E54" s="806"/>
      <c r="F54" s="806"/>
      <c r="G54" s="798"/>
      <c r="H54" s="785"/>
      <c r="I54" s="785"/>
      <c r="J54" s="785"/>
      <c r="K54" s="785"/>
      <c r="L54" s="799"/>
      <c r="O54"/>
      <c r="P54"/>
    </row>
    <row r="55" spans="1:16" ht="12.75">
      <c r="A55" s="871" t="s">
        <v>577</v>
      </c>
      <c r="B55" s="803"/>
      <c r="C55" s="201">
        <v>169</v>
      </c>
      <c r="D55" s="804" t="s">
        <v>578</v>
      </c>
      <c r="E55" s="804"/>
      <c r="F55" s="804"/>
      <c r="G55" s="118">
        <v>115</v>
      </c>
      <c r="H55" s="802" t="s">
        <v>579</v>
      </c>
      <c r="I55" s="802"/>
      <c r="J55" s="802"/>
      <c r="K55" s="802"/>
      <c r="L55" s="112">
        <v>24</v>
      </c>
      <c r="O55"/>
      <c r="P55"/>
    </row>
    <row r="56" spans="1:16" ht="13.5" customHeight="1">
      <c r="A56" s="872" t="s">
        <v>391</v>
      </c>
      <c r="B56" s="781"/>
      <c r="C56" s="202">
        <v>199</v>
      </c>
      <c r="D56" s="782" t="s">
        <v>580</v>
      </c>
      <c r="E56" s="782"/>
      <c r="F56" s="782"/>
      <c r="G56" s="119">
        <v>102</v>
      </c>
      <c r="H56" s="776" t="s">
        <v>581</v>
      </c>
      <c r="I56" s="776"/>
      <c r="J56" s="776"/>
      <c r="K56" s="776"/>
      <c r="L56" s="120">
        <v>30</v>
      </c>
      <c r="O56"/>
      <c r="P56"/>
    </row>
    <row r="57" spans="1:16" ht="13.5" customHeight="1">
      <c r="A57" s="872" t="s">
        <v>392</v>
      </c>
      <c r="B57" s="781"/>
      <c r="C57" s="202">
        <v>98</v>
      </c>
      <c r="D57" s="782" t="s">
        <v>393</v>
      </c>
      <c r="E57" s="782"/>
      <c r="F57" s="782"/>
      <c r="G57" s="119">
        <v>17</v>
      </c>
      <c r="H57" s="776" t="s">
        <v>582</v>
      </c>
      <c r="I57" s="776"/>
      <c r="J57" s="776"/>
      <c r="K57" s="776"/>
      <c r="L57" s="120">
        <v>150</v>
      </c>
      <c r="O57"/>
      <c r="P57"/>
    </row>
    <row r="58" spans="1:16" ht="13.5" customHeight="1">
      <c r="A58" s="872" t="s">
        <v>393</v>
      </c>
      <c r="B58" s="781"/>
      <c r="C58" s="202">
        <v>39</v>
      </c>
      <c r="D58" s="782" t="s">
        <v>583</v>
      </c>
      <c r="E58" s="782"/>
      <c r="F58" s="782"/>
      <c r="G58" s="119">
        <v>55</v>
      </c>
      <c r="H58" s="776" t="s">
        <v>584</v>
      </c>
      <c r="I58" s="776"/>
      <c r="J58" s="776"/>
      <c r="K58" s="776"/>
      <c r="L58" s="120">
        <v>150</v>
      </c>
      <c r="O58"/>
      <c r="P58"/>
    </row>
    <row r="59" spans="1:16" ht="13.5" customHeight="1">
      <c r="A59" s="872"/>
      <c r="B59" s="781"/>
      <c r="C59" s="203"/>
      <c r="D59" s="782" t="s">
        <v>585</v>
      </c>
      <c r="E59" s="782"/>
      <c r="F59" s="782"/>
      <c r="G59" s="121">
        <v>104</v>
      </c>
      <c r="H59" s="776" t="s">
        <v>586</v>
      </c>
      <c r="I59" s="776"/>
      <c r="J59" s="776"/>
      <c r="K59" s="776"/>
      <c r="L59" s="122">
        <v>50</v>
      </c>
      <c r="O59"/>
      <c r="P59"/>
    </row>
    <row r="60" spans="1:16" ht="13.5" customHeight="1">
      <c r="A60" s="872"/>
      <c r="B60" s="781"/>
      <c r="C60" s="203"/>
      <c r="D60" s="782" t="s">
        <v>587</v>
      </c>
      <c r="E60" s="782"/>
      <c r="F60" s="782"/>
      <c r="G60" s="121">
        <v>132</v>
      </c>
      <c r="H60" s="776" t="s">
        <v>588</v>
      </c>
      <c r="I60" s="776"/>
      <c r="J60" s="776"/>
      <c r="K60" s="776"/>
      <c r="L60" s="122">
        <v>200</v>
      </c>
      <c r="O60"/>
      <c r="P60"/>
    </row>
    <row r="61" spans="1:16" ht="13.5" customHeight="1">
      <c r="A61" s="872"/>
      <c r="B61" s="873"/>
      <c r="C61" s="202"/>
      <c r="D61" s="782"/>
      <c r="E61" s="782"/>
      <c r="F61" s="782"/>
      <c r="G61" s="119"/>
      <c r="H61" s="776" t="s">
        <v>589</v>
      </c>
      <c r="I61" s="776"/>
      <c r="J61" s="776"/>
      <c r="K61" s="776"/>
      <c r="L61" s="120">
        <v>150</v>
      </c>
      <c r="O61"/>
      <c r="P61"/>
    </row>
    <row r="62" spans="1:16" ht="13.5" thickBot="1">
      <c r="A62" s="874"/>
      <c r="B62" s="780"/>
      <c r="C62" s="204"/>
      <c r="D62" s="783"/>
      <c r="E62" s="783"/>
      <c r="F62" s="783"/>
      <c r="G62" s="123"/>
      <c r="H62" s="777"/>
      <c r="I62" s="777"/>
      <c r="J62" s="777"/>
      <c r="K62" s="777"/>
      <c r="L62" s="124"/>
      <c r="O62"/>
      <c r="P62"/>
    </row>
    <row r="63" spans="1:16" ht="13.5" thickBot="1">
      <c r="A63" s="877" t="s">
        <v>168</v>
      </c>
      <c r="B63" s="878"/>
      <c r="C63" s="205">
        <f>SUM(C55:C62)</f>
        <v>505</v>
      </c>
      <c r="D63" s="784" t="s">
        <v>168</v>
      </c>
      <c r="E63" s="784"/>
      <c r="F63" s="784"/>
      <c r="G63" s="125">
        <f>SUM(G55:G62)</f>
        <v>525</v>
      </c>
      <c r="H63" s="778" t="s">
        <v>168</v>
      </c>
      <c r="I63" s="778"/>
      <c r="J63" s="778"/>
      <c r="K63" s="778"/>
      <c r="L63" s="117">
        <f>SUM(L55:L62)</f>
        <v>754</v>
      </c>
      <c r="M63" s="17"/>
      <c r="N63" s="17"/>
      <c r="O63"/>
      <c r="P63"/>
    </row>
    <row r="64" spans="1:14" s="1" customFormat="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1" customFormat="1" ht="13.5" thickBo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s="3" customFormat="1" ht="26.25" customHeight="1" thickBot="1">
      <c r="A66" s="833" t="s">
        <v>106</v>
      </c>
      <c r="B66" s="834"/>
      <c r="C66" s="834"/>
      <c r="D66" s="834"/>
      <c r="E66" s="835"/>
      <c r="F66" s="836" t="s">
        <v>107</v>
      </c>
      <c r="G66" s="914"/>
      <c r="H66" s="914"/>
      <c r="I66" s="914"/>
      <c r="J66" s="914"/>
      <c r="K66" s="914"/>
      <c r="L66" s="915"/>
      <c r="M66" s="19"/>
      <c r="N66" s="19"/>
    </row>
    <row r="67" spans="1:14" s="3" customFormat="1" ht="14.25" customHeight="1" thickBot="1">
      <c r="A67" s="417" t="s">
        <v>231</v>
      </c>
      <c r="B67" s="418" t="s">
        <v>96</v>
      </c>
      <c r="C67" s="908" t="s">
        <v>232</v>
      </c>
      <c r="D67" s="908"/>
      <c r="E67" s="419" t="s">
        <v>97</v>
      </c>
      <c r="F67" s="911" t="s">
        <v>231</v>
      </c>
      <c r="G67" s="912"/>
      <c r="H67" s="418" t="s">
        <v>96</v>
      </c>
      <c r="I67" s="908" t="s">
        <v>232</v>
      </c>
      <c r="J67" s="908"/>
      <c r="K67" s="908"/>
      <c r="L67" s="420" t="s">
        <v>97</v>
      </c>
      <c r="M67" s="19"/>
      <c r="N67" s="19"/>
    </row>
    <row r="68" spans="1:14" s="3" customFormat="1" ht="12.75">
      <c r="A68" s="401" t="s">
        <v>98</v>
      </c>
      <c r="B68" s="402">
        <v>170</v>
      </c>
      <c r="C68" s="842" t="s">
        <v>99</v>
      </c>
      <c r="D68" s="842"/>
      <c r="E68" s="403"/>
      <c r="F68" s="843" t="s">
        <v>98</v>
      </c>
      <c r="G68" s="909"/>
      <c r="H68" s="402">
        <v>472</v>
      </c>
      <c r="I68" s="842" t="s">
        <v>99</v>
      </c>
      <c r="J68" s="909"/>
      <c r="K68" s="909"/>
      <c r="L68" s="403">
        <v>300</v>
      </c>
      <c r="M68" s="19"/>
      <c r="N68" s="19"/>
    </row>
    <row r="69" spans="1:14" s="3" customFormat="1" ht="12.75">
      <c r="A69" s="404" t="s">
        <v>100</v>
      </c>
      <c r="B69" s="405">
        <v>29</v>
      </c>
      <c r="C69" s="845" t="s">
        <v>101</v>
      </c>
      <c r="D69" s="845"/>
      <c r="E69" s="406">
        <v>214</v>
      </c>
      <c r="F69" s="846" t="s">
        <v>102</v>
      </c>
      <c r="G69" s="901"/>
      <c r="H69" s="405">
        <v>1136</v>
      </c>
      <c r="I69" s="845" t="s">
        <v>101</v>
      </c>
      <c r="J69" s="901"/>
      <c r="K69" s="901"/>
      <c r="L69" s="406">
        <v>500</v>
      </c>
      <c r="M69" s="19"/>
      <c r="N69" s="19"/>
    </row>
    <row r="70" spans="1:14" s="3" customFormat="1" ht="12.75">
      <c r="A70" s="404" t="s">
        <v>103</v>
      </c>
      <c r="B70" s="405">
        <v>487</v>
      </c>
      <c r="C70" s="845"/>
      <c r="D70" s="845"/>
      <c r="E70" s="406"/>
      <c r="F70" s="845" t="s">
        <v>103</v>
      </c>
      <c r="G70" s="845"/>
      <c r="H70" s="405">
        <v>200</v>
      </c>
      <c r="I70" s="845"/>
      <c r="J70" s="901"/>
      <c r="K70" s="901"/>
      <c r="L70" s="406"/>
      <c r="M70" s="19"/>
      <c r="N70" s="19"/>
    </row>
    <row r="71" spans="1:14" s="3" customFormat="1" ht="13.5" thickBot="1">
      <c r="A71" s="407" t="s">
        <v>657</v>
      </c>
      <c r="B71" s="408"/>
      <c r="C71" s="848"/>
      <c r="D71" s="848"/>
      <c r="E71" s="409"/>
      <c r="F71" s="849"/>
      <c r="G71" s="910"/>
      <c r="H71" s="408"/>
      <c r="I71" s="848"/>
      <c r="J71" s="910"/>
      <c r="K71" s="910"/>
      <c r="L71" s="409"/>
      <c r="M71" s="19"/>
      <c r="N71" s="19"/>
    </row>
    <row r="72" spans="1:14" s="3" customFormat="1" ht="13.5" thickBot="1">
      <c r="A72" s="410" t="s">
        <v>168</v>
      </c>
      <c r="B72" s="411">
        <f>SUM(B68:B71)</f>
        <v>686</v>
      </c>
      <c r="C72" s="851" t="s">
        <v>168</v>
      </c>
      <c r="D72" s="851"/>
      <c r="E72" s="413">
        <f>SUM(E68:E71)</f>
        <v>214</v>
      </c>
      <c r="F72" s="852" t="s">
        <v>168</v>
      </c>
      <c r="G72" s="913"/>
      <c r="H72" s="412">
        <f>SUM(H68:H71)</f>
        <v>1808</v>
      </c>
      <c r="I72" s="851" t="s">
        <v>168</v>
      </c>
      <c r="J72" s="913"/>
      <c r="K72" s="913"/>
      <c r="L72" s="413">
        <f>SUM(L68:L71)</f>
        <v>800</v>
      </c>
      <c r="M72" s="19"/>
      <c r="N72" s="19"/>
    </row>
    <row r="73" spans="1:14" s="3" customFormat="1" ht="13.5" thickBot="1">
      <c r="A73" s="421" t="s">
        <v>105</v>
      </c>
      <c r="B73" s="413">
        <f>B72-E72</f>
        <v>472</v>
      </c>
      <c r="C73" s="19"/>
      <c r="D73" s="19"/>
      <c r="E73" s="19"/>
      <c r="F73" s="916" t="s">
        <v>105</v>
      </c>
      <c r="G73" s="917"/>
      <c r="H73" s="422">
        <f>H72-L72</f>
        <v>1008</v>
      </c>
      <c r="I73" s="19"/>
      <c r="J73" s="19"/>
      <c r="K73" s="19"/>
      <c r="L73" s="19"/>
      <c r="M73" s="19"/>
      <c r="N73" s="19"/>
    </row>
    <row r="74" spans="1:14" s="1" customFormat="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s="1" customFormat="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2" s="1" customFormat="1" ht="12.75">
      <c r="A76" s="20"/>
      <c r="B76" s="21"/>
      <c r="C76" s="21"/>
      <c r="D76" s="21"/>
      <c r="E76" s="2"/>
      <c r="F76" s="4"/>
      <c r="G76" s="4"/>
      <c r="H76" s="20"/>
      <c r="I76" s="21"/>
      <c r="J76" s="21"/>
      <c r="K76" s="21"/>
      <c r="L76" s="2"/>
    </row>
    <row r="77" spans="1:12" s="1" customFormat="1" ht="13.5" thickBot="1">
      <c r="A77" s="20"/>
      <c r="B77" s="21"/>
      <c r="C77" s="21"/>
      <c r="D77" s="21"/>
      <c r="E77" s="2"/>
      <c r="F77" s="4"/>
      <c r="G77" s="4"/>
      <c r="H77" s="20"/>
      <c r="I77" s="21"/>
      <c r="J77" s="21" t="s">
        <v>307</v>
      </c>
      <c r="K77" s="21"/>
      <c r="L77" s="2"/>
    </row>
    <row r="78" spans="1:15" s="1" customFormat="1" ht="12.75">
      <c r="A78" s="879" t="s">
        <v>227</v>
      </c>
      <c r="B78" s="882" t="s">
        <v>435</v>
      </c>
      <c r="C78" s="885" t="s">
        <v>436</v>
      </c>
      <c r="D78" s="886"/>
      <c r="E78" s="886"/>
      <c r="F78" s="886"/>
      <c r="G78" s="886"/>
      <c r="H78" s="886"/>
      <c r="I78" s="887"/>
      <c r="J78" s="888" t="s">
        <v>437</v>
      </c>
      <c r="K78" s="7"/>
      <c r="L78" s="864" t="s">
        <v>205</v>
      </c>
      <c r="M78" s="865"/>
      <c r="N78" s="59">
        <v>2006</v>
      </c>
      <c r="O78" s="60">
        <v>2007</v>
      </c>
    </row>
    <row r="79" spans="1:15" s="1" customFormat="1" ht="12.75">
      <c r="A79" s="880"/>
      <c r="B79" s="883"/>
      <c r="C79" s="891" t="s">
        <v>228</v>
      </c>
      <c r="D79" s="893" t="s">
        <v>229</v>
      </c>
      <c r="E79" s="894"/>
      <c r="F79" s="894"/>
      <c r="G79" s="894"/>
      <c r="H79" s="894"/>
      <c r="I79" s="895"/>
      <c r="J79" s="889"/>
      <c r="K79" s="7"/>
      <c r="L79" s="63" t="s">
        <v>273</v>
      </c>
      <c r="M79" s="62"/>
      <c r="N79" s="58"/>
      <c r="O79" s="61"/>
    </row>
    <row r="80" spans="1:15" s="1" customFormat="1" ht="13.5" thickBot="1">
      <c r="A80" s="881"/>
      <c r="B80" s="884"/>
      <c r="C80" s="892"/>
      <c r="D80" s="25">
        <v>1</v>
      </c>
      <c r="E80" s="25">
        <v>2</v>
      </c>
      <c r="F80" s="25">
        <v>3</v>
      </c>
      <c r="G80" s="25">
        <v>4</v>
      </c>
      <c r="H80" s="25">
        <v>5</v>
      </c>
      <c r="I80" s="56">
        <v>6</v>
      </c>
      <c r="J80" s="890"/>
      <c r="K80" s="7"/>
      <c r="L80" s="62" t="s">
        <v>206</v>
      </c>
      <c r="M80" s="63"/>
      <c r="N80" s="22">
        <v>0</v>
      </c>
      <c r="O80" s="23">
        <v>0</v>
      </c>
    </row>
    <row r="81" spans="1:15" s="1" customFormat="1" ht="13.5" thickBot="1">
      <c r="A81" s="26">
        <v>21008</v>
      </c>
      <c r="B81" s="27">
        <v>11491</v>
      </c>
      <c r="C81" s="54">
        <f>SUM(D81:I81)</f>
        <v>569</v>
      </c>
      <c r="D81" s="55">
        <v>137</v>
      </c>
      <c r="E81" s="55">
        <v>262</v>
      </c>
      <c r="F81" s="55">
        <v>2</v>
      </c>
      <c r="G81" s="55">
        <v>0</v>
      </c>
      <c r="H81" s="54">
        <v>168</v>
      </c>
      <c r="I81" s="57">
        <v>0</v>
      </c>
      <c r="J81" s="28">
        <f>SUM(A81-B81-C81)</f>
        <v>8948</v>
      </c>
      <c r="K81" s="7"/>
      <c r="L81" s="64" t="s">
        <v>207</v>
      </c>
      <c r="M81" s="65"/>
      <c r="N81" s="52">
        <v>0</v>
      </c>
      <c r="O81" s="53">
        <v>0</v>
      </c>
    </row>
    <row r="82" spans="1:12" s="1" customFormat="1" ht="12.75">
      <c r="A82" s="20"/>
      <c r="B82" s="21"/>
      <c r="C82" s="21"/>
      <c r="D82" s="21"/>
      <c r="E82" s="2"/>
      <c r="F82" s="200"/>
      <c r="G82" s="4"/>
      <c r="H82" s="20"/>
      <c r="I82" s="21"/>
      <c r="J82" s="21"/>
      <c r="K82" s="21"/>
      <c r="L82" s="2"/>
    </row>
    <row r="83" spans="1:12" s="1" customFormat="1" ht="13.5" thickBot="1">
      <c r="A83" s="20"/>
      <c r="B83" s="21"/>
      <c r="C83" s="21"/>
      <c r="D83" s="21"/>
      <c r="E83" s="2"/>
      <c r="F83" s="200"/>
      <c r="G83" s="4"/>
      <c r="H83" s="20"/>
      <c r="I83" s="21"/>
      <c r="J83" s="21"/>
      <c r="K83" s="21"/>
      <c r="L83" s="21" t="s">
        <v>307</v>
      </c>
    </row>
    <row r="84" spans="1:12" s="1" customFormat="1" ht="12.75">
      <c r="A84" s="855" t="s">
        <v>255</v>
      </c>
      <c r="B84" s="857" t="s">
        <v>438</v>
      </c>
      <c r="C84" s="859" t="s">
        <v>439</v>
      </c>
      <c r="D84" s="860"/>
      <c r="E84" s="860"/>
      <c r="F84" s="861"/>
      <c r="G84" s="862" t="s">
        <v>440</v>
      </c>
      <c r="H84" s="896" t="s">
        <v>230</v>
      </c>
      <c r="I84" s="898" t="s">
        <v>441</v>
      </c>
      <c r="J84" s="899"/>
      <c r="K84" s="899"/>
      <c r="L84" s="900"/>
    </row>
    <row r="85" spans="1:12" s="1" customFormat="1" ht="18.75" thickBot="1">
      <c r="A85" s="856"/>
      <c r="B85" s="858"/>
      <c r="C85" s="29" t="s">
        <v>321</v>
      </c>
      <c r="D85" s="30" t="s">
        <v>231</v>
      </c>
      <c r="E85" s="30" t="s">
        <v>232</v>
      </c>
      <c r="F85" s="31" t="s">
        <v>322</v>
      </c>
      <c r="G85" s="863"/>
      <c r="H85" s="897"/>
      <c r="I85" s="174" t="s">
        <v>442</v>
      </c>
      <c r="J85" s="175" t="s">
        <v>231</v>
      </c>
      <c r="K85" s="175" t="s">
        <v>232</v>
      </c>
      <c r="L85" s="176" t="s">
        <v>443</v>
      </c>
    </row>
    <row r="86" spans="1:12" s="1" customFormat="1" ht="12.75">
      <c r="A86" s="32" t="s">
        <v>233</v>
      </c>
      <c r="B86" s="33">
        <v>2941</v>
      </c>
      <c r="C86" s="34" t="s">
        <v>234</v>
      </c>
      <c r="D86" s="35" t="s">
        <v>234</v>
      </c>
      <c r="E86" s="35" t="s">
        <v>234</v>
      </c>
      <c r="F86" s="36"/>
      <c r="G86" s="37">
        <v>5375</v>
      </c>
      <c r="H86" s="171" t="s">
        <v>234</v>
      </c>
      <c r="I86" s="177" t="s">
        <v>234</v>
      </c>
      <c r="J86" s="178" t="s">
        <v>234</v>
      </c>
      <c r="K86" s="178" t="s">
        <v>234</v>
      </c>
      <c r="L86" s="179" t="s">
        <v>234</v>
      </c>
    </row>
    <row r="87" spans="1:12" s="1" customFormat="1" ht="12.75">
      <c r="A87" s="38" t="s">
        <v>235</v>
      </c>
      <c r="B87" s="39">
        <v>12</v>
      </c>
      <c r="C87" s="40">
        <v>12</v>
      </c>
      <c r="D87" s="41">
        <v>28</v>
      </c>
      <c r="E87" s="41">
        <v>0</v>
      </c>
      <c r="F87" s="42">
        <f>C87+D87-E87</f>
        <v>40</v>
      </c>
      <c r="G87" s="43">
        <v>40</v>
      </c>
      <c r="H87" s="172">
        <f>+G87-F87</f>
        <v>0</v>
      </c>
      <c r="I87" s="40">
        <v>40</v>
      </c>
      <c r="J87" s="41">
        <v>200</v>
      </c>
      <c r="K87" s="41"/>
      <c r="L87" s="42">
        <f>I87+J87-K87</f>
        <v>240</v>
      </c>
    </row>
    <row r="88" spans="1:12" s="1" customFormat="1" ht="12.75">
      <c r="A88" s="38" t="s">
        <v>236</v>
      </c>
      <c r="B88" s="39">
        <v>170</v>
      </c>
      <c r="C88" s="40">
        <v>170</v>
      </c>
      <c r="D88" s="41">
        <v>516</v>
      </c>
      <c r="E88" s="41">
        <v>214</v>
      </c>
      <c r="F88" s="42">
        <f>C88+D88-E88</f>
        <v>472</v>
      </c>
      <c r="G88" s="43">
        <v>472</v>
      </c>
      <c r="H88" s="172">
        <f>+G88-F88</f>
        <v>0</v>
      </c>
      <c r="I88" s="40">
        <v>472</v>
      </c>
      <c r="J88" s="41">
        <v>1336</v>
      </c>
      <c r="K88" s="41">
        <v>800</v>
      </c>
      <c r="L88" s="42">
        <f>I88+J88-K88</f>
        <v>1008</v>
      </c>
    </row>
    <row r="89" spans="1:12" s="1" customFormat="1" ht="12.75">
      <c r="A89" s="38" t="s">
        <v>256</v>
      </c>
      <c r="B89" s="39">
        <v>490</v>
      </c>
      <c r="C89" s="40">
        <v>490</v>
      </c>
      <c r="D89" s="41">
        <v>630</v>
      </c>
      <c r="E89" s="41">
        <v>698</v>
      </c>
      <c r="F89" s="42">
        <f>C89+D89-E89</f>
        <v>422</v>
      </c>
      <c r="G89" s="43">
        <v>434</v>
      </c>
      <c r="H89" s="172">
        <f>+G89-F89</f>
        <v>12</v>
      </c>
      <c r="I89" s="180">
        <v>422</v>
      </c>
      <c r="J89" s="170">
        <f>569+300</f>
        <v>869</v>
      </c>
      <c r="K89" s="170">
        <f>L51</f>
        <v>1219</v>
      </c>
      <c r="L89" s="42">
        <f>I89+J89-K89</f>
        <v>72</v>
      </c>
    </row>
    <row r="90" spans="1:12" s="1" customFormat="1" ht="12.75">
      <c r="A90" s="38" t="s">
        <v>237</v>
      </c>
      <c r="B90" s="39">
        <v>2269</v>
      </c>
      <c r="C90" s="50" t="s">
        <v>234</v>
      </c>
      <c r="D90" s="35" t="s">
        <v>234</v>
      </c>
      <c r="E90" s="51" t="s">
        <v>234</v>
      </c>
      <c r="F90" s="42"/>
      <c r="G90" s="43">
        <v>4429</v>
      </c>
      <c r="H90" s="50" t="s">
        <v>234</v>
      </c>
      <c r="I90" s="34"/>
      <c r="J90" s="35"/>
      <c r="K90" s="35"/>
      <c r="L90" s="181">
        <v>0</v>
      </c>
    </row>
    <row r="91" spans="1:12" s="1" customFormat="1" ht="13.5" thickBot="1">
      <c r="A91" s="44" t="s">
        <v>238</v>
      </c>
      <c r="B91" s="45">
        <v>80</v>
      </c>
      <c r="C91" s="46">
        <v>89</v>
      </c>
      <c r="D91" s="47">
        <v>362</v>
      </c>
      <c r="E91" s="47">
        <v>280</v>
      </c>
      <c r="F91" s="48">
        <f>C91+D91-E91</f>
        <v>171</v>
      </c>
      <c r="G91" s="49">
        <v>166</v>
      </c>
      <c r="H91" s="173">
        <f>+G91-F91</f>
        <v>-5</v>
      </c>
      <c r="I91" s="46">
        <v>171</v>
      </c>
      <c r="J91" s="47">
        <v>372</v>
      </c>
      <c r="K91" s="47">
        <v>543</v>
      </c>
      <c r="L91" s="48">
        <f>I91+J91-K91</f>
        <v>0</v>
      </c>
    </row>
    <row r="92" spans="1:12" s="1" customFormat="1" ht="12.75">
      <c r="A92" s="20"/>
      <c r="B92" s="21"/>
      <c r="C92" s="21"/>
      <c r="D92" s="21"/>
      <c r="E92" s="2"/>
      <c r="F92" s="200"/>
      <c r="G92" s="4"/>
      <c r="H92" s="20"/>
      <c r="I92" s="21"/>
      <c r="J92" s="21"/>
      <c r="K92" s="21"/>
      <c r="L92" s="2"/>
    </row>
    <row r="93" spans="1:12" s="1" customFormat="1" ht="12.75">
      <c r="A93" s="20"/>
      <c r="B93" s="21"/>
      <c r="C93" s="21"/>
      <c r="D93" s="21"/>
      <c r="E93" s="2"/>
      <c r="F93" s="200"/>
      <c r="G93" s="4"/>
      <c r="H93" s="20"/>
      <c r="I93" s="21"/>
      <c r="J93" s="21"/>
      <c r="K93" s="21"/>
      <c r="L93" s="2"/>
    </row>
    <row r="94" spans="1:12" s="1" customFormat="1" ht="12.75">
      <c r="A94" s="20"/>
      <c r="B94" s="21"/>
      <c r="C94" s="21"/>
      <c r="D94" s="21"/>
      <c r="E94" s="2"/>
      <c r="F94" s="200"/>
      <c r="G94" s="4"/>
      <c r="H94" s="20"/>
      <c r="I94" s="21"/>
      <c r="J94" s="21"/>
      <c r="K94" s="21"/>
      <c r="L94" s="2"/>
    </row>
    <row r="95" spans="1:12" s="1" customFormat="1" ht="12.75">
      <c r="A95" s="20"/>
      <c r="B95" s="21"/>
      <c r="C95" s="21"/>
      <c r="D95" s="21"/>
      <c r="E95" s="2"/>
      <c r="F95" s="200"/>
      <c r="G95" s="4"/>
      <c r="H95" s="20"/>
      <c r="I95" s="21"/>
      <c r="J95" s="21"/>
      <c r="K95" s="21"/>
      <c r="L95" s="2"/>
    </row>
    <row r="96" spans="1:12" s="1" customFormat="1" ht="12.75">
      <c r="A96" s="20"/>
      <c r="B96" s="21"/>
      <c r="C96" s="21"/>
      <c r="D96" s="21"/>
      <c r="E96" s="2"/>
      <c r="F96" s="200"/>
      <c r="G96" s="4"/>
      <c r="H96" s="20"/>
      <c r="I96" s="21"/>
      <c r="J96" s="21"/>
      <c r="K96" s="21"/>
      <c r="L96" s="2"/>
    </row>
    <row r="97" spans="1:12" s="1" customFormat="1" ht="12.75">
      <c r="A97" s="20"/>
      <c r="B97" s="21"/>
      <c r="C97" s="21"/>
      <c r="D97" s="21"/>
      <c r="E97" s="2"/>
      <c r="F97" s="4"/>
      <c r="G97" s="4"/>
      <c r="H97" s="20"/>
      <c r="I97" s="21"/>
      <c r="J97" s="21"/>
      <c r="K97" s="21"/>
      <c r="L97" s="2"/>
    </row>
    <row r="98" spans="1:12" s="1" customFormat="1" ht="12.75">
      <c r="A98" s="20"/>
      <c r="B98" s="21"/>
      <c r="C98" s="21"/>
      <c r="D98" s="21"/>
      <c r="E98" s="2"/>
      <c r="F98" s="4"/>
      <c r="G98" s="4"/>
      <c r="H98" s="20"/>
      <c r="I98" s="21"/>
      <c r="J98" s="21"/>
      <c r="K98" s="21"/>
      <c r="L98" s="2"/>
    </row>
    <row r="99" spans="8:12" ht="13.5" thickBot="1">
      <c r="H99" s="21" t="s">
        <v>307</v>
      </c>
      <c r="L99" s="21" t="s">
        <v>307</v>
      </c>
    </row>
    <row r="100" spans="1:12" ht="13.5" thickBot="1">
      <c r="A100" s="823" t="s">
        <v>444</v>
      </c>
      <c r="B100" s="824" t="s">
        <v>168</v>
      </c>
      <c r="C100" s="810" t="s">
        <v>239</v>
      </c>
      <c r="D100" s="810"/>
      <c r="E100" s="810"/>
      <c r="F100" s="810"/>
      <c r="G100" s="810"/>
      <c r="H100" s="810"/>
      <c r="I100" s="24"/>
      <c r="J100" s="825" t="s">
        <v>208</v>
      </c>
      <c r="K100" s="825"/>
      <c r="L100" s="825"/>
    </row>
    <row r="101" spans="1:12" ht="13.5" thickBot="1">
      <c r="A101" s="823"/>
      <c r="B101" s="824"/>
      <c r="C101" s="126" t="s">
        <v>240</v>
      </c>
      <c r="D101" s="127" t="s">
        <v>241</v>
      </c>
      <c r="E101" s="127" t="s">
        <v>242</v>
      </c>
      <c r="F101" s="127" t="s">
        <v>243</v>
      </c>
      <c r="G101" s="128" t="s">
        <v>244</v>
      </c>
      <c r="H101" s="129" t="s">
        <v>228</v>
      </c>
      <c r="I101" s="24"/>
      <c r="J101" s="130"/>
      <c r="K101" s="131" t="s">
        <v>209</v>
      </c>
      <c r="L101" s="132" t="s">
        <v>210</v>
      </c>
    </row>
    <row r="102" spans="1:12" ht="12.75">
      <c r="A102" s="133" t="s">
        <v>245</v>
      </c>
      <c r="B102" s="134">
        <v>261</v>
      </c>
      <c r="C102" s="135"/>
      <c r="D102" s="135"/>
      <c r="E102" s="135"/>
      <c r="F102" s="135"/>
      <c r="G102" s="134"/>
      <c r="H102" s="136">
        <f>SUM(C102:G102)</f>
        <v>0</v>
      </c>
      <c r="I102" s="24"/>
      <c r="J102" s="137">
        <v>2007</v>
      </c>
      <c r="K102" s="138">
        <v>17707</v>
      </c>
      <c r="L102" s="139">
        <f>+G30</f>
        <v>17969</v>
      </c>
    </row>
    <row r="103" spans="1:12" ht="13.5" thickBot="1">
      <c r="A103" s="140" t="s">
        <v>246</v>
      </c>
      <c r="B103" s="141">
        <v>3527</v>
      </c>
      <c r="C103" s="142"/>
      <c r="D103" s="142"/>
      <c r="E103" s="142"/>
      <c r="F103" s="142"/>
      <c r="G103" s="141"/>
      <c r="H103" s="143">
        <f>SUM(C103:G103)</f>
        <v>0</v>
      </c>
      <c r="I103" s="24"/>
      <c r="J103" s="144">
        <v>2008</v>
      </c>
      <c r="K103" s="145">
        <v>18593</v>
      </c>
      <c r="L103" s="146"/>
    </row>
    <row r="104" ht="12.75" customHeight="1"/>
    <row r="105" ht="13.5" thickBot="1">
      <c r="J105" s="208" t="s">
        <v>323</v>
      </c>
    </row>
    <row r="106" spans="1:10" ht="21" customHeight="1" thickBot="1">
      <c r="A106" s="823" t="s">
        <v>211</v>
      </c>
      <c r="B106" s="826" t="s">
        <v>212</v>
      </c>
      <c r="C106" s="826"/>
      <c r="D106" s="826"/>
      <c r="E106" s="827" t="s">
        <v>274</v>
      </c>
      <c r="F106" s="827"/>
      <c r="G106" s="827"/>
      <c r="H106" s="828" t="s">
        <v>213</v>
      </c>
      <c r="I106" s="828"/>
      <c r="J106" s="828"/>
    </row>
    <row r="107" spans="1:10" ht="12.75">
      <c r="A107" s="823"/>
      <c r="B107" s="147">
        <v>2006</v>
      </c>
      <c r="C107" s="147">
        <v>2007</v>
      </c>
      <c r="D107" s="147" t="s">
        <v>214</v>
      </c>
      <c r="E107" s="147">
        <v>2006</v>
      </c>
      <c r="F107" s="147">
        <v>2007</v>
      </c>
      <c r="G107" s="148" t="s">
        <v>214</v>
      </c>
      <c r="H107" s="149">
        <v>2006</v>
      </c>
      <c r="I107" s="147">
        <v>2007</v>
      </c>
      <c r="J107" s="148" t="s">
        <v>214</v>
      </c>
    </row>
    <row r="108" spans="1:10" ht="18.75">
      <c r="A108" s="150" t="s">
        <v>215</v>
      </c>
      <c r="B108" s="151">
        <v>4</v>
      </c>
      <c r="C108" s="151">
        <v>3.897</v>
      </c>
      <c r="D108" s="151">
        <f aca="true" t="shared" si="14" ref="D108:D118">+C108-B108</f>
        <v>-0.1030000000000002</v>
      </c>
      <c r="E108" s="151">
        <v>4</v>
      </c>
      <c r="F108" s="151">
        <v>3.5</v>
      </c>
      <c r="G108" s="152">
        <f aca="true" t="shared" si="15" ref="G108:G118">+F108-E108</f>
        <v>-0.5</v>
      </c>
      <c r="H108" s="153">
        <v>23125</v>
      </c>
      <c r="I108" s="154">
        <v>28387</v>
      </c>
      <c r="J108" s="155">
        <f aca="true" t="shared" si="16" ref="J108:J118">+I108-H108</f>
        <v>5262</v>
      </c>
    </row>
    <row r="109" spans="1:10" ht="12.75">
      <c r="A109" s="150" t="s">
        <v>248</v>
      </c>
      <c r="B109" s="151">
        <v>16.652</v>
      </c>
      <c r="C109" s="151">
        <v>19.515</v>
      </c>
      <c r="D109" s="151">
        <f t="shared" si="14"/>
        <v>2.8629999999999995</v>
      </c>
      <c r="E109" s="151">
        <v>17</v>
      </c>
      <c r="F109" s="151">
        <v>19</v>
      </c>
      <c r="G109" s="152">
        <f t="shared" si="15"/>
        <v>2</v>
      </c>
      <c r="H109" s="153">
        <v>21062</v>
      </c>
      <c r="I109" s="156">
        <v>22571</v>
      </c>
      <c r="J109" s="155">
        <f t="shared" si="16"/>
        <v>1509</v>
      </c>
    </row>
    <row r="110" spans="1:10" ht="12.75">
      <c r="A110" s="150" t="s">
        <v>216</v>
      </c>
      <c r="B110" s="151"/>
      <c r="C110" s="151"/>
      <c r="D110" s="151">
        <f t="shared" si="14"/>
        <v>0</v>
      </c>
      <c r="E110" s="151"/>
      <c r="F110" s="151"/>
      <c r="G110" s="152">
        <f t="shared" si="15"/>
        <v>0</v>
      </c>
      <c r="H110" s="153"/>
      <c r="I110" s="156"/>
      <c r="J110" s="155">
        <f t="shared" si="16"/>
        <v>0</v>
      </c>
    </row>
    <row r="111" spans="1:10" ht="12.75">
      <c r="A111" s="150" t="s">
        <v>217</v>
      </c>
      <c r="B111" s="151">
        <v>13.522</v>
      </c>
      <c r="C111" s="151"/>
      <c r="D111" s="151">
        <f t="shared" si="14"/>
        <v>-13.522</v>
      </c>
      <c r="E111" s="151"/>
      <c r="F111" s="151"/>
      <c r="G111" s="152">
        <f t="shared" si="15"/>
        <v>0</v>
      </c>
      <c r="H111" s="153">
        <v>14134</v>
      </c>
      <c r="I111" s="156"/>
      <c r="J111" s="155">
        <f t="shared" si="16"/>
        <v>-14134</v>
      </c>
    </row>
    <row r="112" spans="1:10" ht="12.75">
      <c r="A112" s="150" t="s">
        <v>299</v>
      </c>
      <c r="B112" s="151"/>
      <c r="C112" s="151"/>
      <c r="D112" s="151">
        <f t="shared" si="14"/>
        <v>0</v>
      </c>
      <c r="E112" s="151"/>
      <c r="F112" s="151"/>
      <c r="G112" s="152">
        <f t="shared" si="15"/>
        <v>0</v>
      </c>
      <c r="H112" s="153"/>
      <c r="I112" s="156"/>
      <c r="J112" s="155">
        <f t="shared" si="16"/>
        <v>0</v>
      </c>
    </row>
    <row r="113" spans="1:10" ht="12.75">
      <c r="A113" s="150" t="s">
        <v>297</v>
      </c>
      <c r="B113" s="151">
        <v>2.8</v>
      </c>
      <c r="C113" s="151"/>
      <c r="D113" s="151">
        <f t="shared" si="14"/>
        <v>-2.8</v>
      </c>
      <c r="E113" s="151">
        <v>2.8</v>
      </c>
      <c r="F113" s="151"/>
      <c r="G113" s="152">
        <f t="shared" si="15"/>
        <v>-2.8</v>
      </c>
      <c r="H113" s="153">
        <v>17364</v>
      </c>
      <c r="I113" s="156"/>
      <c r="J113" s="155">
        <f t="shared" si="16"/>
        <v>-17364</v>
      </c>
    </row>
    <row r="114" spans="1:10" ht="12.75">
      <c r="A114" s="150" t="s">
        <v>325</v>
      </c>
      <c r="B114" s="151">
        <v>10.13</v>
      </c>
      <c r="C114" s="151">
        <v>9.993</v>
      </c>
      <c r="D114" s="151">
        <f t="shared" si="14"/>
        <v>-0.13700000000000045</v>
      </c>
      <c r="E114" s="151">
        <v>10</v>
      </c>
      <c r="F114" s="151">
        <v>10</v>
      </c>
      <c r="G114" s="152">
        <f t="shared" si="15"/>
        <v>0</v>
      </c>
      <c r="H114" s="153">
        <v>11843</v>
      </c>
      <c r="I114" s="156">
        <v>13795</v>
      </c>
      <c r="J114" s="155">
        <f t="shared" si="16"/>
        <v>1952</v>
      </c>
    </row>
    <row r="115" spans="1:10" ht="12.75">
      <c r="A115" s="150" t="s">
        <v>219</v>
      </c>
      <c r="B115" s="151">
        <v>16.608</v>
      </c>
      <c r="C115" s="151">
        <v>33.282</v>
      </c>
      <c r="D115" s="151">
        <f t="shared" si="14"/>
        <v>16.673999999999996</v>
      </c>
      <c r="E115" s="151">
        <v>33.2</v>
      </c>
      <c r="F115" s="151">
        <v>33.35</v>
      </c>
      <c r="G115" s="152">
        <f t="shared" si="15"/>
        <v>0.14999999999999858</v>
      </c>
      <c r="H115" s="153">
        <v>12730</v>
      </c>
      <c r="I115" s="156">
        <v>15371</v>
      </c>
      <c r="J115" s="155">
        <f t="shared" si="16"/>
        <v>2641</v>
      </c>
    </row>
    <row r="116" spans="1:10" ht="12.75">
      <c r="A116" s="150" t="s">
        <v>220</v>
      </c>
      <c r="B116" s="151">
        <v>2</v>
      </c>
      <c r="C116" s="151">
        <v>2.914</v>
      </c>
      <c r="D116" s="151">
        <f t="shared" si="14"/>
        <v>0.9140000000000001</v>
      </c>
      <c r="E116" s="151">
        <v>2</v>
      </c>
      <c r="F116" s="151">
        <v>2.5</v>
      </c>
      <c r="G116" s="152">
        <f t="shared" si="15"/>
        <v>0.5</v>
      </c>
      <c r="H116" s="153">
        <v>18402</v>
      </c>
      <c r="I116" s="156">
        <v>21225</v>
      </c>
      <c r="J116" s="155">
        <f t="shared" si="16"/>
        <v>2823</v>
      </c>
    </row>
    <row r="117" spans="1:10" ht="12.75">
      <c r="A117" s="150" t="s">
        <v>221</v>
      </c>
      <c r="B117" s="151">
        <v>18.323</v>
      </c>
      <c r="C117" s="151">
        <v>19.341</v>
      </c>
      <c r="D117" s="151">
        <f t="shared" si="14"/>
        <v>1.0180000000000007</v>
      </c>
      <c r="E117" s="151">
        <v>18.688</v>
      </c>
      <c r="F117" s="151">
        <v>18.4</v>
      </c>
      <c r="G117" s="152">
        <f t="shared" si="15"/>
        <v>-0.28800000000000026</v>
      </c>
      <c r="H117" s="153">
        <v>11397</v>
      </c>
      <c r="I117" s="156">
        <v>12151</v>
      </c>
      <c r="J117" s="155">
        <f t="shared" si="16"/>
        <v>754</v>
      </c>
    </row>
    <row r="118" spans="1:10" ht="13.5" thickBot="1">
      <c r="A118" s="157" t="s">
        <v>168</v>
      </c>
      <c r="B118" s="158">
        <v>84.036</v>
      </c>
      <c r="C118" s="158">
        <v>88.942</v>
      </c>
      <c r="D118" s="158">
        <f t="shared" si="14"/>
        <v>4.905999999999992</v>
      </c>
      <c r="E118" s="158">
        <v>87.688</v>
      </c>
      <c r="F118" s="158">
        <v>86.75</v>
      </c>
      <c r="G118" s="159">
        <f t="shared" si="15"/>
        <v>-0.9380000000000024</v>
      </c>
      <c r="H118" s="160">
        <v>14993</v>
      </c>
      <c r="I118" s="161">
        <v>16836</v>
      </c>
      <c r="J118" s="162">
        <f t="shared" si="16"/>
        <v>1843</v>
      </c>
    </row>
    <row r="119" ht="13.5" thickBot="1"/>
    <row r="120" spans="1:16" ht="12.75">
      <c r="A120" s="829" t="s">
        <v>222</v>
      </c>
      <c r="B120" s="829"/>
      <c r="C120" s="829"/>
      <c r="D120" s="24"/>
      <c r="E120" s="829" t="s">
        <v>223</v>
      </c>
      <c r="F120" s="829"/>
      <c r="G120" s="829"/>
      <c r="H120"/>
      <c r="I120"/>
      <c r="J120"/>
      <c r="K120"/>
      <c r="L120"/>
      <c r="M120"/>
      <c r="N120"/>
      <c r="O120"/>
      <c r="P120"/>
    </row>
    <row r="121" spans="1:16" ht="13.5" thickBot="1">
      <c r="A121" s="130" t="s">
        <v>224</v>
      </c>
      <c r="B121" s="131" t="s">
        <v>225</v>
      </c>
      <c r="C121" s="132" t="s">
        <v>210</v>
      </c>
      <c r="D121" s="24"/>
      <c r="E121" s="130"/>
      <c r="F121" s="832" t="s">
        <v>226</v>
      </c>
      <c r="G121" s="832"/>
      <c r="H121"/>
      <c r="I121"/>
      <c r="J121"/>
      <c r="K121"/>
      <c r="L121"/>
      <c r="M121"/>
      <c r="N121"/>
      <c r="O121"/>
      <c r="P121"/>
    </row>
    <row r="122" spans="1:16" ht="12.75">
      <c r="A122" s="137">
        <v>2007</v>
      </c>
      <c r="B122" s="138">
        <v>91</v>
      </c>
      <c r="C122" s="139">
        <v>86.75</v>
      </c>
      <c r="D122" s="24"/>
      <c r="E122" s="137">
        <v>2007</v>
      </c>
      <c r="F122" s="830">
        <v>165</v>
      </c>
      <c r="G122" s="830"/>
      <c r="H122"/>
      <c r="I122"/>
      <c r="J122"/>
      <c r="K122"/>
      <c r="L122"/>
      <c r="M122"/>
      <c r="N122"/>
      <c r="O122"/>
      <c r="P122"/>
    </row>
    <row r="123" spans="1:16" ht="13.5" thickBot="1">
      <c r="A123" s="144">
        <v>2008</v>
      </c>
      <c r="B123" s="145">
        <v>87</v>
      </c>
      <c r="C123" s="146"/>
      <c r="D123" s="24"/>
      <c r="E123" s="144">
        <v>2008</v>
      </c>
      <c r="F123" s="831">
        <v>145</v>
      </c>
      <c r="G123" s="831"/>
      <c r="H123"/>
      <c r="I123"/>
      <c r="J123"/>
      <c r="K123"/>
      <c r="L123"/>
      <c r="M123"/>
      <c r="N123"/>
      <c r="O123"/>
      <c r="P123"/>
    </row>
  </sheetData>
  <mergeCells count="123">
    <mergeCell ref="C72:D72"/>
    <mergeCell ref="F72:G72"/>
    <mergeCell ref="I72:K72"/>
    <mergeCell ref="C70:D70"/>
    <mergeCell ref="F70:G70"/>
    <mergeCell ref="I70:K70"/>
    <mergeCell ref="C71:D71"/>
    <mergeCell ref="F71:G71"/>
    <mergeCell ref="I71:K71"/>
    <mergeCell ref="F68:G68"/>
    <mergeCell ref="I68:K68"/>
    <mergeCell ref="C69:D69"/>
    <mergeCell ref="F69:G69"/>
    <mergeCell ref="I69:K69"/>
    <mergeCell ref="F123:G123"/>
    <mergeCell ref="A120:C120"/>
    <mergeCell ref="E120:G120"/>
    <mergeCell ref="F121:G121"/>
    <mergeCell ref="F122:G122"/>
    <mergeCell ref="A106:A107"/>
    <mergeCell ref="B106:D106"/>
    <mergeCell ref="E106:G106"/>
    <mergeCell ref="H106:J106"/>
    <mergeCell ref="A66:E66"/>
    <mergeCell ref="F66:L66"/>
    <mergeCell ref="C67:D67"/>
    <mergeCell ref="A84:A85"/>
    <mergeCell ref="B84:B85"/>
    <mergeCell ref="C84:F84"/>
    <mergeCell ref="G84:G85"/>
    <mergeCell ref="F67:G67"/>
    <mergeCell ref="I67:K67"/>
    <mergeCell ref="C68:D68"/>
    <mergeCell ref="C78:I78"/>
    <mergeCell ref="J78:J80"/>
    <mergeCell ref="C79:C80"/>
    <mergeCell ref="D79:I79"/>
    <mergeCell ref="H51:K51"/>
    <mergeCell ref="C42:C43"/>
    <mergeCell ref="D42:F43"/>
    <mergeCell ref="G42:G43"/>
    <mergeCell ref="H42:K43"/>
    <mergeCell ref="D44:F44"/>
    <mergeCell ref="H44:K44"/>
    <mergeCell ref="E39:G39"/>
    <mergeCell ref="B39:D39"/>
    <mergeCell ref="A42:B43"/>
    <mergeCell ref="A1:N1"/>
    <mergeCell ref="J39:L39"/>
    <mergeCell ref="B40:D40"/>
    <mergeCell ref="E40:G40"/>
    <mergeCell ref="A3:A6"/>
    <mergeCell ref="L42:L43"/>
    <mergeCell ref="B3:N3"/>
    <mergeCell ref="H4:I4"/>
    <mergeCell ref="M4:N4"/>
    <mergeCell ref="B4:D4"/>
    <mergeCell ref="E4:G4"/>
    <mergeCell ref="J4:L4"/>
    <mergeCell ref="A45:B45"/>
    <mergeCell ref="D45:F45"/>
    <mergeCell ref="H45:K45"/>
    <mergeCell ref="A44:B44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3:B54"/>
    <mergeCell ref="C53:C54"/>
    <mergeCell ref="D53:F54"/>
    <mergeCell ref="G53:G54"/>
    <mergeCell ref="H53:K54"/>
    <mergeCell ref="A51:B51"/>
    <mergeCell ref="D51:F51"/>
    <mergeCell ref="L53:L54"/>
    <mergeCell ref="A55:B55"/>
    <mergeCell ref="D55:F55"/>
    <mergeCell ref="H55:K55"/>
    <mergeCell ref="A56:B56"/>
    <mergeCell ref="D56:F56"/>
    <mergeCell ref="H56:K56"/>
    <mergeCell ref="A61:B61"/>
    <mergeCell ref="D61:F61"/>
    <mergeCell ref="H61:K61"/>
    <mergeCell ref="A57:B57"/>
    <mergeCell ref="D57:F57"/>
    <mergeCell ref="H57:K57"/>
    <mergeCell ref="A58:B58"/>
    <mergeCell ref="D58:F58"/>
    <mergeCell ref="H58:K58"/>
    <mergeCell ref="A59:B59"/>
    <mergeCell ref="H62:K62"/>
    <mergeCell ref="D59:F59"/>
    <mergeCell ref="H59:K59"/>
    <mergeCell ref="D60:F60"/>
    <mergeCell ref="H60:K60"/>
    <mergeCell ref="A62:B62"/>
    <mergeCell ref="D62:F62"/>
    <mergeCell ref="A100:A101"/>
    <mergeCell ref="B100:B101"/>
    <mergeCell ref="C100:H100"/>
    <mergeCell ref="J100:L100"/>
    <mergeCell ref="F73:G73"/>
    <mergeCell ref="A60:B60"/>
    <mergeCell ref="H84:H85"/>
    <mergeCell ref="I84:L84"/>
    <mergeCell ref="L78:M78"/>
    <mergeCell ref="A63:B63"/>
    <mergeCell ref="D63:F63"/>
    <mergeCell ref="H63:K63"/>
    <mergeCell ref="A78:A80"/>
    <mergeCell ref="B78:B80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zoomScale="80" zoomScaleNormal="80" workbookViewId="0" topLeftCell="A1">
      <selection activeCell="W21" sqref="W21"/>
    </sheetView>
  </sheetViews>
  <sheetFormatPr defaultColWidth="9.00390625" defaultRowHeight="12.75"/>
  <cols>
    <col min="1" max="1" width="37.125" style="321" customWidth="1"/>
    <col min="2" max="2" width="12.75390625" style="321" customWidth="1"/>
    <col min="3" max="3" width="13.75390625" style="321" customWidth="1"/>
    <col min="4" max="14" width="12.75390625" style="321" customWidth="1"/>
    <col min="15" max="15" width="16.375" style="321" customWidth="1"/>
    <col min="16" max="65" width="12.75390625" style="321" customWidth="1"/>
    <col min="66" max="16384" width="9.125" style="321" customWidth="1"/>
  </cols>
  <sheetData>
    <row r="1" ht="15">
      <c r="W1" s="452" t="s">
        <v>118</v>
      </c>
    </row>
    <row r="2" ht="1.5" customHeight="1" thickBot="1"/>
    <row r="3" ht="15.75" hidden="1" thickBot="1"/>
    <row r="4" spans="1:23" ht="75.75" thickBot="1">
      <c r="A4" s="317" t="s">
        <v>656</v>
      </c>
      <c r="B4" s="318" t="s">
        <v>413</v>
      </c>
      <c r="C4" s="319" t="s">
        <v>403</v>
      </c>
      <c r="D4" s="319" t="s">
        <v>400</v>
      </c>
      <c r="E4" s="319" t="s">
        <v>55</v>
      </c>
      <c r="F4" s="319" t="s">
        <v>56</v>
      </c>
      <c r="G4" s="319" t="s">
        <v>404</v>
      </c>
      <c r="H4" s="319" t="s">
        <v>399</v>
      </c>
      <c r="I4" s="319" t="s">
        <v>57</v>
      </c>
      <c r="J4" s="319" t="s">
        <v>453</v>
      </c>
      <c r="K4" s="319" t="s">
        <v>58</v>
      </c>
      <c r="L4" s="319" t="s">
        <v>59</v>
      </c>
      <c r="M4" s="319" t="s">
        <v>60</v>
      </c>
      <c r="N4" s="319" t="s">
        <v>61</v>
      </c>
      <c r="O4" s="319" t="s">
        <v>62</v>
      </c>
      <c r="P4" s="319" t="s">
        <v>408</v>
      </c>
      <c r="Q4" s="319" t="s">
        <v>410</v>
      </c>
      <c r="R4" s="319" t="s">
        <v>414</v>
      </c>
      <c r="S4" s="319" t="s">
        <v>406</v>
      </c>
      <c r="T4" s="319" t="s">
        <v>412</v>
      </c>
      <c r="U4" s="319" t="s">
        <v>409</v>
      </c>
      <c r="V4" s="319" t="s">
        <v>63</v>
      </c>
      <c r="W4" s="320" t="s">
        <v>407</v>
      </c>
    </row>
    <row r="5" spans="1:23" ht="15">
      <c r="A5" s="322" t="s">
        <v>64</v>
      </c>
      <c r="B5" s="323">
        <v>11425.9033203125</v>
      </c>
      <c r="C5" s="324">
        <v>10668.5849609375</v>
      </c>
      <c r="D5" s="324">
        <v>11285.5888671875</v>
      </c>
      <c r="E5" s="324">
        <v>10353.759765625</v>
      </c>
      <c r="F5" s="324">
        <v>10710.115234375</v>
      </c>
      <c r="G5" s="324">
        <v>9885.189453125</v>
      </c>
      <c r="H5" s="324">
        <v>11545.404296875</v>
      </c>
      <c r="I5" s="324">
        <v>11306.4892578125</v>
      </c>
      <c r="J5" s="324">
        <v>10204.2841796875</v>
      </c>
      <c r="K5" s="324">
        <v>9933.814453125</v>
      </c>
      <c r="L5" s="324">
        <v>10136.4501953125</v>
      </c>
      <c r="M5" s="324">
        <v>9369.9638671875</v>
      </c>
      <c r="N5" s="324">
        <v>10426.24609375</v>
      </c>
      <c r="O5" s="324">
        <v>16861.73828125</v>
      </c>
      <c r="P5" s="324">
        <v>9932.9931640625</v>
      </c>
      <c r="Q5" s="324">
        <v>11131.4775390625</v>
      </c>
      <c r="R5" s="324">
        <v>11311.83203125</v>
      </c>
      <c r="S5" s="324">
        <v>10615.8154296875</v>
      </c>
      <c r="T5" s="324">
        <v>10312.0283203125</v>
      </c>
      <c r="U5" s="324">
        <v>11058.5693359375</v>
      </c>
      <c r="V5" s="324">
        <v>9899.357421875</v>
      </c>
      <c r="W5" s="325">
        <v>10483.57421875</v>
      </c>
    </row>
    <row r="6" spans="1:23" ht="15">
      <c r="A6" s="326" t="s">
        <v>65</v>
      </c>
      <c r="B6" s="327">
        <v>21.412565231323242</v>
      </c>
      <c r="C6" s="328">
        <v>10.30685806274414</v>
      </c>
      <c r="D6" s="328"/>
      <c r="E6" s="328">
        <v>181.75929260253906</v>
      </c>
      <c r="F6" s="328"/>
      <c r="G6" s="328"/>
      <c r="H6" s="328">
        <v>582.3091430664062</v>
      </c>
      <c r="I6" s="328"/>
      <c r="J6" s="328">
        <v>33.78443145751953</v>
      </c>
      <c r="K6" s="328">
        <v>4.967434883117676</v>
      </c>
      <c r="L6" s="328">
        <v>44.47615432739258</v>
      </c>
      <c r="M6" s="328">
        <v>24.065277099609375</v>
      </c>
      <c r="N6" s="328">
        <v>31.15492057800293</v>
      </c>
      <c r="O6" s="328">
        <v>12.276695251464844</v>
      </c>
      <c r="P6" s="328">
        <v>224.1077423095703</v>
      </c>
      <c r="Q6" s="328"/>
      <c r="R6" s="328">
        <v>39.55027770996094</v>
      </c>
      <c r="S6" s="328">
        <v>529.37939453125</v>
      </c>
      <c r="T6" s="328">
        <v>182.53863525390625</v>
      </c>
      <c r="U6" s="328"/>
      <c r="V6" s="328">
        <v>483.5906066894531</v>
      </c>
      <c r="W6" s="329"/>
    </row>
    <row r="7" spans="1:23" ht="15">
      <c r="A7" s="326" t="s">
        <v>66</v>
      </c>
      <c r="B7" s="327">
        <v>44.35994338989258</v>
      </c>
      <c r="C7" s="328">
        <v>37.35531997680664</v>
      </c>
      <c r="D7" s="328"/>
      <c r="E7" s="328"/>
      <c r="F7" s="328"/>
      <c r="G7" s="328"/>
      <c r="H7" s="328"/>
      <c r="I7" s="328"/>
      <c r="J7" s="328">
        <v>59.622314453125</v>
      </c>
      <c r="K7" s="328"/>
      <c r="L7" s="328"/>
      <c r="M7" s="328"/>
      <c r="N7" s="328"/>
      <c r="O7" s="328">
        <v>14.773446083068848</v>
      </c>
      <c r="P7" s="328"/>
      <c r="Q7" s="328"/>
      <c r="R7" s="328">
        <v>77.77003479003906</v>
      </c>
      <c r="S7" s="328"/>
      <c r="T7" s="328"/>
      <c r="U7" s="328"/>
      <c r="V7" s="328"/>
      <c r="W7" s="329"/>
    </row>
    <row r="8" spans="1:23" ht="15">
      <c r="A8" s="326" t="s">
        <v>67</v>
      </c>
      <c r="B8" s="327">
        <v>308.2749328613281</v>
      </c>
      <c r="C8" s="328">
        <v>310.0791015625</v>
      </c>
      <c r="D8" s="328">
        <v>517.3135375976562</v>
      </c>
      <c r="E8" s="328">
        <v>380.9038391113281</v>
      </c>
      <c r="F8" s="328">
        <v>374.84088134765625</v>
      </c>
      <c r="G8" s="328">
        <v>566.0135498046875</v>
      </c>
      <c r="H8" s="328">
        <v>281.1396484375</v>
      </c>
      <c r="I8" s="328">
        <v>298.05108642578125</v>
      </c>
      <c r="J8" s="328">
        <v>205.09381103515625</v>
      </c>
      <c r="K8" s="328">
        <v>190.803955078125</v>
      </c>
      <c r="L8" s="328">
        <v>220.94004821777344</v>
      </c>
      <c r="M8" s="328">
        <v>249.83016967773438</v>
      </c>
      <c r="N8" s="328">
        <v>265.2557067871094</v>
      </c>
      <c r="O8" s="328">
        <v>907.381591796875</v>
      </c>
      <c r="P8" s="328">
        <v>308.026123046875</v>
      </c>
      <c r="Q8" s="328">
        <v>224.91717529296875</v>
      </c>
      <c r="R8" s="328">
        <v>321.1809387207031</v>
      </c>
      <c r="S8" s="328">
        <v>378.77337646484375</v>
      </c>
      <c r="T8" s="328">
        <v>247.67874145507812</v>
      </c>
      <c r="U8" s="328">
        <v>284.7344970703125</v>
      </c>
      <c r="V8" s="328">
        <v>330.5287780761719</v>
      </c>
      <c r="W8" s="329">
        <v>416.9627990722656</v>
      </c>
    </row>
    <row r="9" spans="1:23" ht="15">
      <c r="A9" s="326" t="s">
        <v>68</v>
      </c>
      <c r="B9" s="327">
        <v>2529.376953125</v>
      </c>
      <c r="C9" s="328">
        <v>1215.98193359375</v>
      </c>
      <c r="D9" s="328">
        <v>1670.9954833984375</v>
      </c>
      <c r="E9" s="328">
        <v>1364.903076171875</v>
      </c>
      <c r="F9" s="328">
        <v>1566.119384765625</v>
      </c>
      <c r="G9" s="328">
        <v>1522.1195068359375</v>
      </c>
      <c r="H9" s="328">
        <v>1098.9378662109375</v>
      </c>
      <c r="I9" s="328">
        <v>1684.9730224609375</v>
      </c>
      <c r="J9" s="328">
        <v>1667.4696044921875</v>
      </c>
      <c r="K9" s="328">
        <v>1475.4378662109375</v>
      </c>
      <c r="L9" s="328">
        <v>1742.21533203125</v>
      </c>
      <c r="M9" s="328">
        <v>1247.8533935546875</v>
      </c>
      <c r="N9" s="328">
        <v>1712.4183349609375</v>
      </c>
      <c r="O9" s="328">
        <v>2561.596435546875</v>
      </c>
      <c r="P9" s="328">
        <v>1902.9500732421875</v>
      </c>
      <c r="Q9" s="328">
        <v>2068.72021484375</v>
      </c>
      <c r="R9" s="328">
        <v>1745.5491943359375</v>
      </c>
      <c r="S9" s="328">
        <v>1709.005859375</v>
      </c>
      <c r="T9" s="328">
        <v>1947.4141845703125</v>
      </c>
      <c r="U9" s="328">
        <v>1937.3759765625</v>
      </c>
      <c r="V9" s="328">
        <v>1477.42431640625</v>
      </c>
      <c r="W9" s="329">
        <v>1906.892578125</v>
      </c>
    </row>
    <row r="10" spans="1:23" ht="15">
      <c r="A10" s="326" t="s">
        <v>69</v>
      </c>
      <c r="B10" s="327">
        <v>20.411762237548828</v>
      </c>
      <c r="C10" s="328">
        <v>589.593017578125</v>
      </c>
      <c r="D10" s="328"/>
      <c r="E10" s="328">
        <v>269.3851318359375</v>
      </c>
      <c r="F10" s="328"/>
      <c r="G10" s="328">
        <v>76.44661712646484</v>
      </c>
      <c r="H10" s="328">
        <v>717.800537109375</v>
      </c>
      <c r="I10" s="328">
        <v>138.65185546875</v>
      </c>
      <c r="J10" s="328">
        <v>145.4918212890625</v>
      </c>
      <c r="K10" s="328">
        <v>9.599357604980469</v>
      </c>
      <c r="L10" s="328"/>
      <c r="M10" s="328">
        <v>159.95814514160156</v>
      </c>
      <c r="N10" s="328">
        <v>132.4113006591797</v>
      </c>
      <c r="O10" s="328"/>
      <c r="P10" s="328">
        <v>2.980388879776001</v>
      </c>
      <c r="Q10" s="328">
        <v>192.0811767578125</v>
      </c>
      <c r="R10" s="328">
        <v>76.34358978271484</v>
      </c>
      <c r="S10" s="328">
        <v>26.719562530517578</v>
      </c>
      <c r="T10" s="328">
        <v>206.38003540039062</v>
      </c>
      <c r="U10" s="328">
        <v>11.652128219604492</v>
      </c>
      <c r="V10" s="328"/>
      <c r="W10" s="329">
        <v>51.193939208984375</v>
      </c>
    </row>
    <row r="11" spans="1:23" ht="15">
      <c r="A11" s="326" t="s">
        <v>70</v>
      </c>
      <c r="B11" s="327">
        <v>1578.4542236328125</v>
      </c>
      <c r="C11" s="328">
        <v>1374.33544921875</v>
      </c>
      <c r="D11" s="328">
        <v>705.1157836914062</v>
      </c>
      <c r="E11" s="328">
        <v>846.0137939453125</v>
      </c>
      <c r="F11" s="328">
        <v>1148.1651611328125</v>
      </c>
      <c r="G11" s="328">
        <v>1369.9642333984375</v>
      </c>
      <c r="H11" s="328">
        <v>689.8270874023438</v>
      </c>
      <c r="I11" s="328">
        <v>511.38848876953125</v>
      </c>
      <c r="J11" s="328">
        <v>1173.605712890625</v>
      </c>
      <c r="K11" s="328">
        <v>1592.19775390625</v>
      </c>
      <c r="L11" s="328">
        <v>1368.0782470703125</v>
      </c>
      <c r="M11" s="328">
        <v>1259.036865234375</v>
      </c>
      <c r="N11" s="328">
        <v>1273.654296875</v>
      </c>
      <c r="O11" s="328">
        <v>2494.0419921875</v>
      </c>
      <c r="P11" s="328">
        <v>1061.9200439453125</v>
      </c>
      <c r="Q11" s="328">
        <v>984.2733154296875</v>
      </c>
      <c r="R11" s="328">
        <v>763.9293823242188</v>
      </c>
      <c r="S11" s="328">
        <v>838.750732421875</v>
      </c>
      <c r="T11" s="328">
        <v>1167.9154052734375</v>
      </c>
      <c r="U11" s="328">
        <v>1444.177001953125</v>
      </c>
      <c r="V11" s="328">
        <v>686.1924438476562</v>
      </c>
      <c r="W11" s="329">
        <v>1087.62841796875</v>
      </c>
    </row>
    <row r="12" spans="1:23" ht="15">
      <c r="A12" s="326" t="s">
        <v>71</v>
      </c>
      <c r="B12" s="327">
        <v>633.171630859375</v>
      </c>
      <c r="C12" s="328">
        <v>508.8556823730469</v>
      </c>
      <c r="D12" s="328">
        <v>132.9828338623047</v>
      </c>
      <c r="E12" s="328">
        <v>148.05503845214844</v>
      </c>
      <c r="F12" s="328">
        <v>138.0611572265625</v>
      </c>
      <c r="G12" s="328">
        <v>474.1284484863281</v>
      </c>
      <c r="H12" s="328">
        <v>494.9436950683594</v>
      </c>
      <c r="I12" s="328">
        <v>208.36495971679688</v>
      </c>
      <c r="J12" s="328">
        <v>416.85919189453125</v>
      </c>
      <c r="K12" s="328">
        <v>380.40093994140625</v>
      </c>
      <c r="L12" s="328">
        <v>512.2781372070312</v>
      </c>
      <c r="M12" s="328">
        <v>358.77001953125</v>
      </c>
      <c r="N12" s="328">
        <v>234.14508056640625</v>
      </c>
      <c r="O12" s="328">
        <v>496.1689758300781</v>
      </c>
      <c r="P12" s="328">
        <v>413.9146423339844</v>
      </c>
      <c r="Q12" s="328">
        <v>352.86767578125</v>
      </c>
      <c r="R12" s="328">
        <v>540.5741577148438</v>
      </c>
      <c r="S12" s="328">
        <v>337.9759826660156</v>
      </c>
      <c r="T12" s="328">
        <v>584.66796875</v>
      </c>
      <c r="U12" s="328">
        <v>370.99755859375</v>
      </c>
      <c r="V12" s="328">
        <v>474.0025634765625</v>
      </c>
      <c r="W12" s="329">
        <v>361.1246643066406</v>
      </c>
    </row>
    <row r="13" spans="1:23" ht="15">
      <c r="A13" s="326" t="s">
        <v>72</v>
      </c>
      <c r="B13" s="327">
        <v>690.5989990234375</v>
      </c>
      <c r="C13" s="328">
        <v>545.7907104492188</v>
      </c>
      <c r="D13" s="328">
        <v>552.9600219726562</v>
      </c>
      <c r="E13" s="328">
        <v>387.5589904785156</v>
      </c>
      <c r="F13" s="328">
        <v>543.2824096679688</v>
      </c>
      <c r="G13" s="328">
        <v>531.0762329101562</v>
      </c>
      <c r="H13" s="328">
        <v>720.7202758789062</v>
      </c>
      <c r="I13" s="328">
        <v>597.915771484375</v>
      </c>
      <c r="J13" s="328">
        <v>615.9013671875</v>
      </c>
      <c r="K13" s="328">
        <v>452.74237060546875</v>
      </c>
      <c r="L13" s="328">
        <v>704.482421875</v>
      </c>
      <c r="M13" s="328">
        <v>440.2209167480469</v>
      </c>
      <c r="N13" s="328">
        <v>498.1841735839844</v>
      </c>
      <c r="O13" s="328">
        <v>2.2082390785217285</v>
      </c>
      <c r="P13" s="328">
        <v>585.1539916992188</v>
      </c>
      <c r="Q13" s="328">
        <v>616.95263671875</v>
      </c>
      <c r="R13" s="328">
        <v>557.1829833984375</v>
      </c>
      <c r="S13" s="328">
        <v>655.2377319335938</v>
      </c>
      <c r="T13" s="328">
        <v>493.8268737792969</v>
      </c>
      <c r="U13" s="328">
        <v>422.0476989746094</v>
      </c>
      <c r="V13" s="328">
        <v>506.3761901855469</v>
      </c>
      <c r="W13" s="329">
        <v>429.8584899902344</v>
      </c>
    </row>
    <row r="14" spans="1:23" ht="15">
      <c r="A14" s="326" t="s">
        <v>73</v>
      </c>
      <c r="B14" s="327">
        <v>294.2623596191406</v>
      </c>
      <c r="C14" s="328">
        <v>256.5892639160156</v>
      </c>
      <c r="D14" s="328">
        <v>289.7561340332031</v>
      </c>
      <c r="E14" s="328">
        <v>28.94023895263672</v>
      </c>
      <c r="F14" s="328">
        <v>302.8489074707031</v>
      </c>
      <c r="G14" s="328">
        <v>196.62615966796875</v>
      </c>
      <c r="H14" s="328">
        <v>336.4269104003906</v>
      </c>
      <c r="I14" s="328">
        <v>286.52587890625</v>
      </c>
      <c r="J14" s="328">
        <v>269.3011474609375</v>
      </c>
      <c r="K14" s="328">
        <v>212.72586059570312</v>
      </c>
      <c r="L14" s="328">
        <v>341.8978271484375</v>
      </c>
      <c r="M14" s="328">
        <v>219.24916076660156</v>
      </c>
      <c r="N14" s="328">
        <v>239.1397705078125</v>
      </c>
      <c r="O14" s="328"/>
      <c r="P14" s="328">
        <v>264.6549377441406</v>
      </c>
      <c r="Q14" s="328">
        <v>279.1965637207031</v>
      </c>
      <c r="R14" s="328">
        <v>264.89892578125</v>
      </c>
      <c r="S14" s="328">
        <v>34.347076416015625</v>
      </c>
      <c r="T14" s="328">
        <v>232.6360321044922</v>
      </c>
      <c r="U14" s="328">
        <v>211.7073974609375</v>
      </c>
      <c r="V14" s="328"/>
      <c r="W14" s="329">
        <v>192.28311157226562</v>
      </c>
    </row>
    <row r="15" spans="1:23" ht="15">
      <c r="A15" s="326" t="s">
        <v>74</v>
      </c>
      <c r="B15" s="327"/>
      <c r="C15" s="328"/>
      <c r="D15" s="328"/>
      <c r="E15" s="328"/>
      <c r="F15" s="328"/>
      <c r="G15" s="328"/>
      <c r="H15" s="328">
        <v>4.554714202880859</v>
      </c>
      <c r="I15" s="328"/>
      <c r="J15" s="328"/>
      <c r="K15" s="328"/>
      <c r="L15" s="328"/>
      <c r="M15" s="328"/>
      <c r="N15" s="328"/>
      <c r="O15" s="328"/>
      <c r="P15" s="328"/>
      <c r="Q15" s="328">
        <v>1.7588896751403809</v>
      </c>
      <c r="R15" s="328"/>
      <c r="S15" s="328"/>
      <c r="T15" s="328"/>
      <c r="U15" s="328"/>
      <c r="V15" s="328"/>
      <c r="W15" s="329"/>
    </row>
    <row r="16" spans="1:23" ht="15">
      <c r="A16" s="326" t="s">
        <v>75</v>
      </c>
      <c r="B16" s="327">
        <v>209.9136505126953</v>
      </c>
      <c r="C16" s="328">
        <v>237.67442321777344</v>
      </c>
      <c r="D16" s="328">
        <v>241.09652709960938</v>
      </c>
      <c r="E16" s="328">
        <v>201.1871337890625</v>
      </c>
      <c r="F16" s="328">
        <v>327.5038757324219</v>
      </c>
      <c r="G16" s="328">
        <v>225.4409637451172</v>
      </c>
      <c r="H16" s="328">
        <v>392.8599853515625</v>
      </c>
      <c r="I16" s="328">
        <v>387.728271484375</v>
      </c>
      <c r="J16" s="328">
        <v>218.3685302734375</v>
      </c>
      <c r="K16" s="328">
        <v>208.3498992919922</v>
      </c>
      <c r="L16" s="328">
        <v>275.7187194824219</v>
      </c>
      <c r="M16" s="328">
        <v>184.38540649414062</v>
      </c>
      <c r="N16" s="328">
        <v>256.7108459472656</v>
      </c>
      <c r="O16" s="328"/>
      <c r="P16" s="328">
        <v>395.9859619140625</v>
      </c>
      <c r="Q16" s="328">
        <v>231.2843017578125</v>
      </c>
      <c r="R16" s="328">
        <v>341.6427307128906</v>
      </c>
      <c r="S16" s="328">
        <v>246.36135864257812</v>
      </c>
      <c r="T16" s="328">
        <v>249.73126220703125</v>
      </c>
      <c r="U16" s="328">
        <v>282.9858703613281</v>
      </c>
      <c r="V16" s="328">
        <v>212.84384155273438</v>
      </c>
      <c r="W16" s="329">
        <v>291.8375549316406</v>
      </c>
    </row>
    <row r="17" spans="1:23" ht="15">
      <c r="A17" s="326" t="s">
        <v>76</v>
      </c>
      <c r="B17" s="327">
        <v>1154.335693359375</v>
      </c>
      <c r="C17" s="328">
        <v>609.7702026367188</v>
      </c>
      <c r="D17" s="328">
        <v>760.9671020507812</v>
      </c>
      <c r="E17" s="328">
        <v>592.0228271484375</v>
      </c>
      <c r="F17" s="328">
        <v>1544.8016357421875</v>
      </c>
      <c r="G17" s="328">
        <v>927.1846313476562</v>
      </c>
      <c r="H17" s="328">
        <v>1535.0540771484375</v>
      </c>
      <c r="I17" s="328">
        <v>1648.5987548828125</v>
      </c>
      <c r="J17" s="328">
        <v>555.6646118164062</v>
      </c>
      <c r="K17" s="328">
        <v>486.1525573730469</v>
      </c>
      <c r="L17" s="328">
        <v>1242.4312744140625</v>
      </c>
      <c r="M17" s="328">
        <v>786.956787109375</v>
      </c>
      <c r="N17" s="328">
        <v>1766.773193359375</v>
      </c>
      <c r="O17" s="328">
        <v>1934.868408203125</v>
      </c>
      <c r="P17" s="328">
        <v>1594.34423828125</v>
      </c>
      <c r="Q17" s="328">
        <v>873.3624877929688</v>
      </c>
      <c r="R17" s="328">
        <v>770.1646728515625</v>
      </c>
      <c r="S17" s="328">
        <v>1418.268798828125</v>
      </c>
      <c r="T17" s="328">
        <v>1641.885009765625</v>
      </c>
      <c r="U17" s="328">
        <v>1548.8499755859375</v>
      </c>
      <c r="V17" s="328">
        <v>638.5393676757812</v>
      </c>
      <c r="W17" s="329">
        <v>2533.36669921875</v>
      </c>
    </row>
    <row r="18" spans="1:23" ht="15.75" thickBot="1">
      <c r="A18" s="330" t="s">
        <v>77</v>
      </c>
      <c r="B18" s="331">
        <v>1.791233777999878</v>
      </c>
      <c r="C18" s="332"/>
      <c r="D18" s="332">
        <v>3.986409902572632</v>
      </c>
      <c r="E18" s="332">
        <v>25.366783142089844</v>
      </c>
      <c r="F18" s="332"/>
      <c r="G18" s="332"/>
      <c r="H18" s="332">
        <v>5.5750322341918945</v>
      </c>
      <c r="I18" s="332"/>
      <c r="J18" s="332"/>
      <c r="K18" s="332"/>
      <c r="L18" s="332"/>
      <c r="M18" s="332"/>
      <c r="N18" s="332"/>
      <c r="O18" s="332"/>
      <c r="P18" s="332"/>
      <c r="Q18" s="332">
        <v>171.18063354492188</v>
      </c>
      <c r="R18" s="332"/>
      <c r="S18" s="332"/>
      <c r="T18" s="332"/>
      <c r="U18" s="332">
        <v>5.564542293548584</v>
      </c>
      <c r="V18" s="332">
        <v>14.10772705078125</v>
      </c>
      <c r="W18" s="333"/>
    </row>
    <row r="19" spans="1:23" ht="15">
      <c r="A19" s="322" t="s">
        <v>222</v>
      </c>
      <c r="B19" s="334">
        <v>141.6475067138672</v>
      </c>
      <c r="C19" s="335">
        <v>92.15249633789062</v>
      </c>
      <c r="D19" s="335">
        <v>19.149999618530273</v>
      </c>
      <c r="E19" s="335">
        <v>36.787498474121094</v>
      </c>
      <c r="F19" s="335">
        <v>31.602500915527344</v>
      </c>
      <c r="G19" s="335">
        <v>58.75749969482422</v>
      </c>
      <c r="H19" s="335">
        <v>57.852500915527344</v>
      </c>
      <c r="I19" s="335">
        <v>37.875</v>
      </c>
      <c r="J19" s="335">
        <v>82.70999908447266</v>
      </c>
      <c r="K19" s="335">
        <v>51.435001373291016</v>
      </c>
      <c r="L19" s="335">
        <v>97.4749984741211</v>
      </c>
      <c r="M19" s="335">
        <v>103.17500305175781</v>
      </c>
      <c r="N19" s="335">
        <v>88.94499969482422</v>
      </c>
      <c r="O19" s="335">
        <v>11.5</v>
      </c>
      <c r="P19" s="335">
        <v>45.13249969482422</v>
      </c>
      <c r="Q19" s="335">
        <v>87.18499755859375</v>
      </c>
      <c r="R19" s="335">
        <v>34.11000061035156</v>
      </c>
      <c r="S19" s="335">
        <v>60.314998626708984</v>
      </c>
      <c r="T19" s="335">
        <v>53.404998779296875</v>
      </c>
      <c r="U19" s="335">
        <v>42.7599983215332</v>
      </c>
      <c r="V19" s="335">
        <v>45.51750183105469</v>
      </c>
      <c r="W19" s="336">
        <v>35.022499084472656</v>
      </c>
    </row>
    <row r="20" spans="1:23" ht="16.5" thickBot="1">
      <c r="A20" s="337" t="s">
        <v>213</v>
      </c>
      <c r="B20" s="338">
        <v>18912.27734375</v>
      </c>
      <c r="C20" s="339">
        <v>16364.9267578125</v>
      </c>
      <c r="D20" s="339">
        <v>16160.767578125</v>
      </c>
      <c r="E20" s="339">
        <v>14779.845703125</v>
      </c>
      <c r="F20" s="339">
        <v>16655.73046875</v>
      </c>
      <c r="G20" s="339">
        <v>15774.1923828125</v>
      </c>
      <c r="H20" s="339">
        <v>18405.55859375</v>
      </c>
      <c r="I20" s="339">
        <v>17068.6875</v>
      </c>
      <c r="J20" s="339">
        <v>15565.44921875</v>
      </c>
      <c r="K20" s="339">
        <v>14947.189453125</v>
      </c>
      <c r="L20" s="339">
        <v>16588.962890625</v>
      </c>
      <c r="M20" s="339">
        <v>14685.8466796875</v>
      </c>
      <c r="N20" s="339">
        <v>16836.099609375</v>
      </c>
      <c r="O20" s="339">
        <v>25285.056640625</v>
      </c>
      <c r="P20" s="339">
        <v>16687.01953125</v>
      </c>
      <c r="Q20" s="339">
        <v>17128.08203125</v>
      </c>
      <c r="R20" s="339">
        <v>16810.6171875</v>
      </c>
      <c r="S20" s="339">
        <v>16790.638671875</v>
      </c>
      <c r="T20" s="339">
        <v>17266.705078125</v>
      </c>
      <c r="U20" s="339">
        <v>17578.666015625</v>
      </c>
      <c r="V20" s="339">
        <v>14722.9638671875</v>
      </c>
      <c r="W20" s="340">
        <v>17754.716796875</v>
      </c>
    </row>
    <row r="21" ht="15.75" thickBot="1">
      <c r="W21" s="452" t="s">
        <v>118</v>
      </c>
    </row>
    <row r="22" spans="1:24" ht="75.75" thickBot="1">
      <c r="A22" s="341" t="s">
        <v>78</v>
      </c>
      <c r="B22" s="318" t="s">
        <v>413</v>
      </c>
      <c r="C22" s="319" t="s">
        <v>403</v>
      </c>
      <c r="D22" s="319" t="s">
        <v>79</v>
      </c>
      <c r="E22" s="319" t="s">
        <v>467</v>
      </c>
      <c r="F22" s="319" t="s">
        <v>56</v>
      </c>
      <c r="G22" s="319" t="s">
        <v>404</v>
      </c>
      <c r="H22" s="319" t="s">
        <v>399</v>
      </c>
      <c r="I22" s="319" t="s">
        <v>57</v>
      </c>
      <c r="J22" s="319" t="s">
        <v>453</v>
      </c>
      <c r="K22" s="319" t="s">
        <v>58</v>
      </c>
      <c r="L22" s="319" t="s">
        <v>80</v>
      </c>
      <c r="M22" s="319" t="s">
        <v>60</v>
      </c>
      <c r="N22" s="319" t="s">
        <v>61</v>
      </c>
      <c r="O22" s="319" t="s">
        <v>62</v>
      </c>
      <c r="P22" s="319" t="s">
        <v>408</v>
      </c>
      <c r="Q22" s="319" t="s">
        <v>410</v>
      </c>
      <c r="R22" s="319" t="s">
        <v>414</v>
      </c>
      <c r="S22" s="319" t="s">
        <v>406</v>
      </c>
      <c r="T22" s="319" t="s">
        <v>412</v>
      </c>
      <c r="U22" s="319" t="s">
        <v>409</v>
      </c>
      <c r="V22" s="319" t="s">
        <v>81</v>
      </c>
      <c r="W22" s="320" t="s">
        <v>407</v>
      </c>
      <c r="X22" s="342"/>
    </row>
    <row r="23" spans="1:24" ht="15">
      <c r="A23" s="343" t="s">
        <v>82</v>
      </c>
      <c r="B23" s="323">
        <v>22549</v>
      </c>
      <c r="C23" s="324">
        <v>22773.25</v>
      </c>
      <c r="D23" s="324">
        <v>27403.416015625</v>
      </c>
      <c r="E23" s="324">
        <v>24164.75</v>
      </c>
      <c r="F23" s="324">
        <v>24570</v>
      </c>
      <c r="G23" s="324">
        <v>24561.75</v>
      </c>
      <c r="H23" s="324">
        <v>29423.5</v>
      </c>
      <c r="I23" s="324">
        <v>22567.333984375</v>
      </c>
      <c r="J23" s="324">
        <v>21427.748046875</v>
      </c>
      <c r="K23" s="324">
        <v>22476</v>
      </c>
      <c r="L23" s="324">
        <v>24600.341796875</v>
      </c>
      <c r="M23" s="324">
        <v>20808.318359375</v>
      </c>
      <c r="N23" s="324">
        <v>28389.0703125</v>
      </c>
      <c r="O23" s="324">
        <v>31660</v>
      </c>
      <c r="P23" s="324">
        <v>23040.517578125</v>
      </c>
      <c r="Q23" s="324">
        <v>24129.25</v>
      </c>
      <c r="R23" s="324">
        <v>21795.947265625</v>
      </c>
      <c r="S23" s="324">
        <v>23379.990234375</v>
      </c>
      <c r="T23" s="324">
        <v>25533.392578125</v>
      </c>
      <c r="U23" s="324">
        <v>24842.78515625</v>
      </c>
      <c r="V23" s="324">
        <v>20509.25</v>
      </c>
      <c r="W23" s="325">
        <v>25676.046875</v>
      </c>
      <c r="X23" s="344"/>
    </row>
    <row r="24" spans="1:24" ht="15">
      <c r="A24" s="345" t="s">
        <v>248</v>
      </c>
      <c r="B24" s="327">
        <v>23165.154296875</v>
      </c>
      <c r="C24" s="328">
        <v>20407.16015625</v>
      </c>
      <c r="D24" s="328">
        <v>20460.853515625</v>
      </c>
      <c r="E24" s="328">
        <v>22092.068359375</v>
      </c>
      <c r="F24" s="328">
        <v>21915.857421875</v>
      </c>
      <c r="G24" s="328">
        <v>25023.435546875</v>
      </c>
      <c r="H24" s="328">
        <v>25631.0390625</v>
      </c>
      <c r="I24" s="328">
        <v>24316.8515625</v>
      </c>
      <c r="J24" s="328">
        <v>21650.34375</v>
      </c>
      <c r="K24" s="328">
        <v>21893.75</v>
      </c>
      <c r="L24" s="328">
        <v>24266.20703125</v>
      </c>
      <c r="M24" s="328">
        <v>22597.896484375</v>
      </c>
      <c r="N24" s="328">
        <v>22789.08984375</v>
      </c>
      <c r="O24" s="328"/>
      <c r="P24" s="328">
        <v>25887.5</v>
      </c>
      <c r="Q24" s="328">
        <v>22575.630859375</v>
      </c>
      <c r="R24" s="328">
        <v>23081.615234375</v>
      </c>
      <c r="S24" s="328">
        <v>23713.634765625</v>
      </c>
      <c r="T24" s="328">
        <v>26303</v>
      </c>
      <c r="U24" s="328">
        <v>23013.95703125</v>
      </c>
      <c r="V24" s="328">
        <v>24262.25</v>
      </c>
      <c r="W24" s="329">
        <v>24508.267578125</v>
      </c>
      <c r="X24" s="344"/>
    </row>
    <row r="25" spans="1:24" ht="15">
      <c r="A25" s="345" t="s">
        <v>217</v>
      </c>
      <c r="B25" s="327">
        <v>15415.4326171875</v>
      </c>
      <c r="C25" s="328">
        <v>15172.9462890625</v>
      </c>
      <c r="D25" s="328">
        <v>13889.6650390625</v>
      </c>
      <c r="E25" s="328">
        <v>12269.0859375</v>
      </c>
      <c r="F25" s="328"/>
      <c r="G25" s="328">
        <v>12735.0595703125</v>
      </c>
      <c r="H25" s="328">
        <v>16556.25</v>
      </c>
      <c r="I25" s="328"/>
      <c r="J25" s="328"/>
      <c r="K25" s="328"/>
      <c r="L25" s="328"/>
      <c r="M25" s="328"/>
      <c r="N25" s="328"/>
      <c r="O25" s="328"/>
      <c r="P25" s="328">
        <v>15769.1884765625</v>
      </c>
      <c r="Q25" s="328">
        <v>16463.75</v>
      </c>
      <c r="R25" s="328">
        <v>16972</v>
      </c>
      <c r="S25" s="328"/>
      <c r="T25" s="328"/>
      <c r="U25" s="328">
        <v>15656.314453125</v>
      </c>
      <c r="V25" s="328"/>
      <c r="W25" s="329">
        <v>14946.7880859375</v>
      </c>
      <c r="X25" s="344"/>
    </row>
    <row r="26" spans="1:24" ht="15">
      <c r="A26" s="345" t="s">
        <v>216</v>
      </c>
      <c r="B26" s="327">
        <v>18635.427734375</v>
      </c>
      <c r="C26" s="328">
        <v>20650.5</v>
      </c>
      <c r="D26" s="328"/>
      <c r="E26" s="328"/>
      <c r="F26" s="328">
        <v>19237.52734375</v>
      </c>
      <c r="G26" s="328"/>
      <c r="H26" s="328">
        <v>18153.75</v>
      </c>
      <c r="I26" s="328"/>
      <c r="J26" s="328"/>
      <c r="K26" s="328"/>
      <c r="L26" s="328"/>
      <c r="M26" s="328"/>
      <c r="N26" s="328"/>
      <c r="O26" s="328"/>
      <c r="P26" s="328"/>
      <c r="Q26" s="328">
        <v>21857.25</v>
      </c>
      <c r="R26" s="328"/>
      <c r="S26" s="328">
        <v>19871</v>
      </c>
      <c r="T26" s="328">
        <v>18215.75</v>
      </c>
      <c r="U26" s="328"/>
      <c r="V26" s="328"/>
      <c r="W26" s="329"/>
      <c r="X26" s="344"/>
    </row>
    <row r="27" spans="1:24" ht="15">
      <c r="A27" s="345" t="s">
        <v>220</v>
      </c>
      <c r="B27" s="327">
        <v>14902.5</v>
      </c>
      <c r="C27" s="328">
        <v>20446.25</v>
      </c>
      <c r="D27" s="328">
        <v>13727.25</v>
      </c>
      <c r="E27" s="328">
        <v>21521.75</v>
      </c>
      <c r="F27" s="328">
        <v>18918</v>
      </c>
      <c r="G27" s="328">
        <v>19681.98828125</v>
      </c>
      <c r="H27" s="328">
        <v>20810.240234375</v>
      </c>
      <c r="I27" s="328">
        <v>16235.5</v>
      </c>
      <c r="J27" s="328">
        <v>18244.705078125</v>
      </c>
      <c r="K27" s="328">
        <v>16958</v>
      </c>
      <c r="L27" s="328">
        <v>20603.5859375</v>
      </c>
      <c r="M27" s="328">
        <v>20008.75</v>
      </c>
      <c r="N27" s="328">
        <v>21226.4140625</v>
      </c>
      <c r="O27" s="328">
        <v>23992</v>
      </c>
      <c r="P27" s="328">
        <v>17959.666015625</v>
      </c>
      <c r="Q27" s="328">
        <v>16592.92578125</v>
      </c>
      <c r="R27" s="328">
        <v>19762.12890625</v>
      </c>
      <c r="S27" s="328">
        <v>17819.25</v>
      </c>
      <c r="T27" s="328">
        <v>18196.5390625</v>
      </c>
      <c r="U27" s="328">
        <v>22195.544921875</v>
      </c>
      <c r="V27" s="328">
        <v>22247.25</v>
      </c>
      <c r="W27" s="329">
        <v>19036.5</v>
      </c>
      <c r="X27" s="344"/>
    </row>
    <row r="28" spans="1:24" ht="15">
      <c r="A28" s="345" t="s">
        <v>83</v>
      </c>
      <c r="B28" s="327">
        <v>15343.9951171875</v>
      </c>
      <c r="C28" s="328">
        <v>15145.4599609375</v>
      </c>
      <c r="D28" s="328"/>
      <c r="E28" s="328">
        <v>11971.8125</v>
      </c>
      <c r="F28" s="328">
        <v>13819.5302734375</v>
      </c>
      <c r="G28" s="328"/>
      <c r="H28" s="328">
        <v>12834.3876953125</v>
      </c>
      <c r="I28" s="328">
        <v>12845.9130859375</v>
      </c>
      <c r="J28" s="328">
        <v>14815.765625</v>
      </c>
      <c r="K28" s="328">
        <v>13849.05078125</v>
      </c>
      <c r="L28" s="328">
        <v>15507.9248046875</v>
      </c>
      <c r="M28" s="328">
        <v>13882.6435546875</v>
      </c>
      <c r="N28" s="328">
        <v>15371.3427734375</v>
      </c>
      <c r="O28" s="328"/>
      <c r="P28" s="328">
        <v>15113.009765625</v>
      </c>
      <c r="Q28" s="328">
        <v>13981.1904296875</v>
      </c>
      <c r="R28" s="328">
        <v>15416.4853515625</v>
      </c>
      <c r="S28" s="328">
        <v>17016.283203125</v>
      </c>
      <c r="T28" s="328">
        <v>18478.17578125</v>
      </c>
      <c r="U28" s="328">
        <v>15409.927734375</v>
      </c>
      <c r="V28" s="328">
        <v>12127.31640625</v>
      </c>
      <c r="W28" s="329">
        <v>14785.33203125</v>
      </c>
      <c r="X28" s="344"/>
    </row>
    <row r="29" spans="1:24" ht="15">
      <c r="A29" s="345" t="s">
        <v>218</v>
      </c>
      <c r="B29" s="327">
        <v>21004.8359375</v>
      </c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>
        <v>24602</v>
      </c>
      <c r="Q29" s="328">
        <v>19231.58984375</v>
      </c>
      <c r="R29" s="328">
        <v>14666</v>
      </c>
      <c r="S29" s="328">
        <v>19600</v>
      </c>
      <c r="T29" s="328"/>
      <c r="U29" s="328"/>
      <c r="V29" s="328">
        <v>21638.845703125</v>
      </c>
      <c r="W29" s="329"/>
      <c r="X29" s="344"/>
    </row>
    <row r="30" spans="1:24" ht="15">
      <c r="A30" s="345" t="s">
        <v>84</v>
      </c>
      <c r="B30" s="327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>
        <v>24146</v>
      </c>
      <c r="P30" s="328"/>
      <c r="Q30" s="328"/>
      <c r="R30" s="328"/>
      <c r="S30" s="328"/>
      <c r="T30" s="328"/>
      <c r="U30" s="328"/>
      <c r="V30" s="328">
        <v>19283</v>
      </c>
      <c r="W30" s="329"/>
      <c r="X30" s="344"/>
    </row>
    <row r="31" spans="1:24" ht="15">
      <c r="A31" s="345" t="s">
        <v>85</v>
      </c>
      <c r="B31" s="327"/>
      <c r="C31" s="328"/>
      <c r="D31" s="328"/>
      <c r="E31" s="328"/>
      <c r="F31" s="328"/>
      <c r="G31" s="328">
        <v>10272.25</v>
      </c>
      <c r="H31" s="328"/>
      <c r="I31" s="328"/>
      <c r="J31" s="328"/>
      <c r="K31" s="328"/>
      <c r="L31" s="328"/>
      <c r="M31" s="328"/>
      <c r="N31" s="328"/>
      <c r="O31" s="328"/>
      <c r="P31" s="328"/>
      <c r="Q31" s="328">
        <v>13236.75</v>
      </c>
      <c r="R31" s="328"/>
      <c r="S31" s="328"/>
      <c r="T31" s="328"/>
      <c r="U31" s="328"/>
      <c r="V31" s="328"/>
      <c r="W31" s="329"/>
      <c r="X31" s="344"/>
    </row>
    <row r="32" spans="1:24" ht="15">
      <c r="A32" s="345" t="s">
        <v>249</v>
      </c>
      <c r="B32" s="327">
        <v>34576.25</v>
      </c>
      <c r="C32" s="328">
        <v>29281.75</v>
      </c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9"/>
      <c r="X32" s="344"/>
    </row>
    <row r="33" spans="1:24" ht="15">
      <c r="A33" s="345" t="s">
        <v>86</v>
      </c>
      <c r="B33" s="327"/>
      <c r="C33" s="328"/>
      <c r="D33" s="328"/>
      <c r="E33" s="328">
        <v>13332.8330078125</v>
      </c>
      <c r="F33" s="328"/>
      <c r="G33" s="328"/>
      <c r="H33" s="328"/>
      <c r="I33" s="328">
        <v>14388</v>
      </c>
      <c r="J33" s="328"/>
      <c r="K33" s="328"/>
      <c r="L33" s="328"/>
      <c r="M33" s="328">
        <v>15699.1455078125</v>
      </c>
      <c r="N33" s="328"/>
      <c r="O33" s="328"/>
      <c r="P33" s="328"/>
      <c r="Q33" s="328"/>
      <c r="R33" s="328"/>
      <c r="S33" s="328"/>
      <c r="T33" s="328"/>
      <c r="U33" s="328"/>
      <c r="V33" s="328"/>
      <c r="W33" s="329"/>
      <c r="X33" s="344"/>
    </row>
    <row r="34" spans="1:24" ht="15">
      <c r="A34" s="345" t="s">
        <v>221</v>
      </c>
      <c r="B34" s="327">
        <v>13687.2568359375</v>
      </c>
      <c r="C34" s="328">
        <v>11173.970703125</v>
      </c>
      <c r="D34" s="328">
        <v>12151.75</v>
      </c>
      <c r="E34" s="328">
        <v>9942.8779296875</v>
      </c>
      <c r="F34" s="328">
        <v>13169.2451171875</v>
      </c>
      <c r="G34" s="328">
        <v>12075.02734375</v>
      </c>
      <c r="H34" s="328">
        <v>12579.033203125</v>
      </c>
      <c r="I34" s="328">
        <v>12014.568359375</v>
      </c>
      <c r="J34" s="328">
        <v>12847.7197265625</v>
      </c>
      <c r="K34" s="328">
        <v>12278.541015625</v>
      </c>
      <c r="L34" s="328">
        <v>13163.4931640625</v>
      </c>
      <c r="M34" s="328">
        <v>10960.861328125</v>
      </c>
      <c r="N34" s="328">
        <v>12711.3798828125</v>
      </c>
      <c r="O34" s="328"/>
      <c r="P34" s="328">
        <v>11890.396484375</v>
      </c>
      <c r="Q34" s="328">
        <v>12898.31640625</v>
      </c>
      <c r="R34" s="328">
        <v>11568.8701171875</v>
      </c>
      <c r="S34" s="328">
        <v>11540.234375</v>
      </c>
      <c r="T34" s="328">
        <v>11743.205078125</v>
      </c>
      <c r="U34" s="328">
        <v>12855</v>
      </c>
      <c r="V34" s="328">
        <v>11084.25</v>
      </c>
      <c r="W34" s="329">
        <v>13166.486328125</v>
      </c>
      <c r="X34" s="344"/>
    </row>
    <row r="35" spans="1:24" ht="15">
      <c r="A35" s="345" t="s">
        <v>297</v>
      </c>
      <c r="B35" s="327">
        <v>20867.4140625</v>
      </c>
      <c r="C35" s="328">
        <v>19300</v>
      </c>
      <c r="D35" s="328"/>
      <c r="E35" s="328"/>
      <c r="F35" s="328">
        <v>14775.25</v>
      </c>
      <c r="G35" s="328">
        <v>19934.25</v>
      </c>
      <c r="H35" s="328"/>
      <c r="I35" s="328"/>
      <c r="J35" s="328">
        <v>14921.5</v>
      </c>
      <c r="K35" s="328"/>
      <c r="L35" s="328">
        <v>22434.75</v>
      </c>
      <c r="M35" s="328">
        <v>19691.75</v>
      </c>
      <c r="N35" s="328">
        <v>18926.271484375</v>
      </c>
      <c r="O35" s="328"/>
      <c r="P35" s="328"/>
      <c r="Q35" s="328">
        <v>12006.5</v>
      </c>
      <c r="R35" s="328"/>
      <c r="S35" s="328"/>
      <c r="T35" s="328"/>
      <c r="U35" s="328"/>
      <c r="V35" s="328"/>
      <c r="W35" s="329"/>
      <c r="X35" s="344"/>
    </row>
    <row r="36" spans="1:24" ht="15.75" thickBot="1">
      <c r="A36" s="345" t="s">
        <v>87</v>
      </c>
      <c r="B36" s="331"/>
      <c r="C36" s="445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3"/>
      <c r="X36" s="344"/>
    </row>
    <row r="37" spans="1:24" ht="16.5" thickBot="1">
      <c r="A37" s="346" t="s">
        <v>88</v>
      </c>
      <c r="B37" s="347">
        <v>18912.27734375</v>
      </c>
      <c r="C37" s="348">
        <v>16365</v>
      </c>
      <c r="D37" s="348">
        <v>16160.767578125</v>
      </c>
      <c r="E37" s="348">
        <v>14779.845703125</v>
      </c>
      <c r="F37" s="348">
        <v>16655.73046875</v>
      </c>
      <c r="G37" s="348">
        <v>15774.1923828125</v>
      </c>
      <c r="H37" s="348">
        <v>18405.55859375</v>
      </c>
      <c r="I37" s="348">
        <v>17068.6875</v>
      </c>
      <c r="J37" s="348">
        <v>15565.44921875</v>
      </c>
      <c r="K37" s="348">
        <v>14947.189453125</v>
      </c>
      <c r="L37" s="348">
        <v>16588.962890625</v>
      </c>
      <c r="M37" s="348">
        <v>14685.8466796875</v>
      </c>
      <c r="N37" s="348">
        <v>16836.099609375</v>
      </c>
      <c r="O37" s="348">
        <v>25285</v>
      </c>
      <c r="P37" s="348">
        <v>16687.01953125</v>
      </c>
      <c r="Q37" s="348">
        <v>17128.08203125</v>
      </c>
      <c r="R37" s="348">
        <v>16810.6171875</v>
      </c>
      <c r="S37" s="348">
        <v>16790.638671875</v>
      </c>
      <c r="T37" s="348">
        <v>17266.705078125</v>
      </c>
      <c r="U37" s="348">
        <v>17578.666015625</v>
      </c>
      <c r="V37" s="348">
        <v>14722.9638671875</v>
      </c>
      <c r="W37" s="349">
        <v>17754.716796875</v>
      </c>
      <c r="X37" s="344"/>
    </row>
    <row r="38" ht="15.75" thickBot="1">
      <c r="X38" s="350"/>
    </row>
    <row r="39" spans="1:24" ht="75.75" thickBot="1">
      <c r="A39" s="351" t="s">
        <v>89</v>
      </c>
      <c r="B39" s="318" t="s">
        <v>413</v>
      </c>
      <c r="C39" s="319" t="s">
        <v>403</v>
      </c>
      <c r="D39" s="319" t="s">
        <v>400</v>
      </c>
      <c r="E39" s="319" t="s">
        <v>467</v>
      </c>
      <c r="F39" s="319" t="s">
        <v>56</v>
      </c>
      <c r="G39" s="319" t="s">
        <v>90</v>
      </c>
      <c r="H39" s="319" t="s">
        <v>399</v>
      </c>
      <c r="I39" s="319" t="s">
        <v>57</v>
      </c>
      <c r="J39" s="319" t="s">
        <v>453</v>
      </c>
      <c r="K39" s="319" t="s">
        <v>58</v>
      </c>
      <c r="L39" s="319" t="s">
        <v>80</v>
      </c>
      <c r="M39" s="319" t="s">
        <v>60</v>
      </c>
      <c r="N39" s="319" t="s">
        <v>61</v>
      </c>
      <c r="O39" s="319" t="s">
        <v>62</v>
      </c>
      <c r="P39" s="319" t="s">
        <v>408</v>
      </c>
      <c r="Q39" s="319" t="s">
        <v>410</v>
      </c>
      <c r="R39" s="319" t="s">
        <v>414</v>
      </c>
      <c r="S39" s="319" t="s">
        <v>406</v>
      </c>
      <c r="T39" s="319" t="s">
        <v>412</v>
      </c>
      <c r="U39" s="319" t="s">
        <v>409</v>
      </c>
      <c r="V39" s="319" t="s">
        <v>63</v>
      </c>
      <c r="W39" s="320" t="s">
        <v>407</v>
      </c>
      <c r="X39" s="342"/>
    </row>
    <row r="40" spans="1:24" ht="15">
      <c r="A40" s="352" t="s">
        <v>82</v>
      </c>
      <c r="B40" s="432">
        <v>10.5</v>
      </c>
      <c r="C40" s="433">
        <v>5</v>
      </c>
      <c r="D40" s="433">
        <v>2.4000000953674316</v>
      </c>
      <c r="E40" s="433">
        <v>4</v>
      </c>
      <c r="F40" s="433">
        <v>3</v>
      </c>
      <c r="G40" s="433">
        <v>4</v>
      </c>
      <c r="H40" s="433">
        <v>3</v>
      </c>
      <c r="I40" s="433">
        <v>2.8125</v>
      </c>
      <c r="J40" s="433">
        <v>3.9674999713897705</v>
      </c>
      <c r="K40" s="433">
        <v>4</v>
      </c>
      <c r="L40" s="433">
        <v>5</v>
      </c>
      <c r="M40" s="433">
        <v>6.599999904632568</v>
      </c>
      <c r="N40" s="433">
        <v>3.8975000381469727</v>
      </c>
      <c r="O40" s="433">
        <v>1.7999999523162842</v>
      </c>
      <c r="P40" s="433">
        <v>3.6475000381469727</v>
      </c>
      <c r="Q40" s="433">
        <v>4</v>
      </c>
      <c r="R40" s="433">
        <v>2.6624999046325684</v>
      </c>
      <c r="S40" s="433">
        <v>4.90500020980835</v>
      </c>
      <c r="T40" s="433">
        <v>4.737500190734863</v>
      </c>
      <c r="U40" s="433">
        <v>4.255000114440918</v>
      </c>
      <c r="V40" s="433">
        <v>4.269999980926514</v>
      </c>
      <c r="W40" s="434">
        <v>4.517499923706055</v>
      </c>
      <c r="X40" s="344"/>
    </row>
    <row r="41" spans="1:24" ht="15">
      <c r="A41" s="356" t="s">
        <v>248</v>
      </c>
      <c r="B41" s="435">
        <v>23.922500610351562</v>
      </c>
      <c r="C41" s="436">
        <v>26.5625</v>
      </c>
      <c r="D41" s="436">
        <v>3.2249999046325684</v>
      </c>
      <c r="E41" s="436">
        <v>6.525000095367432</v>
      </c>
      <c r="F41" s="436">
        <v>6.207499980926514</v>
      </c>
      <c r="G41" s="436">
        <v>10.279999732971191</v>
      </c>
      <c r="H41" s="436">
        <v>17.6875</v>
      </c>
      <c r="I41" s="436">
        <v>11.75</v>
      </c>
      <c r="J41" s="436">
        <v>11.392499923706055</v>
      </c>
      <c r="K41" s="436">
        <v>6.03000020980835</v>
      </c>
      <c r="L41" s="436">
        <v>13.3100004196167</v>
      </c>
      <c r="M41" s="436">
        <v>14.5</v>
      </c>
      <c r="N41" s="436">
        <v>18.415000915527344</v>
      </c>
      <c r="O41" s="436"/>
      <c r="P41" s="436">
        <v>6</v>
      </c>
      <c r="Q41" s="436">
        <v>19.854999542236328</v>
      </c>
      <c r="R41" s="436">
        <v>7.372499942779541</v>
      </c>
      <c r="S41" s="436">
        <v>1.100000023841858</v>
      </c>
      <c r="T41" s="436">
        <v>7</v>
      </c>
      <c r="U41" s="436">
        <v>10.2475004196167</v>
      </c>
      <c r="V41" s="436">
        <v>5</v>
      </c>
      <c r="W41" s="437">
        <v>6.835000038146973</v>
      </c>
      <c r="X41" s="344"/>
    </row>
    <row r="42" spans="1:24" ht="15">
      <c r="A42" s="356" t="s">
        <v>217</v>
      </c>
      <c r="B42" s="435">
        <v>8.204999923706055</v>
      </c>
      <c r="C42" s="436">
        <v>7.582499980926514</v>
      </c>
      <c r="D42" s="436">
        <v>6.425000190734863</v>
      </c>
      <c r="E42" s="436">
        <v>2.924999952316284</v>
      </c>
      <c r="F42" s="436"/>
      <c r="G42" s="436">
        <v>20.579999923706055</v>
      </c>
      <c r="H42" s="436">
        <v>10</v>
      </c>
      <c r="I42" s="436"/>
      <c r="J42" s="436"/>
      <c r="K42" s="436"/>
      <c r="L42" s="436"/>
      <c r="M42" s="436"/>
      <c r="N42" s="436"/>
      <c r="O42" s="436"/>
      <c r="P42" s="436">
        <v>7.039999961853027</v>
      </c>
      <c r="Q42" s="436">
        <v>10</v>
      </c>
      <c r="R42" s="436">
        <v>1.1649999618530273</v>
      </c>
      <c r="S42" s="436"/>
      <c r="T42" s="436"/>
      <c r="U42" s="436">
        <v>4.525000095367432</v>
      </c>
      <c r="V42" s="436"/>
      <c r="W42" s="437">
        <v>4.125</v>
      </c>
      <c r="X42" s="344"/>
    </row>
    <row r="43" spans="1:24" ht="15">
      <c r="A43" s="356" t="s">
        <v>216</v>
      </c>
      <c r="B43" s="435">
        <v>1.75</v>
      </c>
      <c r="C43" s="436">
        <v>3</v>
      </c>
      <c r="D43" s="436"/>
      <c r="E43" s="436"/>
      <c r="F43" s="436">
        <v>1.6675000190734863</v>
      </c>
      <c r="G43" s="436"/>
      <c r="H43" s="436">
        <v>1</v>
      </c>
      <c r="I43" s="436"/>
      <c r="J43" s="436"/>
      <c r="K43" s="436"/>
      <c r="L43" s="436"/>
      <c r="M43" s="436"/>
      <c r="N43" s="436"/>
      <c r="O43" s="436"/>
      <c r="P43" s="436"/>
      <c r="Q43" s="436">
        <v>1</v>
      </c>
      <c r="R43" s="436"/>
      <c r="S43" s="436">
        <v>3.25</v>
      </c>
      <c r="T43" s="436">
        <v>1</v>
      </c>
      <c r="U43" s="436"/>
      <c r="V43" s="436"/>
      <c r="W43" s="437"/>
      <c r="X43" s="344"/>
    </row>
    <row r="44" spans="1:24" ht="15">
      <c r="A44" s="356" t="s">
        <v>220</v>
      </c>
      <c r="B44" s="435">
        <v>2</v>
      </c>
      <c r="C44" s="436">
        <v>3</v>
      </c>
      <c r="D44" s="436">
        <v>1.399999976158142</v>
      </c>
      <c r="E44" s="436">
        <v>1</v>
      </c>
      <c r="F44" s="436">
        <v>1</v>
      </c>
      <c r="G44" s="436">
        <v>1.9275000095367432</v>
      </c>
      <c r="H44" s="436">
        <v>1.0824999809265137</v>
      </c>
      <c r="I44" s="436">
        <v>1.25</v>
      </c>
      <c r="J44" s="436">
        <v>1.8849999904632568</v>
      </c>
      <c r="K44" s="436">
        <v>1</v>
      </c>
      <c r="L44" s="436">
        <v>2.1449999809265137</v>
      </c>
      <c r="M44" s="436">
        <v>3</v>
      </c>
      <c r="N44" s="436">
        <v>2.9149999618530273</v>
      </c>
      <c r="O44" s="436">
        <v>2.75</v>
      </c>
      <c r="P44" s="436">
        <v>1.5</v>
      </c>
      <c r="Q44" s="436">
        <v>1.9075000286102295</v>
      </c>
      <c r="R44" s="436">
        <v>0.8324999809265137</v>
      </c>
      <c r="S44" s="436">
        <v>1</v>
      </c>
      <c r="T44" s="436">
        <v>2.5274999141693115</v>
      </c>
      <c r="U44" s="436">
        <v>1.375</v>
      </c>
      <c r="V44" s="436">
        <v>1</v>
      </c>
      <c r="W44" s="437">
        <v>1</v>
      </c>
      <c r="X44" s="344"/>
    </row>
    <row r="45" spans="1:24" ht="15">
      <c r="A45" s="356" t="s">
        <v>83</v>
      </c>
      <c r="B45" s="435">
        <v>10.357500076293945</v>
      </c>
      <c r="C45" s="436">
        <v>17.967500686645508</v>
      </c>
      <c r="D45" s="436"/>
      <c r="E45" s="436">
        <v>9.024999618530273</v>
      </c>
      <c r="F45" s="436">
        <v>7.167500019073486</v>
      </c>
      <c r="G45" s="436"/>
      <c r="H45" s="436">
        <v>5.610000133514404</v>
      </c>
      <c r="I45" s="436">
        <v>8.625</v>
      </c>
      <c r="J45" s="436">
        <v>39.005001068115234</v>
      </c>
      <c r="K45" s="436">
        <v>21.530000686645508</v>
      </c>
      <c r="L45" s="436">
        <v>44.23500061035156</v>
      </c>
      <c r="M45" s="436">
        <v>32.25</v>
      </c>
      <c r="N45" s="436">
        <v>33.28499984741211</v>
      </c>
      <c r="O45" s="436"/>
      <c r="P45" s="436">
        <v>13.25</v>
      </c>
      <c r="Q45" s="436">
        <v>14.587499618530273</v>
      </c>
      <c r="R45" s="436">
        <v>13.72249984741211</v>
      </c>
      <c r="S45" s="436">
        <v>37.220001220703125</v>
      </c>
      <c r="T45" s="436">
        <v>15.585000038146973</v>
      </c>
      <c r="U45" s="436">
        <v>8.357500076293945</v>
      </c>
      <c r="V45" s="436">
        <v>22.485000610351562</v>
      </c>
      <c r="W45" s="437">
        <v>8.305000305175781</v>
      </c>
      <c r="X45" s="344"/>
    </row>
    <row r="46" spans="1:24" ht="15">
      <c r="A46" s="356" t="s">
        <v>218</v>
      </c>
      <c r="B46" s="435">
        <v>48.622501373291016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>
        <v>1</v>
      </c>
      <c r="Q46" s="436">
        <v>10.192500114440918</v>
      </c>
      <c r="R46" s="436">
        <v>0.25</v>
      </c>
      <c r="S46" s="436">
        <v>1</v>
      </c>
      <c r="T46" s="436"/>
      <c r="U46" s="436"/>
      <c r="V46" s="436">
        <v>2.1624999046325684</v>
      </c>
      <c r="W46" s="437"/>
      <c r="X46" s="344"/>
    </row>
    <row r="47" spans="1:24" ht="15">
      <c r="A47" s="356" t="s">
        <v>84</v>
      </c>
      <c r="B47" s="435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>
        <v>6.949999809265137</v>
      </c>
      <c r="P47" s="436"/>
      <c r="Q47" s="436"/>
      <c r="R47" s="436"/>
      <c r="S47" s="436"/>
      <c r="T47" s="436"/>
      <c r="U47" s="436"/>
      <c r="V47" s="436">
        <v>0.25</v>
      </c>
      <c r="W47" s="437"/>
      <c r="X47" s="344"/>
    </row>
    <row r="48" spans="1:24" ht="15">
      <c r="A48" s="356" t="s">
        <v>85</v>
      </c>
      <c r="B48" s="435"/>
      <c r="C48" s="436"/>
      <c r="D48" s="436"/>
      <c r="E48" s="436"/>
      <c r="F48" s="436"/>
      <c r="G48" s="436">
        <v>1</v>
      </c>
      <c r="H48" s="436"/>
      <c r="I48" s="436"/>
      <c r="J48" s="436"/>
      <c r="K48" s="436"/>
      <c r="L48" s="436"/>
      <c r="M48" s="436"/>
      <c r="N48" s="436"/>
      <c r="O48" s="436"/>
      <c r="P48" s="436"/>
      <c r="Q48" s="436">
        <v>1</v>
      </c>
      <c r="R48" s="436"/>
      <c r="S48" s="436"/>
      <c r="T48" s="436"/>
      <c r="U48" s="436"/>
      <c r="V48" s="436"/>
      <c r="W48" s="437"/>
      <c r="X48" s="344"/>
    </row>
    <row r="49" spans="1:24" ht="15">
      <c r="A49" s="356" t="s">
        <v>249</v>
      </c>
      <c r="B49" s="435">
        <v>0.30000001192092896</v>
      </c>
      <c r="C49" s="436">
        <v>0.5</v>
      </c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  <c r="X49" s="344"/>
    </row>
    <row r="50" spans="1:24" ht="15">
      <c r="A50" s="356" t="s">
        <v>86</v>
      </c>
      <c r="B50" s="435"/>
      <c r="C50" s="436"/>
      <c r="D50" s="436"/>
      <c r="E50" s="436">
        <v>1.5</v>
      </c>
      <c r="F50" s="436"/>
      <c r="G50" s="436"/>
      <c r="H50" s="436"/>
      <c r="I50" s="436">
        <v>2</v>
      </c>
      <c r="J50" s="436"/>
      <c r="K50" s="436"/>
      <c r="L50" s="436"/>
      <c r="M50" s="436">
        <v>4.324999809265137</v>
      </c>
      <c r="N50" s="436"/>
      <c r="O50" s="436"/>
      <c r="P50" s="436"/>
      <c r="Q50" s="436"/>
      <c r="R50" s="436"/>
      <c r="S50" s="436"/>
      <c r="T50" s="436"/>
      <c r="U50" s="436"/>
      <c r="V50" s="436"/>
      <c r="W50" s="437"/>
      <c r="X50" s="344"/>
    </row>
    <row r="51" spans="1:24" ht="15">
      <c r="A51" s="356" t="s">
        <v>221</v>
      </c>
      <c r="B51" s="435">
        <v>33.787498474121094</v>
      </c>
      <c r="C51" s="436">
        <v>27.540000915527344</v>
      </c>
      <c r="D51" s="436">
        <v>5.699999809265137</v>
      </c>
      <c r="E51" s="436">
        <v>11.8125</v>
      </c>
      <c r="F51" s="436">
        <v>11.84000015258789</v>
      </c>
      <c r="G51" s="436">
        <v>19.969999313354492</v>
      </c>
      <c r="H51" s="436">
        <v>19.47249984741211</v>
      </c>
      <c r="I51" s="436">
        <v>11.4375</v>
      </c>
      <c r="J51" s="436">
        <v>24.762500762939453</v>
      </c>
      <c r="K51" s="436">
        <v>18.875</v>
      </c>
      <c r="L51" s="436">
        <v>31.78499984741211</v>
      </c>
      <c r="M51" s="436">
        <v>41.5</v>
      </c>
      <c r="N51" s="436">
        <v>29.334999084472656</v>
      </c>
      <c r="O51" s="436"/>
      <c r="P51" s="436">
        <v>12.694999694824219</v>
      </c>
      <c r="Q51" s="436">
        <v>23.892499923706055</v>
      </c>
      <c r="R51" s="436">
        <v>8.104999542236328</v>
      </c>
      <c r="S51" s="436">
        <v>11.842499732971191</v>
      </c>
      <c r="T51" s="436">
        <v>22.5575008392334</v>
      </c>
      <c r="U51" s="436">
        <v>14</v>
      </c>
      <c r="V51" s="436">
        <v>10.350000381469727</v>
      </c>
      <c r="W51" s="437">
        <v>10.239999771118164</v>
      </c>
      <c r="X51" s="344"/>
    </row>
    <row r="52" spans="1:24" ht="15">
      <c r="A52" s="356" t="s">
        <v>297</v>
      </c>
      <c r="B52" s="435">
        <v>2.2074999809265137</v>
      </c>
      <c r="C52" s="436">
        <v>1</v>
      </c>
      <c r="D52" s="436"/>
      <c r="E52" s="436"/>
      <c r="F52" s="436">
        <v>0.7200000286102295</v>
      </c>
      <c r="G52" s="436">
        <v>1</v>
      </c>
      <c r="H52" s="436"/>
      <c r="I52" s="436"/>
      <c r="J52" s="436">
        <v>1.7000000476837158</v>
      </c>
      <c r="K52" s="436"/>
      <c r="L52" s="436">
        <v>1</v>
      </c>
      <c r="M52" s="436">
        <v>1</v>
      </c>
      <c r="N52" s="436">
        <v>1.100000023841858</v>
      </c>
      <c r="O52" s="436"/>
      <c r="P52" s="436"/>
      <c r="Q52" s="436">
        <v>0.75</v>
      </c>
      <c r="R52" s="436"/>
      <c r="S52" s="436"/>
      <c r="T52" s="436"/>
      <c r="U52" s="436"/>
      <c r="V52" s="436"/>
      <c r="W52" s="437"/>
      <c r="X52" s="344"/>
    </row>
    <row r="53" spans="1:24" ht="15.75" thickBot="1">
      <c r="A53" s="356" t="s">
        <v>87</v>
      </c>
      <c r="B53" s="438"/>
      <c r="C53" s="444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40"/>
      <c r="X53" s="344"/>
    </row>
    <row r="54" spans="1:24" ht="16.5" thickBot="1">
      <c r="A54" s="363" t="s">
        <v>88</v>
      </c>
      <c r="B54" s="441">
        <v>141.6475067138672</v>
      </c>
      <c r="C54" s="442">
        <v>92.15</v>
      </c>
      <c r="D54" s="442">
        <v>19.149999618530273</v>
      </c>
      <c r="E54" s="442">
        <v>36.787498474121094</v>
      </c>
      <c r="F54" s="442">
        <v>31.602500915527344</v>
      </c>
      <c r="G54" s="442">
        <v>58.75749969482422</v>
      </c>
      <c r="H54" s="442">
        <v>57.852500915527344</v>
      </c>
      <c r="I54" s="442">
        <v>37.875</v>
      </c>
      <c r="J54" s="442">
        <v>82.70999908447266</v>
      </c>
      <c r="K54" s="442">
        <v>51.435001373291016</v>
      </c>
      <c r="L54" s="442">
        <v>97.4749984741211</v>
      </c>
      <c r="M54" s="442">
        <v>103.17500305175781</v>
      </c>
      <c r="N54" s="442">
        <v>88.94499969482422</v>
      </c>
      <c r="O54" s="442">
        <v>11.5</v>
      </c>
      <c r="P54" s="442">
        <v>45.13249969482422</v>
      </c>
      <c r="Q54" s="442">
        <v>87.18499755859375</v>
      </c>
      <c r="R54" s="442">
        <v>34.11000061035156</v>
      </c>
      <c r="S54" s="442">
        <v>60.314998626708984</v>
      </c>
      <c r="T54" s="442">
        <v>53.404998779296875</v>
      </c>
      <c r="U54" s="442">
        <v>42.7599983215332</v>
      </c>
      <c r="V54" s="442">
        <v>45.51750183105469</v>
      </c>
      <c r="W54" s="443">
        <v>35.022499084472656</v>
      </c>
      <c r="X54" s="344"/>
    </row>
    <row r="55" ht="15">
      <c r="X55" s="350"/>
    </row>
    <row r="56" ht="15">
      <c r="X56" s="350"/>
    </row>
    <row r="57" ht="15">
      <c r="X57" s="350"/>
    </row>
    <row r="58" ht="15">
      <c r="X58" s="350"/>
    </row>
    <row r="59" ht="15">
      <c r="X59" s="350"/>
    </row>
    <row r="60" ht="15">
      <c r="X60" s="350"/>
    </row>
    <row r="61" ht="15">
      <c r="X61" s="350"/>
    </row>
    <row r="62" ht="15">
      <c r="X62" s="350"/>
    </row>
    <row r="63" ht="15">
      <c r="X63" s="350"/>
    </row>
    <row r="64" ht="15">
      <c r="X64" s="350"/>
    </row>
    <row r="65" ht="15">
      <c r="X65" s="350"/>
    </row>
    <row r="66" ht="15">
      <c r="X66" s="350"/>
    </row>
    <row r="67" ht="15">
      <c r="X67" s="350"/>
    </row>
    <row r="68" ht="15">
      <c r="X68" s="350"/>
    </row>
    <row r="69" ht="15">
      <c r="X69" s="350"/>
    </row>
    <row r="70" ht="15">
      <c r="X70" s="350"/>
    </row>
    <row r="71" ht="15">
      <c r="X71" s="350"/>
    </row>
    <row r="72" ht="15">
      <c r="X72" s="350"/>
    </row>
    <row r="73" ht="15">
      <c r="X73" s="350"/>
    </row>
    <row r="74" ht="15">
      <c r="X74" s="350"/>
    </row>
    <row r="75" ht="15">
      <c r="X75" s="350"/>
    </row>
    <row r="76" ht="15">
      <c r="X76" s="350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Normal="95" zoomScaleSheetLayoutView="100" workbookViewId="0" topLeftCell="A1">
      <selection activeCell="J8" sqref="J8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875"/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307</v>
      </c>
    </row>
    <row r="3" spans="1:14" ht="24" customHeight="1" thickBot="1">
      <c r="A3" s="876" t="s">
        <v>165</v>
      </c>
      <c r="B3" s="792" t="s">
        <v>57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4" ht="14.25" thickBot="1" thickTop="1">
      <c r="A4" s="876"/>
      <c r="B4" s="790" t="s">
        <v>308</v>
      </c>
      <c r="C4" s="790"/>
      <c r="D4" s="790"/>
      <c r="E4" s="790" t="s">
        <v>417</v>
      </c>
      <c r="F4" s="790"/>
      <c r="G4" s="790"/>
      <c r="H4" s="793" t="s">
        <v>309</v>
      </c>
      <c r="I4" s="793"/>
      <c r="J4" s="790" t="s">
        <v>418</v>
      </c>
      <c r="K4" s="790"/>
      <c r="L4" s="790"/>
      <c r="M4" s="790" t="s">
        <v>419</v>
      </c>
      <c r="N4" s="790"/>
    </row>
    <row r="5" spans="1:14" ht="14.25" thickBot="1" thickTop="1">
      <c r="A5" s="876"/>
      <c r="B5" s="66" t="s">
        <v>166</v>
      </c>
      <c r="C5" s="67" t="s">
        <v>167</v>
      </c>
      <c r="D5" s="68" t="s">
        <v>168</v>
      </c>
      <c r="E5" s="66" t="s">
        <v>166</v>
      </c>
      <c r="F5" s="67" t="s">
        <v>167</v>
      </c>
      <c r="G5" s="68" t="s">
        <v>168</v>
      </c>
      <c r="H5" s="69" t="s">
        <v>168</v>
      </c>
      <c r="I5" s="69" t="s">
        <v>169</v>
      </c>
      <c r="J5" s="70" t="s">
        <v>166</v>
      </c>
      <c r="K5" s="67" t="s">
        <v>167</v>
      </c>
      <c r="L5" s="68" t="s">
        <v>168</v>
      </c>
      <c r="M5" s="69" t="s">
        <v>168</v>
      </c>
      <c r="N5" s="68" t="s">
        <v>169</v>
      </c>
    </row>
    <row r="6" spans="1:14" ht="14.25" thickBot="1" thickTop="1">
      <c r="A6" s="791"/>
      <c r="B6" s="183" t="s">
        <v>170</v>
      </c>
      <c r="C6" s="184" t="s">
        <v>170</v>
      </c>
      <c r="D6" s="185"/>
      <c r="E6" s="183" t="s">
        <v>170</v>
      </c>
      <c r="F6" s="184" t="s">
        <v>170</v>
      </c>
      <c r="G6" s="185"/>
      <c r="H6" s="189" t="s">
        <v>171</v>
      </c>
      <c r="I6" s="189" t="s">
        <v>172</v>
      </c>
      <c r="J6" s="197" t="s">
        <v>170</v>
      </c>
      <c r="K6" s="184" t="s">
        <v>170</v>
      </c>
      <c r="L6" s="185"/>
      <c r="M6" s="189" t="s">
        <v>171</v>
      </c>
      <c r="N6" s="185" t="s">
        <v>172</v>
      </c>
    </row>
    <row r="7" spans="1:14" ht="13.5" customHeight="1">
      <c r="A7" s="274" t="s">
        <v>173</v>
      </c>
      <c r="B7" s="163">
        <v>146</v>
      </c>
      <c r="C7" s="164"/>
      <c r="D7" s="167">
        <f aca="true" t="shared" si="0" ref="D7:D18">SUM(B7:C7)</f>
        <v>146</v>
      </c>
      <c r="E7" s="163">
        <v>211</v>
      </c>
      <c r="F7" s="164"/>
      <c r="G7" s="167">
        <f aca="true" t="shared" si="1" ref="G7:G18">SUM(E7:F7)</f>
        <v>211</v>
      </c>
      <c r="H7" s="191">
        <f aca="true" t="shared" si="2" ref="H7:H38">+G7-D7</f>
        <v>65</v>
      </c>
      <c r="I7" s="195"/>
      <c r="J7" s="163">
        <v>200</v>
      </c>
      <c r="K7" s="164"/>
      <c r="L7" s="167">
        <f aca="true" t="shared" si="3" ref="L7:L18">SUM(J7:K7)</f>
        <v>200</v>
      </c>
      <c r="M7" s="191">
        <f aca="true" t="shared" si="4" ref="M7:M38">+L7-G7</f>
        <v>-11</v>
      </c>
      <c r="N7" s="192"/>
    </row>
    <row r="8" spans="1:14" ht="13.5" customHeight="1">
      <c r="A8" s="275" t="s">
        <v>174</v>
      </c>
      <c r="B8" s="14">
        <v>5011</v>
      </c>
      <c r="C8" s="13"/>
      <c r="D8" s="168">
        <f t="shared" si="0"/>
        <v>5011</v>
      </c>
      <c r="E8" s="14">
        <v>10603</v>
      </c>
      <c r="F8" s="13"/>
      <c r="G8" s="168">
        <f t="shared" si="1"/>
        <v>10603</v>
      </c>
      <c r="H8" s="193">
        <f t="shared" si="2"/>
        <v>5592</v>
      </c>
      <c r="I8" s="196">
        <f aca="true" t="shared" si="5" ref="I8:I22">+G8/D8</f>
        <v>2.1159449211734183</v>
      </c>
      <c r="J8" s="14">
        <f>9800+400</f>
        <v>10200</v>
      </c>
      <c r="K8" s="13"/>
      <c r="L8" s="168">
        <f t="shared" si="3"/>
        <v>10200</v>
      </c>
      <c r="M8" s="193">
        <f t="shared" si="4"/>
        <v>-403</v>
      </c>
      <c r="N8" s="194">
        <f aca="true" t="shared" si="6" ref="N8:N22">+L8/G8</f>
        <v>0.9619918890879939</v>
      </c>
    </row>
    <row r="9" spans="1:14" ht="13.5" customHeight="1">
      <c r="A9" s="275" t="s">
        <v>175</v>
      </c>
      <c r="B9" s="14"/>
      <c r="C9" s="13"/>
      <c r="D9" s="168">
        <f t="shared" si="0"/>
        <v>0</v>
      </c>
      <c r="E9" s="14"/>
      <c r="F9" s="13"/>
      <c r="G9" s="168">
        <f t="shared" si="1"/>
        <v>0</v>
      </c>
      <c r="H9" s="193">
        <f t="shared" si="2"/>
        <v>0</v>
      </c>
      <c r="I9" s="196"/>
      <c r="J9" s="14"/>
      <c r="K9" s="13"/>
      <c r="L9" s="168">
        <f t="shared" si="3"/>
        <v>0</v>
      </c>
      <c r="M9" s="193">
        <f t="shared" si="4"/>
        <v>0</v>
      </c>
      <c r="N9" s="194"/>
    </row>
    <row r="10" spans="1:14" ht="13.5" customHeight="1">
      <c r="A10" s="275" t="s">
        <v>176</v>
      </c>
      <c r="B10" s="14"/>
      <c r="C10" s="13"/>
      <c r="D10" s="168">
        <f t="shared" si="0"/>
        <v>0</v>
      </c>
      <c r="E10" s="14"/>
      <c r="F10" s="13"/>
      <c r="G10" s="168">
        <f t="shared" si="1"/>
        <v>0</v>
      </c>
      <c r="H10" s="193">
        <f t="shared" si="2"/>
        <v>0</v>
      </c>
      <c r="I10" s="196"/>
      <c r="J10" s="14"/>
      <c r="K10" s="13"/>
      <c r="L10" s="168">
        <f t="shared" si="3"/>
        <v>0</v>
      </c>
      <c r="M10" s="193">
        <f t="shared" si="4"/>
        <v>0</v>
      </c>
      <c r="N10" s="194"/>
    </row>
    <row r="11" spans="1:14" ht="13.5" customHeight="1">
      <c r="A11" s="275" t="s">
        <v>177</v>
      </c>
      <c r="B11" s="14">
        <v>22</v>
      </c>
      <c r="C11" s="13"/>
      <c r="D11" s="168">
        <f t="shared" si="0"/>
        <v>22</v>
      </c>
      <c r="E11" s="14">
        <v>0.5</v>
      </c>
      <c r="F11" s="13"/>
      <c r="G11" s="168">
        <f t="shared" si="1"/>
        <v>0.5</v>
      </c>
      <c r="H11" s="193">
        <f t="shared" si="2"/>
        <v>-21.5</v>
      </c>
      <c r="I11" s="196">
        <f t="shared" si="5"/>
        <v>0.022727272727272728</v>
      </c>
      <c r="J11" s="14">
        <v>1</v>
      </c>
      <c r="K11" s="13"/>
      <c r="L11" s="168">
        <f t="shared" si="3"/>
        <v>1</v>
      </c>
      <c r="M11" s="193">
        <f t="shared" si="4"/>
        <v>0.5</v>
      </c>
      <c r="N11" s="194">
        <f t="shared" si="6"/>
        <v>2</v>
      </c>
    </row>
    <row r="12" spans="1:14" ht="13.5" customHeight="1">
      <c r="A12" s="276" t="s">
        <v>178</v>
      </c>
      <c r="B12" s="14"/>
      <c r="C12" s="13"/>
      <c r="D12" s="168">
        <f t="shared" si="0"/>
        <v>0</v>
      </c>
      <c r="E12" s="14"/>
      <c r="F12" s="13"/>
      <c r="G12" s="168">
        <f t="shared" si="1"/>
        <v>0</v>
      </c>
      <c r="H12" s="193">
        <f t="shared" si="2"/>
        <v>0</v>
      </c>
      <c r="I12" s="196"/>
      <c r="J12" s="14"/>
      <c r="K12" s="13"/>
      <c r="L12" s="168">
        <f t="shared" si="3"/>
        <v>0</v>
      </c>
      <c r="M12" s="193">
        <f t="shared" si="4"/>
        <v>0</v>
      </c>
      <c r="N12" s="194"/>
    </row>
    <row r="13" spans="1:14" ht="13.5" customHeight="1">
      <c r="A13" s="276" t="s">
        <v>179</v>
      </c>
      <c r="B13" s="14"/>
      <c r="C13" s="13"/>
      <c r="D13" s="168">
        <f t="shared" si="0"/>
        <v>0</v>
      </c>
      <c r="E13" s="14"/>
      <c r="F13" s="13"/>
      <c r="G13" s="168">
        <f t="shared" si="1"/>
        <v>0</v>
      </c>
      <c r="H13" s="193">
        <f t="shared" si="2"/>
        <v>0</v>
      </c>
      <c r="I13" s="196"/>
      <c r="J13" s="14"/>
      <c r="K13" s="13"/>
      <c r="L13" s="168">
        <f t="shared" si="3"/>
        <v>0</v>
      </c>
      <c r="M13" s="193">
        <f t="shared" si="4"/>
        <v>0</v>
      </c>
      <c r="N13" s="194"/>
    </row>
    <row r="14" spans="1:14" ht="23.25" customHeight="1">
      <c r="A14" s="276" t="s">
        <v>180</v>
      </c>
      <c r="B14" s="14"/>
      <c r="C14" s="13"/>
      <c r="D14" s="168">
        <f t="shared" si="0"/>
        <v>0</v>
      </c>
      <c r="E14" s="14"/>
      <c r="F14" s="13"/>
      <c r="G14" s="168">
        <f t="shared" si="1"/>
        <v>0</v>
      </c>
      <c r="H14" s="193">
        <f t="shared" si="2"/>
        <v>0</v>
      </c>
      <c r="I14" s="196"/>
      <c r="J14" s="14"/>
      <c r="K14" s="13"/>
      <c r="L14" s="168">
        <f t="shared" si="3"/>
        <v>0</v>
      </c>
      <c r="M14" s="193">
        <f t="shared" si="4"/>
        <v>0</v>
      </c>
      <c r="N14" s="194"/>
    </row>
    <row r="15" spans="1:14" ht="13.5" customHeight="1">
      <c r="A15" s="275" t="s">
        <v>181</v>
      </c>
      <c r="B15" s="14">
        <v>10148</v>
      </c>
      <c r="C15" s="13"/>
      <c r="D15" s="168">
        <f t="shared" si="0"/>
        <v>10148</v>
      </c>
      <c r="E15" s="14">
        <v>8640</v>
      </c>
      <c r="F15" s="13"/>
      <c r="G15" s="168">
        <f t="shared" si="1"/>
        <v>8640</v>
      </c>
      <c r="H15" s="193">
        <f t="shared" si="2"/>
        <v>-1508</v>
      </c>
      <c r="I15" s="196">
        <f t="shared" si="5"/>
        <v>0.8513992905005913</v>
      </c>
      <c r="J15" s="15">
        <v>6486</v>
      </c>
      <c r="K15" s="279"/>
      <c r="L15" s="168">
        <f t="shared" si="3"/>
        <v>6486</v>
      </c>
      <c r="M15" s="193">
        <f t="shared" si="4"/>
        <v>-2154</v>
      </c>
      <c r="N15" s="194">
        <f t="shared" si="6"/>
        <v>0.7506944444444444</v>
      </c>
    </row>
    <row r="16" spans="1:14" ht="13.5" customHeight="1">
      <c r="A16" s="277" t="s">
        <v>310</v>
      </c>
      <c r="B16" s="14">
        <f>1330+8818</f>
        <v>10148</v>
      </c>
      <c r="C16" s="13"/>
      <c r="D16" s="168">
        <f t="shared" si="0"/>
        <v>10148</v>
      </c>
      <c r="E16" s="14">
        <v>1327</v>
      </c>
      <c r="F16" s="13"/>
      <c r="G16" s="168">
        <f t="shared" si="1"/>
        <v>1327</v>
      </c>
      <c r="H16" s="193">
        <f t="shared" si="2"/>
        <v>-8821</v>
      </c>
      <c r="I16" s="196">
        <f t="shared" si="5"/>
        <v>0.13076468269609776</v>
      </c>
      <c r="J16" s="15">
        <v>312</v>
      </c>
      <c r="K16" s="13"/>
      <c r="L16" s="168">
        <f t="shared" si="3"/>
        <v>312</v>
      </c>
      <c r="M16" s="193">
        <f t="shared" si="4"/>
        <v>-1015</v>
      </c>
      <c r="N16" s="194">
        <f t="shared" si="6"/>
        <v>0.2351168048229088</v>
      </c>
    </row>
    <row r="17" spans="1:14" ht="13.5" customHeight="1">
      <c r="A17" s="277" t="s">
        <v>311</v>
      </c>
      <c r="B17" s="14"/>
      <c r="C17" s="13"/>
      <c r="D17" s="168">
        <f t="shared" si="0"/>
        <v>0</v>
      </c>
      <c r="E17" s="14">
        <v>7313</v>
      </c>
      <c r="F17" s="13"/>
      <c r="G17" s="168">
        <f t="shared" si="1"/>
        <v>7313</v>
      </c>
      <c r="H17" s="193">
        <f t="shared" si="2"/>
        <v>7313</v>
      </c>
      <c r="I17" s="196"/>
      <c r="J17" s="15">
        <v>6174</v>
      </c>
      <c r="K17" s="13"/>
      <c r="L17" s="168">
        <f t="shared" si="3"/>
        <v>6174</v>
      </c>
      <c r="M17" s="193">
        <f t="shared" si="4"/>
        <v>-1139</v>
      </c>
      <c r="N17" s="194">
        <f t="shared" si="6"/>
        <v>0.8442499658143033</v>
      </c>
    </row>
    <row r="18" spans="1:14" ht="13.5" customHeight="1" thickBot="1">
      <c r="A18" s="278" t="s">
        <v>416</v>
      </c>
      <c r="B18" s="165"/>
      <c r="C18" s="166"/>
      <c r="D18" s="168">
        <f t="shared" si="0"/>
        <v>0</v>
      </c>
      <c r="E18" s="165"/>
      <c r="F18" s="166"/>
      <c r="G18" s="168">
        <f t="shared" si="1"/>
        <v>0</v>
      </c>
      <c r="H18" s="271"/>
      <c r="I18" s="273"/>
      <c r="J18" s="169"/>
      <c r="K18" s="166"/>
      <c r="L18" s="168">
        <f t="shared" si="3"/>
        <v>0</v>
      </c>
      <c r="M18" s="271"/>
      <c r="N18" s="272"/>
    </row>
    <row r="19" spans="1:14" ht="13.5" customHeight="1" thickBot="1">
      <c r="A19" s="182" t="s">
        <v>182</v>
      </c>
      <c r="B19" s="186">
        <f aca="true" t="shared" si="7" ref="B19:G19">SUM(B7+B8+B9+B10+B11+B13+B15)</f>
        <v>15327</v>
      </c>
      <c r="C19" s="187">
        <f t="shared" si="7"/>
        <v>0</v>
      </c>
      <c r="D19" s="188">
        <f t="shared" si="7"/>
        <v>15327</v>
      </c>
      <c r="E19" s="186">
        <f t="shared" si="7"/>
        <v>19454.5</v>
      </c>
      <c r="F19" s="187">
        <f t="shared" si="7"/>
        <v>0</v>
      </c>
      <c r="G19" s="188">
        <f t="shared" si="7"/>
        <v>19454.5</v>
      </c>
      <c r="H19" s="190">
        <f t="shared" si="2"/>
        <v>4127.5</v>
      </c>
      <c r="I19" s="108">
        <f t="shared" si="5"/>
        <v>1.2692960135708227</v>
      </c>
      <c r="J19" s="198">
        <f>SUM(J7+J8+J9+J10+J11+J13+J15)</f>
        <v>16887</v>
      </c>
      <c r="K19" s="187">
        <f>SUM(K7+K8+K9+K10+K11+K13+K15)</f>
        <v>0</v>
      </c>
      <c r="L19" s="188">
        <f>SUM(L7+L8+L9+L10+L11+L13+L15)</f>
        <v>16887</v>
      </c>
      <c r="M19" s="190">
        <f t="shared" si="4"/>
        <v>-2567.5</v>
      </c>
      <c r="N19" s="199">
        <f t="shared" si="6"/>
        <v>0.868025392582693</v>
      </c>
    </row>
    <row r="20" spans="1:14" ht="13.5" customHeight="1">
      <c r="A20" s="96" t="s">
        <v>183</v>
      </c>
      <c r="B20" s="71">
        <v>2787</v>
      </c>
      <c r="C20" s="72"/>
      <c r="D20" s="73">
        <f aca="true" t="shared" si="8" ref="D20:D37">SUM(B20:C20)</f>
        <v>2787</v>
      </c>
      <c r="E20" s="71">
        <v>4232</v>
      </c>
      <c r="F20" s="72"/>
      <c r="G20" s="97">
        <f aca="true" t="shared" si="9" ref="G20:G37">SUM(E20:F20)</f>
        <v>4232</v>
      </c>
      <c r="H20" s="98">
        <f t="shared" si="2"/>
        <v>1445</v>
      </c>
      <c r="I20" s="99">
        <f t="shared" si="5"/>
        <v>1.5184786508790815</v>
      </c>
      <c r="J20" s="76">
        <v>3360</v>
      </c>
      <c r="K20" s="72"/>
      <c r="L20" s="100">
        <f aca="true" t="shared" si="10" ref="L20:L37">SUM(J20:K20)</f>
        <v>3360</v>
      </c>
      <c r="M20" s="98">
        <f t="shared" si="4"/>
        <v>-872</v>
      </c>
      <c r="N20" s="101">
        <f t="shared" si="6"/>
        <v>0.7939508506616257</v>
      </c>
    </row>
    <row r="21" spans="1:14" ht="21" customHeight="1">
      <c r="A21" s="82" t="s">
        <v>184</v>
      </c>
      <c r="B21" s="71">
        <v>231</v>
      </c>
      <c r="C21" s="72"/>
      <c r="D21" s="73">
        <f t="shared" si="8"/>
        <v>231</v>
      </c>
      <c r="E21" s="71">
        <v>1405</v>
      </c>
      <c r="F21" s="72"/>
      <c r="G21" s="97">
        <f t="shared" si="9"/>
        <v>1405</v>
      </c>
      <c r="H21" s="74">
        <f t="shared" si="2"/>
        <v>1174</v>
      </c>
      <c r="I21" s="75">
        <f t="shared" si="5"/>
        <v>6.082251082251083</v>
      </c>
      <c r="J21" s="76">
        <v>300</v>
      </c>
      <c r="K21" s="72"/>
      <c r="L21" s="100">
        <f t="shared" si="10"/>
        <v>300</v>
      </c>
      <c r="M21" s="74">
        <f t="shared" si="4"/>
        <v>-1105</v>
      </c>
      <c r="N21" s="77">
        <f t="shared" si="6"/>
        <v>0.21352313167259787</v>
      </c>
    </row>
    <row r="22" spans="1:14" ht="13.5" customHeight="1">
      <c r="A22" s="78" t="s">
        <v>185</v>
      </c>
      <c r="B22" s="79">
        <v>948</v>
      </c>
      <c r="C22" s="80"/>
      <c r="D22" s="73">
        <f t="shared" si="8"/>
        <v>948</v>
      </c>
      <c r="E22" s="79">
        <v>912</v>
      </c>
      <c r="F22" s="80"/>
      <c r="G22" s="97">
        <f t="shared" si="9"/>
        <v>912</v>
      </c>
      <c r="H22" s="74">
        <f t="shared" si="2"/>
        <v>-36</v>
      </c>
      <c r="I22" s="75">
        <f t="shared" si="5"/>
        <v>0.9620253164556962</v>
      </c>
      <c r="J22" s="81">
        <v>980</v>
      </c>
      <c r="K22" s="80"/>
      <c r="L22" s="100">
        <f t="shared" si="10"/>
        <v>980</v>
      </c>
      <c r="M22" s="74">
        <f t="shared" si="4"/>
        <v>68</v>
      </c>
      <c r="N22" s="77">
        <f t="shared" si="6"/>
        <v>1.0745614035087718</v>
      </c>
    </row>
    <row r="23" spans="1:14" ht="13.5" customHeight="1">
      <c r="A23" s="82" t="s">
        <v>186</v>
      </c>
      <c r="B23" s="79"/>
      <c r="C23" s="80"/>
      <c r="D23" s="73">
        <f t="shared" si="8"/>
        <v>0</v>
      </c>
      <c r="E23" s="79"/>
      <c r="F23" s="80"/>
      <c r="G23" s="97">
        <f t="shared" si="9"/>
        <v>0</v>
      </c>
      <c r="H23" s="74">
        <f t="shared" si="2"/>
        <v>0</v>
      </c>
      <c r="I23" s="75"/>
      <c r="J23" s="81"/>
      <c r="K23" s="80"/>
      <c r="L23" s="100">
        <f t="shared" si="10"/>
        <v>0</v>
      </c>
      <c r="M23" s="74">
        <f t="shared" si="4"/>
        <v>0</v>
      </c>
      <c r="N23" s="77"/>
    </row>
    <row r="24" spans="1:14" ht="13.5" customHeight="1">
      <c r="A24" s="78" t="s">
        <v>298</v>
      </c>
      <c r="B24" s="79"/>
      <c r="C24" s="80"/>
      <c r="D24" s="73">
        <f t="shared" si="8"/>
        <v>0</v>
      </c>
      <c r="E24" s="79"/>
      <c r="F24" s="80"/>
      <c r="G24" s="97">
        <f t="shared" si="9"/>
        <v>0</v>
      </c>
      <c r="H24" s="74">
        <f t="shared" si="2"/>
        <v>0</v>
      </c>
      <c r="I24" s="75"/>
      <c r="J24" s="81">
        <v>20</v>
      </c>
      <c r="K24" s="80"/>
      <c r="L24" s="100">
        <f t="shared" si="10"/>
        <v>20</v>
      </c>
      <c r="M24" s="74">
        <f t="shared" si="4"/>
        <v>20</v>
      </c>
      <c r="N24" s="77"/>
    </row>
    <row r="25" spans="1:14" ht="13.5" customHeight="1">
      <c r="A25" s="78" t="s">
        <v>187</v>
      </c>
      <c r="B25" s="81">
        <v>1176</v>
      </c>
      <c r="C25" s="80"/>
      <c r="D25" s="73">
        <f t="shared" si="8"/>
        <v>1176</v>
      </c>
      <c r="E25" s="81">
        <v>2497</v>
      </c>
      <c r="F25" s="80"/>
      <c r="G25" s="97">
        <f t="shared" si="9"/>
        <v>2497</v>
      </c>
      <c r="H25" s="74">
        <f t="shared" si="2"/>
        <v>1321</v>
      </c>
      <c r="I25" s="75">
        <f aca="true" t="shared" si="11" ref="I25:I38">+G25/D25</f>
        <v>2.123299319727891</v>
      </c>
      <c r="J25" s="81">
        <v>1081</v>
      </c>
      <c r="K25" s="80"/>
      <c r="L25" s="100">
        <f t="shared" si="10"/>
        <v>1081</v>
      </c>
      <c r="M25" s="74">
        <f t="shared" si="4"/>
        <v>-1416</v>
      </c>
      <c r="N25" s="77">
        <f aca="true" t="shared" si="12" ref="N25:N38">+L25/G25</f>
        <v>0.4329195034040849</v>
      </c>
    </row>
    <row r="26" spans="1:14" ht="13.5" customHeight="1">
      <c r="A26" s="82" t="s">
        <v>188</v>
      </c>
      <c r="B26" s="79">
        <v>525</v>
      </c>
      <c r="C26" s="80"/>
      <c r="D26" s="73">
        <f t="shared" si="8"/>
        <v>525</v>
      </c>
      <c r="E26" s="79">
        <v>1939</v>
      </c>
      <c r="F26" s="80"/>
      <c r="G26" s="97">
        <f t="shared" si="9"/>
        <v>1939</v>
      </c>
      <c r="H26" s="74">
        <f t="shared" si="2"/>
        <v>1414</v>
      </c>
      <c r="I26" s="75">
        <f t="shared" si="11"/>
        <v>3.6933333333333334</v>
      </c>
      <c r="J26" s="102">
        <v>500</v>
      </c>
      <c r="K26" s="80"/>
      <c r="L26" s="100">
        <f t="shared" si="10"/>
        <v>500</v>
      </c>
      <c r="M26" s="74">
        <f t="shared" si="4"/>
        <v>-1439</v>
      </c>
      <c r="N26" s="77">
        <f t="shared" si="12"/>
        <v>0.25786487880350695</v>
      </c>
    </row>
    <row r="27" spans="1:14" ht="13.5" customHeight="1">
      <c r="A27" s="78" t="s">
        <v>189</v>
      </c>
      <c r="B27" s="79">
        <v>651</v>
      </c>
      <c r="C27" s="80"/>
      <c r="D27" s="73">
        <f t="shared" si="8"/>
        <v>651</v>
      </c>
      <c r="E27" s="79">
        <v>558</v>
      </c>
      <c r="F27" s="80"/>
      <c r="G27" s="97">
        <f t="shared" si="9"/>
        <v>558</v>
      </c>
      <c r="H27" s="74">
        <f t="shared" si="2"/>
        <v>-93</v>
      </c>
      <c r="I27" s="75">
        <f t="shared" si="11"/>
        <v>0.8571428571428571</v>
      </c>
      <c r="J27" s="102">
        <v>575</v>
      </c>
      <c r="K27" s="80"/>
      <c r="L27" s="100">
        <f t="shared" si="10"/>
        <v>575</v>
      </c>
      <c r="M27" s="74">
        <f t="shared" si="4"/>
        <v>17</v>
      </c>
      <c r="N27" s="77">
        <f t="shared" si="12"/>
        <v>1.0304659498207884</v>
      </c>
    </row>
    <row r="28" spans="1:14" ht="13.5" customHeight="1">
      <c r="A28" s="103" t="s">
        <v>190</v>
      </c>
      <c r="B28" s="81">
        <v>9813</v>
      </c>
      <c r="C28" s="80"/>
      <c r="D28" s="73">
        <f t="shared" si="8"/>
        <v>9813</v>
      </c>
      <c r="E28" s="81">
        <v>11036</v>
      </c>
      <c r="F28" s="80"/>
      <c r="G28" s="97">
        <f t="shared" si="9"/>
        <v>11036</v>
      </c>
      <c r="H28" s="74">
        <f t="shared" si="2"/>
        <v>1223</v>
      </c>
      <c r="I28" s="75">
        <f t="shared" si="11"/>
        <v>1.1246305920717417</v>
      </c>
      <c r="J28" s="81">
        <v>11036</v>
      </c>
      <c r="K28" s="80"/>
      <c r="L28" s="100">
        <f t="shared" si="10"/>
        <v>11036</v>
      </c>
      <c r="M28" s="74">
        <f t="shared" si="4"/>
        <v>0</v>
      </c>
      <c r="N28" s="77">
        <f t="shared" si="12"/>
        <v>1</v>
      </c>
    </row>
    <row r="29" spans="1:14" ht="13.5" customHeight="1">
      <c r="A29" s="82" t="s">
        <v>191</v>
      </c>
      <c r="B29" s="79">
        <v>7121</v>
      </c>
      <c r="C29" s="80"/>
      <c r="D29" s="73">
        <f t="shared" si="8"/>
        <v>7121</v>
      </c>
      <c r="E29" s="79">
        <v>7908</v>
      </c>
      <c r="F29" s="80"/>
      <c r="G29" s="97">
        <f t="shared" si="9"/>
        <v>7908</v>
      </c>
      <c r="H29" s="74">
        <f t="shared" si="2"/>
        <v>787</v>
      </c>
      <c r="I29" s="75">
        <f t="shared" si="11"/>
        <v>1.1105181856480832</v>
      </c>
      <c r="J29" s="102">
        <v>8052</v>
      </c>
      <c r="K29" s="104"/>
      <c r="L29" s="100">
        <f t="shared" si="10"/>
        <v>8052</v>
      </c>
      <c r="M29" s="74">
        <f t="shared" si="4"/>
        <v>144</v>
      </c>
      <c r="N29" s="77">
        <f t="shared" si="12"/>
        <v>1.0182094081942337</v>
      </c>
    </row>
    <row r="30" spans="1:14" ht="13.5" customHeight="1">
      <c r="A30" s="103" t="s">
        <v>192</v>
      </c>
      <c r="B30" s="79">
        <v>6876</v>
      </c>
      <c r="C30" s="80"/>
      <c r="D30" s="73">
        <f t="shared" si="8"/>
        <v>6876</v>
      </c>
      <c r="E30" s="79">
        <v>7780</v>
      </c>
      <c r="F30" s="80"/>
      <c r="G30" s="97">
        <f t="shared" si="9"/>
        <v>7780</v>
      </c>
      <c r="H30" s="74">
        <f t="shared" si="2"/>
        <v>904</v>
      </c>
      <c r="I30" s="75">
        <f t="shared" si="11"/>
        <v>1.1314717859220478</v>
      </c>
      <c r="J30" s="81">
        <v>7780</v>
      </c>
      <c r="K30" s="80"/>
      <c r="L30" s="100">
        <f t="shared" si="10"/>
        <v>7780</v>
      </c>
      <c r="M30" s="74">
        <f t="shared" si="4"/>
        <v>0</v>
      </c>
      <c r="N30" s="77">
        <f t="shared" si="12"/>
        <v>1</v>
      </c>
    </row>
    <row r="31" spans="1:14" ht="13.5" customHeight="1">
      <c r="A31" s="82" t="s">
        <v>193</v>
      </c>
      <c r="B31" s="79">
        <v>245</v>
      </c>
      <c r="C31" s="80"/>
      <c r="D31" s="73">
        <f t="shared" si="8"/>
        <v>245</v>
      </c>
      <c r="E31" s="79">
        <v>272</v>
      </c>
      <c r="F31" s="80"/>
      <c r="G31" s="97">
        <f t="shared" si="9"/>
        <v>272</v>
      </c>
      <c r="H31" s="74">
        <f t="shared" si="2"/>
        <v>27</v>
      </c>
      <c r="I31" s="75">
        <f t="shared" si="11"/>
        <v>1.110204081632653</v>
      </c>
      <c r="J31" s="81">
        <v>272</v>
      </c>
      <c r="K31" s="80"/>
      <c r="L31" s="100">
        <f t="shared" si="10"/>
        <v>272</v>
      </c>
      <c r="M31" s="74">
        <f t="shared" si="4"/>
        <v>0</v>
      </c>
      <c r="N31" s="77">
        <f t="shared" si="12"/>
        <v>1</v>
      </c>
    </row>
    <row r="32" spans="1:14" ht="13.5" customHeight="1">
      <c r="A32" s="82" t="s">
        <v>194</v>
      </c>
      <c r="B32" s="79">
        <v>2692</v>
      </c>
      <c r="C32" s="80"/>
      <c r="D32" s="73">
        <f t="shared" si="8"/>
        <v>2692</v>
      </c>
      <c r="E32" s="79">
        <v>2985</v>
      </c>
      <c r="F32" s="80"/>
      <c r="G32" s="97">
        <f t="shared" si="9"/>
        <v>2985</v>
      </c>
      <c r="H32" s="74">
        <f t="shared" si="2"/>
        <v>293</v>
      </c>
      <c r="I32" s="75">
        <f t="shared" si="11"/>
        <v>1.1088410104011888</v>
      </c>
      <c r="J32" s="81">
        <v>2985</v>
      </c>
      <c r="K32" s="80"/>
      <c r="L32" s="100">
        <f t="shared" si="10"/>
        <v>2985</v>
      </c>
      <c r="M32" s="74">
        <f t="shared" si="4"/>
        <v>0</v>
      </c>
      <c r="N32" s="77">
        <f t="shared" si="12"/>
        <v>1</v>
      </c>
    </row>
    <row r="33" spans="1:14" ht="13.5" customHeight="1">
      <c r="A33" s="103" t="s">
        <v>195</v>
      </c>
      <c r="B33" s="79"/>
      <c r="C33" s="80"/>
      <c r="D33" s="73">
        <f t="shared" si="8"/>
        <v>0</v>
      </c>
      <c r="E33" s="79">
        <v>1</v>
      </c>
      <c r="F33" s="80"/>
      <c r="G33" s="97">
        <f t="shared" si="9"/>
        <v>1</v>
      </c>
      <c r="H33" s="74">
        <f t="shared" si="2"/>
        <v>1</v>
      </c>
      <c r="I33" s="75" t="e">
        <f t="shared" si="11"/>
        <v>#DIV/0!</v>
      </c>
      <c r="J33" s="81">
        <v>1</v>
      </c>
      <c r="K33" s="80"/>
      <c r="L33" s="100">
        <f t="shared" si="10"/>
        <v>1</v>
      </c>
      <c r="M33" s="74">
        <f t="shared" si="4"/>
        <v>0</v>
      </c>
      <c r="N33" s="77">
        <f t="shared" si="12"/>
        <v>1</v>
      </c>
    </row>
    <row r="34" spans="1:14" ht="13.5" customHeight="1">
      <c r="A34" s="103" t="s">
        <v>196</v>
      </c>
      <c r="B34" s="79">
        <v>100</v>
      </c>
      <c r="C34" s="80"/>
      <c r="D34" s="73">
        <f t="shared" si="8"/>
        <v>100</v>
      </c>
      <c r="E34" s="79">
        <v>125</v>
      </c>
      <c r="F34" s="80"/>
      <c r="G34" s="97">
        <f t="shared" si="9"/>
        <v>125</v>
      </c>
      <c r="H34" s="74">
        <f t="shared" si="2"/>
        <v>25</v>
      </c>
      <c r="I34" s="75">
        <f t="shared" si="11"/>
        <v>1.25</v>
      </c>
      <c r="J34" s="81">
        <v>125</v>
      </c>
      <c r="K34" s="80"/>
      <c r="L34" s="100">
        <f t="shared" si="10"/>
        <v>125</v>
      </c>
      <c r="M34" s="74">
        <f t="shared" si="4"/>
        <v>0</v>
      </c>
      <c r="N34" s="77">
        <f t="shared" si="12"/>
        <v>1</v>
      </c>
    </row>
    <row r="35" spans="1:14" ht="13.5" customHeight="1">
      <c r="A35" s="82" t="s">
        <v>197</v>
      </c>
      <c r="B35" s="79">
        <v>464</v>
      </c>
      <c r="C35" s="80"/>
      <c r="D35" s="73">
        <f t="shared" si="8"/>
        <v>464</v>
      </c>
      <c r="E35" s="79">
        <v>505</v>
      </c>
      <c r="F35" s="80"/>
      <c r="G35" s="97">
        <f t="shared" si="9"/>
        <v>505</v>
      </c>
      <c r="H35" s="74">
        <f t="shared" si="2"/>
        <v>41</v>
      </c>
      <c r="I35" s="75">
        <f t="shared" si="11"/>
        <v>1.0883620689655173</v>
      </c>
      <c r="J35" s="102">
        <v>550</v>
      </c>
      <c r="K35" s="80"/>
      <c r="L35" s="100">
        <f t="shared" si="10"/>
        <v>550</v>
      </c>
      <c r="M35" s="74">
        <f t="shared" si="4"/>
        <v>45</v>
      </c>
      <c r="N35" s="77">
        <f t="shared" si="12"/>
        <v>1.0891089108910892</v>
      </c>
    </row>
    <row r="36" spans="1:14" ht="22.5" customHeight="1">
      <c r="A36" s="82" t="s">
        <v>198</v>
      </c>
      <c r="B36" s="79">
        <v>464</v>
      </c>
      <c r="C36" s="80"/>
      <c r="D36" s="73">
        <f t="shared" si="8"/>
        <v>464</v>
      </c>
      <c r="E36" s="79">
        <v>505</v>
      </c>
      <c r="F36" s="80"/>
      <c r="G36" s="97">
        <f t="shared" si="9"/>
        <v>505</v>
      </c>
      <c r="H36" s="74">
        <f t="shared" si="2"/>
        <v>41</v>
      </c>
      <c r="I36" s="75">
        <f t="shared" si="11"/>
        <v>1.0883620689655173</v>
      </c>
      <c r="J36" s="102">
        <v>550</v>
      </c>
      <c r="K36" s="80"/>
      <c r="L36" s="100">
        <f t="shared" si="10"/>
        <v>550</v>
      </c>
      <c r="M36" s="74">
        <f t="shared" si="4"/>
        <v>45</v>
      </c>
      <c r="N36" s="77">
        <f t="shared" si="12"/>
        <v>1.0891089108910892</v>
      </c>
    </row>
    <row r="37" spans="1:14" ht="13.5" customHeight="1" thickBot="1">
      <c r="A37" s="105" t="s">
        <v>199</v>
      </c>
      <c r="B37" s="83"/>
      <c r="C37" s="84"/>
      <c r="D37" s="73">
        <f t="shared" si="8"/>
        <v>0</v>
      </c>
      <c r="E37" s="83"/>
      <c r="F37" s="84"/>
      <c r="G37" s="97">
        <f t="shared" si="9"/>
        <v>0</v>
      </c>
      <c r="H37" s="85">
        <f t="shared" si="2"/>
        <v>0</v>
      </c>
      <c r="I37" s="86"/>
      <c r="J37" s="106"/>
      <c r="K37" s="84"/>
      <c r="L37" s="100">
        <f t="shared" si="10"/>
        <v>0</v>
      </c>
      <c r="M37" s="85">
        <f t="shared" si="4"/>
        <v>0</v>
      </c>
      <c r="N37" s="87"/>
    </row>
    <row r="38" spans="1:14" ht="13.5" customHeight="1" thickBot="1">
      <c r="A38" s="88" t="s">
        <v>200</v>
      </c>
      <c r="B38" s="89">
        <f aca="true" t="shared" si="13" ref="B38:G38">SUM(B20+B22+B23+B24+B25+B28+B33+B34+B35+B37)</f>
        <v>15288</v>
      </c>
      <c r="C38" s="90">
        <f t="shared" si="13"/>
        <v>0</v>
      </c>
      <c r="D38" s="91">
        <f t="shared" si="13"/>
        <v>15288</v>
      </c>
      <c r="E38" s="89">
        <f t="shared" si="13"/>
        <v>19308</v>
      </c>
      <c r="F38" s="90">
        <f t="shared" si="13"/>
        <v>0</v>
      </c>
      <c r="G38" s="91">
        <f t="shared" si="13"/>
        <v>19308</v>
      </c>
      <c r="H38" s="92">
        <f t="shared" si="2"/>
        <v>4020</v>
      </c>
      <c r="I38" s="93">
        <f t="shared" si="11"/>
        <v>1.2629513343799057</v>
      </c>
      <c r="J38" s="94">
        <f>SUM(J20+J22+J23+J24+J25+J28+J33+J34+J35+J37)</f>
        <v>17153</v>
      </c>
      <c r="K38" s="90">
        <f>SUM(K20+K22+K23+K24+K25+K28+K33+K34+K35+K37)</f>
        <v>0</v>
      </c>
      <c r="L38" s="91">
        <f>SUM(L20+L22+L23+L24+L25+L28+L33+L34+L35+L37)</f>
        <v>17153</v>
      </c>
      <c r="M38" s="92">
        <f t="shared" si="4"/>
        <v>-2155</v>
      </c>
      <c r="N38" s="95">
        <f t="shared" si="12"/>
        <v>0.8883882328568469</v>
      </c>
    </row>
    <row r="39" spans="1:14" ht="13.5" customHeight="1" thickBot="1">
      <c r="A39" s="88" t="s">
        <v>201</v>
      </c>
      <c r="B39" s="787">
        <f>+D19-D38</f>
        <v>39</v>
      </c>
      <c r="C39" s="787"/>
      <c r="D39" s="787"/>
      <c r="E39" s="787">
        <f>+G19-G38</f>
        <v>146.5</v>
      </c>
      <c r="F39" s="787"/>
      <c r="G39" s="787">
        <v>-50784</v>
      </c>
      <c r="H39" s="107"/>
      <c r="I39" s="108"/>
      <c r="J39" s="789">
        <f>+L19-L38</f>
        <v>-266</v>
      </c>
      <c r="K39" s="789"/>
      <c r="L39" s="789">
        <v>0</v>
      </c>
      <c r="M39" s="92"/>
      <c r="N39" s="95"/>
    </row>
    <row r="40" spans="1:16" ht="20.25" customHeight="1" thickBot="1">
      <c r="A40" s="109" t="s">
        <v>202</v>
      </c>
      <c r="B40" s="787"/>
      <c r="C40" s="787"/>
      <c r="D40" s="787"/>
      <c r="E40" s="787"/>
      <c r="F40" s="787"/>
      <c r="G40" s="787"/>
      <c r="H40"/>
      <c r="I40"/>
      <c r="J40"/>
      <c r="K40"/>
      <c r="L40"/>
      <c r="M40"/>
      <c r="N40"/>
      <c r="O40"/>
      <c r="P40"/>
    </row>
    <row r="41" spans="2:8" ht="14.25" customHeight="1" thickBot="1">
      <c r="B41" s="7"/>
      <c r="C41" s="7"/>
      <c r="D41" s="16"/>
      <c r="E41" s="7"/>
      <c r="F41" s="7"/>
      <c r="G41" s="7"/>
      <c r="H41" s="7"/>
    </row>
    <row r="42" spans="1:16" ht="13.5" thickBot="1">
      <c r="A42" s="805" t="s">
        <v>312</v>
      </c>
      <c r="B42" s="805"/>
      <c r="C42" s="799" t="s">
        <v>203</v>
      </c>
      <c r="D42" s="805" t="s">
        <v>420</v>
      </c>
      <c r="E42" s="805"/>
      <c r="F42" s="805"/>
      <c r="G42" s="799" t="s">
        <v>203</v>
      </c>
      <c r="H42" s="785" t="s">
        <v>421</v>
      </c>
      <c r="I42" s="785"/>
      <c r="J42" s="785"/>
      <c r="K42" s="785"/>
      <c r="L42" s="799" t="s">
        <v>203</v>
      </c>
      <c r="O42"/>
      <c r="P42"/>
    </row>
    <row r="43" spans="1:16" ht="13.5" thickBot="1">
      <c r="A43" s="805"/>
      <c r="B43" s="805"/>
      <c r="C43" s="799"/>
      <c r="D43" s="805"/>
      <c r="E43" s="805"/>
      <c r="F43" s="805"/>
      <c r="G43" s="799"/>
      <c r="H43" s="785"/>
      <c r="I43" s="785"/>
      <c r="J43" s="785"/>
      <c r="K43" s="785"/>
      <c r="L43" s="799"/>
      <c r="O43"/>
      <c r="P43"/>
    </row>
    <row r="44" spans="1:16" ht="12.75">
      <c r="A44" s="928" t="s">
        <v>265</v>
      </c>
      <c r="B44" s="929"/>
      <c r="C44" s="110">
        <v>104</v>
      </c>
      <c r="D44" s="795" t="s">
        <v>394</v>
      </c>
      <c r="E44" s="795"/>
      <c r="F44" s="795"/>
      <c r="G44" s="111">
        <v>177</v>
      </c>
      <c r="H44" s="802" t="s">
        <v>32</v>
      </c>
      <c r="I44" s="802"/>
      <c r="J44" s="802"/>
      <c r="K44" s="802"/>
      <c r="L44" s="112">
        <v>350</v>
      </c>
      <c r="O44"/>
      <c r="P44"/>
    </row>
    <row r="45" spans="1:16" ht="12.75">
      <c r="A45" s="781" t="s">
        <v>306</v>
      </c>
      <c r="B45" s="782"/>
      <c r="C45" s="113">
        <v>109</v>
      </c>
      <c r="D45" s="795"/>
      <c r="E45" s="795"/>
      <c r="F45" s="795"/>
      <c r="G45" s="114"/>
      <c r="H45" s="802" t="s">
        <v>33</v>
      </c>
      <c r="I45" s="802"/>
      <c r="J45" s="802"/>
      <c r="K45" s="802"/>
      <c r="L45" s="112">
        <v>60</v>
      </c>
      <c r="O45"/>
      <c r="P45"/>
    </row>
    <row r="46" spans="1:16" ht="12.75">
      <c r="A46" s="781" t="s">
        <v>247</v>
      </c>
      <c r="B46" s="782"/>
      <c r="C46" s="113">
        <v>157</v>
      </c>
      <c r="D46" s="795"/>
      <c r="E46" s="795"/>
      <c r="F46" s="795"/>
      <c r="G46" s="114"/>
      <c r="H46" s="802" t="s">
        <v>34</v>
      </c>
      <c r="I46" s="802"/>
      <c r="J46" s="802"/>
      <c r="K46" s="802"/>
      <c r="L46" s="112">
        <v>150</v>
      </c>
      <c r="O46"/>
      <c r="P46"/>
    </row>
    <row r="47" spans="1:16" ht="12.75">
      <c r="A47" s="781" t="s">
        <v>362</v>
      </c>
      <c r="B47" s="782"/>
      <c r="C47" s="115">
        <v>132</v>
      </c>
      <c r="D47" s="797"/>
      <c r="E47" s="797"/>
      <c r="F47" s="797"/>
      <c r="G47" s="116"/>
      <c r="H47" s="776" t="s">
        <v>35</v>
      </c>
      <c r="I47" s="776"/>
      <c r="J47" s="776"/>
      <c r="K47" s="776"/>
      <c r="L47" s="112">
        <v>140</v>
      </c>
      <c r="M47" s="16"/>
      <c r="O47"/>
      <c r="P47"/>
    </row>
    <row r="48" spans="1:16" ht="12.75">
      <c r="A48" s="781" t="s">
        <v>363</v>
      </c>
      <c r="B48" s="782"/>
      <c r="C48" s="115">
        <v>600</v>
      </c>
      <c r="D48" s="797"/>
      <c r="E48" s="797"/>
      <c r="F48" s="797"/>
      <c r="G48" s="116"/>
      <c r="H48" s="776" t="s">
        <v>247</v>
      </c>
      <c r="I48" s="776"/>
      <c r="J48" s="776"/>
      <c r="K48" s="776"/>
      <c r="L48" s="112">
        <v>177</v>
      </c>
      <c r="O48"/>
      <c r="P48"/>
    </row>
    <row r="49" spans="1:16" ht="12.75">
      <c r="A49" s="797"/>
      <c r="B49" s="797"/>
      <c r="C49" s="115"/>
      <c r="D49" s="797"/>
      <c r="E49" s="797"/>
      <c r="F49" s="797"/>
      <c r="G49" s="116"/>
      <c r="H49" s="776"/>
      <c r="I49" s="776"/>
      <c r="J49" s="776"/>
      <c r="K49" s="776"/>
      <c r="L49" s="112"/>
      <c r="O49"/>
      <c r="P49"/>
    </row>
    <row r="50" spans="1:16" ht="13.5" thickBot="1">
      <c r="A50" s="800"/>
      <c r="B50" s="800"/>
      <c r="C50" s="115"/>
      <c r="D50" s="801"/>
      <c r="E50" s="801"/>
      <c r="F50" s="801"/>
      <c r="G50" s="116"/>
      <c r="H50" s="802"/>
      <c r="I50" s="802"/>
      <c r="J50" s="802"/>
      <c r="K50" s="802"/>
      <c r="L50" s="112"/>
      <c r="O50"/>
      <c r="P50"/>
    </row>
    <row r="51" spans="1:16" ht="13.5" thickBot="1">
      <c r="A51" s="811"/>
      <c r="B51" s="811"/>
      <c r="C51" s="117">
        <f>SUM(C44:C50)</f>
        <v>1102</v>
      </c>
      <c r="D51" s="812" t="s">
        <v>168</v>
      </c>
      <c r="E51" s="812"/>
      <c r="F51" s="812"/>
      <c r="G51" s="117">
        <f>SUM(G44:G50)</f>
        <v>177</v>
      </c>
      <c r="H51" s="778" t="s">
        <v>168</v>
      </c>
      <c r="I51" s="778"/>
      <c r="J51" s="778"/>
      <c r="K51" s="778"/>
      <c r="L51" s="117">
        <f>SUM(L44:L50)</f>
        <v>877</v>
      </c>
      <c r="M51" s="17"/>
      <c r="N51" s="17"/>
      <c r="O51"/>
      <c r="P51"/>
    </row>
    <row r="52" spans="1:16" s="1" customFormat="1" ht="13.5" customHeight="1" thickBot="1">
      <c r="A52" s="18"/>
      <c r="B52" s="5"/>
      <c r="C52" s="5"/>
      <c r="D52" s="5"/>
      <c r="E52" s="5"/>
      <c r="F52" s="5"/>
      <c r="G52" s="5"/>
      <c r="H52" s="6"/>
      <c r="I52" s="3"/>
      <c r="J52" s="3"/>
      <c r="K52" s="3"/>
      <c r="L52" s="3"/>
      <c r="M52" s="3"/>
      <c r="N52" s="3"/>
      <c r="O52" s="3"/>
      <c r="P52" s="3"/>
    </row>
    <row r="53" spans="1:16" ht="13.5" thickBot="1">
      <c r="A53" s="866" t="s">
        <v>429</v>
      </c>
      <c r="B53" s="867"/>
      <c r="C53" s="869" t="s">
        <v>203</v>
      </c>
      <c r="D53" s="806" t="s">
        <v>430</v>
      </c>
      <c r="E53" s="806"/>
      <c r="F53" s="806"/>
      <c r="G53" s="798" t="s">
        <v>203</v>
      </c>
      <c r="H53" s="785" t="s">
        <v>431</v>
      </c>
      <c r="I53" s="785"/>
      <c r="J53" s="785"/>
      <c r="K53" s="785"/>
      <c r="L53" s="799" t="s">
        <v>203</v>
      </c>
      <c r="O53"/>
      <c r="P53"/>
    </row>
    <row r="54" spans="1:16" ht="13.5" thickBot="1">
      <c r="A54" s="868"/>
      <c r="B54" s="805"/>
      <c r="C54" s="870"/>
      <c r="D54" s="806"/>
      <c r="E54" s="806"/>
      <c r="F54" s="806"/>
      <c r="G54" s="798"/>
      <c r="H54" s="785"/>
      <c r="I54" s="785"/>
      <c r="J54" s="785"/>
      <c r="K54" s="785"/>
      <c r="L54" s="799"/>
      <c r="O54"/>
      <c r="P54"/>
    </row>
    <row r="55" spans="1:16" ht="12.75">
      <c r="A55" s="930" t="s">
        <v>36</v>
      </c>
      <c r="B55" s="929"/>
      <c r="C55" s="201">
        <v>121</v>
      </c>
      <c r="D55" s="804" t="s">
        <v>37</v>
      </c>
      <c r="E55" s="804"/>
      <c r="F55" s="804"/>
      <c r="G55" s="118">
        <v>309</v>
      </c>
      <c r="H55" s="802" t="s">
        <v>38</v>
      </c>
      <c r="I55" s="802"/>
      <c r="J55" s="802"/>
      <c r="K55" s="802"/>
      <c r="L55" s="112">
        <v>30</v>
      </c>
      <c r="O55"/>
      <c r="P55"/>
    </row>
    <row r="56" spans="1:16" ht="13.5" customHeight="1">
      <c r="A56" s="872" t="s">
        <v>39</v>
      </c>
      <c r="B56" s="782"/>
      <c r="C56" s="202">
        <v>89</v>
      </c>
      <c r="D56" s="782" t="s">
        <v>40</v>
      </c>
      <c r="E56" s="782"/>
      <c r="F56" s="782"/>
      <c r="G56" s="119">
        <v>205</v>
      </c>
      <c r="H56" s="776" t="s">
        <v>41</v>
      </c>
      <c r="I56" s="776"/>
      <c r="J56" s="776"/>
      <c r="K56" s="776"/>
      <c r="L56" s="120">
        <v>90</v>
      </c>
      <c r="O56"/>
      <c r="P56"/>
    </row>
    <row r="57" spans="1:16" ht="13.5" customHeight="1">
      <c r="A57" s="872" t="s">
        <v>42</v>
      </c>
      <c r="B57" s="782"/>
      <c r="C57" s="202">
        <v>28</v>
      </c>
      <c r="D57" s="782" t="s">
        <v>43</v>
      </c>
      <c r="E57" s="782"/>
      <c r="F57" s="782"/>
      <c r="G57" s="119">
        <v>76</v>
      </c>
      <c r="H57" s="776" t="s">
        <v>44</v>
      </c>
      <c r="I57" s="776"/>
      <c r="J57" s="776"/>
      <c r="K57" s="776"/>
      <c r="L57" s="120">
        <v>90</v>
      </c>
      <c r="O57"/>
      <c r="P57"/>
    </row>
    <row r="58" spans="1:16" ht="13.5" customHeight="1">
      <c r="A58" s="872" t="s">
        <v>45</v>
      </c>
      <c r="B58" s="782"/>
      <c r="C58" s="202">
        <v>80</v>
      </c>
      <c r="D58" s="782" t="s">
        <v>46</v>
      </c>
      <c r="E58" s="782"/>
      <c r="F58" s="782"/>
      <c r="G58" s="119">
        <v>72</v>
      </c>
      <c r="H58" s="776" t="s">
        <v>47</v>
      </c>
      <c r="I58" s="776"/>
      <c r="J58" s="776"/>
      <c r="K58" s="776"/>
      <c r="L58" s="120">
        <v>50</v>
      </c>
      <c r="O58"/>
      <c r="P58"/>
    </row>
    <row r="59" spans="1:16" ht="13.5" customHeight="1">
      <c r="A59" s="872" t="s">
        <v>364</v>
      </c>
      <c r="B59" s="782"/>
      <c r="C59" s="203">
        <v>40</v>
      </c>
      <c r="D59" s="782" t="s">
        <v>303</v>
      </c>
      <c r="E59" s="782"/>
      <c r="F59" s="782"/>
      <c r="G59" s="121">
        <v>50</v>
      </c>
      <c r="H59" s="776" t="s">
        <v>48</v>
      </c>
      <c r="I59" s="776"/>
      <c r="J59" s="776"/>
      <c r="K59" s="776"/>
      <c r="L59" s="122">
        <v>70</v>
      </c>
      <c r="O59"/>
      <c r="P59"/>
    </row>
    <row r="60" spans="1:16" ht="13.5" customHeight="1">
      <c r="A60" s="872" t="s">
        <v>49</v>
      </c>
      <c r="B60" s="782"/>
      <c r="C60" s="203">
        <v>167</v>
      </c>
      <c r="D60" s="782" t="s">
        <v>50</v>
      </c>
      <c r="E60" s="782"/>
      <c r="F60" s="782"/>
      <c r="G60" s="121">
        <v>290</v>
      </c>
      <c r="H60" s="776" t="s">
        <v>51</v>
      </c>
      <c r="I60" s="776"/>
      <c r="J60" s="776"/>
      <c r="K60" s="776"/>
      <c r="L60" s="122">
        <v>50</v>
      </c>
      <c r="O60"/>
      <c r="P60"/>
    </row>
    <row r="61" spans="1:16" ht="13.5" customHeight="1">
      <c r="A61" s="872"/>
      <c r="B61" s="873"/>
      <c r="C61" s="202"/>
      <c r="D61" s="782" t="s">
        <v>52</v>
      </c>
      <c r="E61" s="782"/>
      <c r="F61" s="782"/>
      <c r="G61" s="119">
        <v>500</v>
      </c>
      <c r="H61" s="776" t="s">
        <v>53</v>
      </c>
      <c r="I61" s="776"/>
      <c r="J61" s="776"/>
      <c r="K61" s="776"/>
      <c r="L61" s="120">
        <v>120</v>
      </c>
      <c r="O61"/>
      <c r="P61"/>
    </row>
    <row r="62" spans="1:16" ht="13.5" thickBot="1">
      <c r="A62" s="874"/>
      <c r="B62" s="780"/>
      <c r="C62" s="204"/>
      <c r="D62" s="783"/>
      <c r="E62" s="783"/>
      <c r="F62" s="783"/>
      <c r="G62" s="123"/>
      <c r="H62" s="777"/>
      <c r="I62" s="777"/>
      <c r="J62" s="777"/>
      <c r="K62" s="777"/>
      <c r="L62" s="124"/>
      <c r="O62"/>
      <c r="P62"/>
    </row>
    <row r="63" spans="1:16" ht="13.5" thickBot="1">
      <c r="A63" s="877" t="s">
        <v>168</v>
      </c>
      <c r="B63" s="878"/>
      <c r="C63" s="205">
        <f>SUM(C55:C62)</f>
        <v>525</v>
      </c>
      <c r="D63" s="784" t="s">
        <v>168</v>
      </c>
      <c r="E63" s="784"/>
      <c r="F63" s="784"/>
      <c r="G63" s="125">
        <f>SUM(G55:G62)</f>
        <v>1502</v>
      </c>
      <c r="H63" s="778" t="s">
        <v>168</v>
      </c>
      <c r="I63" s="778"/>
      <c r="J63" s="778"/>
      <c r="K63" s="778"/>
      <c r="L63" s="117">
        <f>SUM(L55:L62)</f>
        <v>500</v>
      </c>
      <c r="M63" s="17"/>
      <c r="N63" s="17"/>
      <c r="O63"/>
      <c r="P63"/>
    </row>
    <row r="64" spans="1:14" s="1" customFormat="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1" customFormat="1" ht="13.5" thickBo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s="3" customFormat="1" ht="26.25" customHeight="1" thickBot="1">
      <c r="A66" s="833" t="s">
        <v>106</v>
      </c>
      <c r="B66" s="834"/>
      <c r="C66" s="834"/>
      <c r="D66" s="834"/>
      <c r="E66" s="835"/>
      <c r="F66" s="836" t="s">
        <v>107</v>
      </c>
      <c r="G66" s="914"/>
      <c r="H66" s="914"/>
      <c r="I66" s="914"/>
      <c r="J66" s="914"/>
      <c r="K66" s="914"/>
      <c r="L66" s="915"/>
      <c r="M66" s="19"/>
      <c r="N66" s="19"/>
    </row>
    <row r="67" spans="1:14" s="3" customFormat="1" ht="14.25" customHeight="1" thickBot="1">
      <c r="A67" s="417" t="s">
        <v>231</v>
      </c>
      <c r="B67" s="418" t="s">
        <v>96</v>
      </c>
      <c r="C67" s="908" t="s">
        <v>232</v>
      </c>
      <c r="D67" s="908"/>
      <c r="E67" s="419" t="s">
        <v>97</v>
      </c>
      <c r="F67" s="911" t="s">
        <v>231</v>
      </c>
      <c r="G67" s="912"/>
      <c r="H67" s="418" t="s">
        <v>96</v>
      </c>
      <c r="I67" s="908" t="s">
        <v>232</v>
      </c>
      <c r="J67" s="908"/>
      <c r="K67" s="908"/>
      <c r="L67" s="420" t="s">
        <v>97</v>
      </c>
      <c r="M67" s="19"/>
      <c r="N67" s="19"/>
    </row>
    <row r="68" spans="1:14" s="3" customFormat="1" ht="12.75">
      <c r="A68" s="401" t="s">
        <v>98</v>
      </c>
      <c r="B68" s="402">
        <v>138</v>
      </c>
      <c r="C68" s="842" t="s">
        <v>99</v>
      </c>
      <c r="D68" s="842"/>
      <c r="E68" s="403"/>
      <c r="F68" s="843" t="s">
        <v>98</v>
      </c>
      <c r="G68" s="909"/>
      <c r="H68" s="402">
        <v>190</v>
      </c>
      <c r="I68" s="842" t="s">
        <v>99</v>
      </c>
      <c r="J68" s="909"/>
      <c r="K68" s="909"/>
      <c r="L68" s="403"/>
      <c r="M68" s="19"/>
      <c r="N68" s="19"/>
    </row>
    <row r="69" spans="1:14" s="3" customFormat="1" ht="12.75">
      <c r="A69" s="404" t="s">
        <v>100</v>
      </c>
      <c r="B69" s="405">
        <v>32</v>
      </c>
      <c r="C69" s="845" t="s">
        <v>101</v>
      </c>
      <c r="D69" s="845"/>
      <c r="E69" s="406">
        <v>10</v>
      </c>
      <c r="F69" s="846" t="s">
        <v>102</v>
      </c>
      <c r="G69" s="901"/>
      <c r="H69" s="405">
        <v>118</v>
      </c>
      <c r="I69" s="845" t="s">
        <v>101</v>
      </c>
      <c r="J69" s="901"/>
      <c r="K69" s="901"/>
      <c r="L69" s="406"/>
      <c r="M69" s="19"/>
      <c r="N69" s="19"/>
    </row>
    <row r="70" spans="1:14" s="3" customFormat="1" ht="12.75">
      <c r="A70" s="404" t="s">
        <v>103</v>
      </c>
      <c r="B70" s="405">
        <v>10</v>
      </c>
      <c r="C70" s="845"/>
      <c r="D70" s="845"/>
      <c r="E70" s="406"/>
      <c r="F70" s="845" t="s">
        <v>104</v>
      </c>
      <c r="G70" s="845"/>
      <c r="H70" s="405"/>
      <c r="I70" s="845"/>
      <c r="J70" s="901"/>
      <c r="K70" s="901"/>
      <c r="L70" s="406"/>
      <c r="M70" s="19"/>
      <c r="N70" s="19"/>
    </row>
    <row r="71" spans="1:14" s="3" customFormat="1" ht="13.5" thickBot="1">
      <c r="A71" s="407" t="s">
        <v>657</v>
      </c>
      <c r="B71" s="408">
        <v>20</v>
      </c>
      <c r="C71" s="848"/>
      <c r="D71" s="848"/>
      <c r="E71" s="409"/>
      <c r="F71" s="849"/>
      <c r="G71" s="910"/>
      <c r="H71" s="408"/>
      <c r="I71" s="848"/>
      <c r="J71" s="910"/>
      <c r="K71" s="910"/>
      <c r="L71" s="409"/>
      <c r="M71" s="19"/>
      <c r="N71" s="19"/>
    </row>
    <row r="72" spans="1:14" s="3" customFormat="1" ht="13.5" thickBot="1">
      <c r="A72" s="410" t="s">
        <v>168</v>
      </c>
      <c r="B72" s="411">
        <f>SUM(B68:B71)</f>
        <v>200</v>
      </c>
      <c r="C72" s="851" t="s">
        <v>168</v>
      </c>
      <c r="D72" s="851"/>
      <c r="E72" s="413">
        <f>SUM(E68:E71)</f>
        <v>10</v>
      </c>
      <c r="F72" s="852" t="s">
        <v>168</v>
      </c>
      <c r="G72" s="913"/>
      <c r="H72" s="412">
        <f>SUM(H68:H71)</f>
        <v>308</v>
      </c>
      <c r="I72" s="851" t="s">
        <v>168</v>
      </c>
      <c r="J72" s="913"/>
      <c r="K72" s="913"/>
      <c r="L72" s="413">
        <f>SUM(L68:L71)</f>
        <v>0</v>
      </c>
      <c r="M72" s="19"/>
      <c r="N72" s="19"/>
    </row>
    <row r="73" spans="1:14" s="3" customFormat="1" ht="13.5" thickBot="1">
      <c r="A73" s="421" t="s">
        <v>105</v>
      </c>
      <c r="B73" s="413">
        <f>B72-E72</f>
        <v>190</v>
      </c>
      <c r="C73" s="19"/>
      <c r="D73" s="19"/>
      <c r="E73" s="19"/>
      <c r="F73" s="916" t="s">
        <v>105</v>
      </c>
      <c r="G73" s="917"/>
      <c r="H73" s="422">
        <f>H72-L72</f>
        <v>308</v>
      </c>
      <c r="I73" s="19"/>
      <c r="J73" s="19"/>
      <c r="K73" s="19"/>
      <c r="L73" s="19"/>
      <c r="M73" s="19"/>
      <c r="N73" s="19"/>
    </row>
    <row r="74" spans="1:14" s="1" customFormat="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s="1" customFormat="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2" s="1" customFormat="1" ht="12.75">
      <c r="A76" s="20"/>
      <c r="B76" s="21"/>
      <c r="C76" s="21"/>
      <c r="D76" s="21"/>
      <c r="E76" s="2"/>
      <c r="F76" s="4"/>
      <c r="G76" s="4"/>
      <c r="H76" s="20"/>
      <c r="I76" s="21"/>
      <c r="J76" s="21"/>
      <c r="K76" s="21"/>
      <c r="L76" s="2"/>
    </row>
    <row r="77" spans="1:12" s="1" customFormat="1" ht="13.5" thickBot="1">
      <c r="A77" s="20"/>
      <c r="B77" s="21"/>
      <c r="C77" s="21"/>
      <c r="D77" s="21"/>
      <c r="E77" s="2"/>
      <c r="F77" s="4"/>
      <c r="G77" s="4"/>
      <c r="H77" s="20"/>
      <c r="I77" s="21"/>
      <c r="J77" s="21" t="s">
        <v>307</v>
      </c>
      <c r="K77" s="21"/>
      <c r="L77" s="2"/>
    </row>
    <row r="78" spans="1:15" s="1" customFormat="1" ht="12.75">
      <c r="A78" s="879" t="s">
        <v>227</v>
      </c>
      <c r="B78" s="882" t="s">
        <v>435</v>
      </c>
      <c r="C78" s="885" t="s">
        <v>436</v>
      </c>
      <c r="D78" s="886"/>
      <c r="E78" s="886"/>
      <c r="F78" s="886"/>
      <c r="G78" s="886"/>
      <c r="H78" s="886"/>
      <c r="I78" s="887"/>
      <c r="J78" s="888" t="s">
        <v>437</v>
      </c>
      <c r="K78" s="7"/>
      <c r="L78" s="864" t="s">
        <v>205</v>
      </c>
      <c r="M78" s="865"/>
      <c r="N78" s="59">
        <v>2006</v>
      </c>
      <c r="O78" s="60">
        <v>2007</v>
      </c>
    </row>
    <row r="79" spans="1:15" s="1" customFormat="1" ht="12.75">
      <c r="A79" s="880"/>
      <c r="B79" s="883"/>
      <c r="C79" s="891" t="s">
        <v>228</v>
      </c>
      <c r="D79" s="893" t="s">
        <v>229</v>
      </c>
      <c r="E79" s="894"/>
      <c r="F79" s="894"/>
      <c r="G79" s="894"/>
      <c r="H79" s="894"/>
      <c r="I79" s="895"/>
      <c r="J79" s="889"/>
      <c r="K79" s="7"/>
      <c r="L79" s="63" t="s">
        <v>273</v>
      </c>
      <c r="M79" s="62"/>
      <c r="N79" s="58"/>
      <c r="O79" s="61"/>
    </row>
    <row r="80" spans="1:15" s="1" customFormat="1" ht="13.5" thickBot="1">
      <c r="A80" s="881"/>
      <c r="B80" s="884"/>
      <c r="C80" s="892"/>
      <c r="D80" s="25">
        <v>1</v>
      </c>
      <c r="E80" s="25">
        <v>2</v>
      </c>
      <c r="F80" s="25">
        <v>3</v>
      </c>
      <c r="G80" s="25">
        <v>4</v>
      </c>
      <c r="H80" s="25">
        <v>5</v>
      </c>
      <c r="I80" s="56">
        <v>6</v>
      </c>
      <c r="J80" s="890"/>
      <c r="K80" s="7"/>
      <c r="L80" s="62" t="s">
        <v>206</v>
      </c>
      <c r="M80" s="63"/>
      <c r="N80" s="22">
        <v>0</v>
      </c>
      <c r="O80" s="23">
        <v>0</v>
      </c>
    </row>
    <row r="81" spans="1:15" s="1" customFormat="1" ht="13.5" thickBot="1">
      <c r="A81" s="26">
        <v>22303</v>
      </c>
      <c r="B81" s="27">
        <v>4363</v>
      </c>
      <c r="C81" s="54">
        <f>SUM(D81:I81)</f>
        <v>550</v>
      </c>
      <c r="D81" s="55">
        <v>196</v>
      </c>
      <c r="E81" s="55">
        <v>176</v>
      </c>
      <c r="F81" s="55"/>
      <c r="G81" s="55"/>
      <c r="H81" s="54">
        <v>178</v>
      </c>
      <c r="I81" s="57"/>
      <c r="J81" s="28">
        <f>SUM(A81-B81-C81)</f>
        <v>17390</v>
      </c>
      <c r="K81" s="7"/>
      <c r="L81" s="64" t="s">
        <v>207</v>
      </c>
      <c r="M81" s="65"/>
      <c r="N81" s="52">
        <v>0</v>
      </c>
      <c r="O81" s="53">
        <v>0</v>
      </c>
    </row>
    <row r="82" spans="1:12" s="1" customFormat="1" ht="12.75">
      <c r="A82" s="20"/>
      <c r="B82" s="21"/>
      <c r="C82" s="21"/>
      <c r="D82" s="21"/>
      <c r="E82" s="2"/>
      <c r="F82" s="200"/>
      <c r="G82" s="4"/>
      <c r="H82" s="20"/>
      <c r="I82" s="21"/>
      <c r="J82" s="21"/>
      <c r="K82" s="21"/>
      <c r="L82" s="2"/>
    </row>
    <row r="83" spans="1:12" s="1" customFormat="1" ht="13.5" thickBot="1">
      <c r="A83" s="20"/>
      <c r="B83" s="21"/>
      <c r="C83" s="21"/>
      <c r="D83" s="21"/>
      <c r="E83" s="2"/>
      <c r="F83" s="200"/>
      <c r="G83" s="4"/>
      <c r="H83" s="20"/>
      <c r="I83" s="21"/>
      <c r="J83" s="21"/>
      <c r="K83" s="21"/>
      <c r="L83" s="21" t="s">
        <v>307</v>
      </c>
    </row>
    <row r="84" spans="1:12" s="1" customFormat="1" ht="12.75">
      <c r="A84" s="855" t="s">
        <v>255</v>
      </c>
      <c r="B84" s="857" t="s">
        <v>438</v>
      </c>
      <c r="C84" s="859" t="s">
        <v>439</v>
      </c>
      <c r="D84" s="860"/>
      <c r="E84" s="860"/>
      <c r="F84" s="861"/>
      <c r="G84" s="862" t="s">
        <v>440</v>
      </c>
      <c r="H84" s="896" t="s">
        <v>230</v>
      </c>
      <c r="I84" s="898" t="s">
        <v>441</v>
      </c>
      <c r="J84" s="899"/>
      <c r="K84" s="899"/>
      <c r="L84" s="900"/>
    </row>
    <row r="85" spans="1:12" s="1" customFormat="1" ht="18.75" thickBot="1">
      <c r="A85" s="856"/>
      <c r="B85" s="858"/>
      <c r="C85" s="29" t="s">
        <v>321</v>
      </c>
      <c r="D85" s="30" t="s">
        <v>231</v>
      </c>
      <c r="E85" s="30" t="s">
        <v>232</v>
      </c>
      <c r="F85" s="31" t="s">
        <v>322</v>
      </c>
      <c r="G85" s="863"/>
      <c r="H85" s="897"/>
      <c r="I85" s="174" t="s">
        <v>442</v>
      </c>
      <c r="J85" s="175" t="s">
        <v>231</v>
      </c>
      <c r="K85" s="175" t="s">
        <v>232</v>
      </c>
      <c r="L85" s="176" t="s">
        <v>443</v>
      </c>
    </row>
    <row r="86" spans="1:12" s="1" customFormat="1" ht="12.75">
      <c r="A86" s="32" t="s">
        <v>233</v>
      </c>
      <c r="B86" s="33">
        <v>1218</v>
      </c>
      <c r="C86" s="34" t="s">
        <v>234</v>
      </c>
      <c r="D86" s="35" t="s">
        <v>234</v>
      </c>
      <c r="E86" s="35" t="s">
        <v>234</v>
      </c>
      <c r="F86" s="36"/>
      <c r="G86" s="37">
        <v>1648</v>
      </c>
      <c r="H86" s="171" t="s">
        <v>234</v>
      </c>
      <c r="I86" s="177" t="s">
        <v>234</v>
      </c>
      <c r="J86" s="178" t="s">
        <v>234</v>
      </c>
      <c r="K86" s="178" t="s">
        <v>234</v>
      </c>
      <c r="L86" s="179" t="s">
        <v>234</v>
      </c>
    </row>
    <row r="87" spans="1:12" s="1" customFormat="1" ht="12.75">
      <c r="A87" s="38" t="s">
        <v>235</v>
      </c>
      <c r="B87" s="39">
        <v>19</v>
      </c>
      <c r="C87" s="40">
        <v>19</v>
      </c>
      <c r="D87" s="41">
        <v>7</v>
      </c>
      <c r="E87" s="41">
        <v>0</v>
      </c>
      <c r="F87" s="42">
        <f>C87+D87-E87</f>
        <v>26</v>
      </c>
      <c r="G87" s="43">
        <v>26</v>
      </c>
      <c r="H87" s="172">
        <f>+G87-F87</f>
        <v>0</v>
      </c>
      <c r="I87" s="40">
        <v>26</v>
      </c>
      <c r="J87" s="41">
        <v>29</v>
      </c>
      <c r="K87" s="41">
        <v>0</v>
      </c>
      <c r="L87" s="42">
        <f>I87+J87-K87</f>
        <v>55</v>
      </c>
    </row>
    <row r="88" spans="1:12" s="1" customFormat="1" ht="12.75">
      <c r="A88" s="38" t="s">
        <v>236</v>
      </c>
      <c r="B88" s="39">
        <v>138</v>
      </c>
      <c r="C88" s="40">
        <v>138</v>
      </c>
      <c r="D88" s="41">
        <v>62</v>
      </c>
      <c r="E88" s="41">
        <v>10</v>
      </c>
      <c r="F88" s="42">
        <f>C88+D88-E88</f>
        <v>190</v>
      </c>
      <c r="G88" s="43">
        <v>190</v>
      </c>
      <c r="H88" s="172">
        <f>+G88-F88</f>
        <v>0</v>
      </c>
      <c r="I88" s="40">
        <v>190</v>
      </c>
      <c r="J88" s="41">
        <v>118</v>
      </c>
      <c r="K88" s="41">
        <v>0</v>
      </c>
      <c r="L88" s="42">
        <f>I88+J88-K88</f>
        <v>308</v>
      </c>
    </row>
    <row r="89" spans="1:12" s="1" customFormat="1" ht="12.75">
      <c r="A89" s="38" t="s">
        <v>256</v>
      </c>
      <c r="B89" s="39">
        <v>74</v>
      </c>
      <c r="C89" s="40">
        <v>74</v>
      </c>
      <c r="D89" s="41">
        <v>505</v>
      </c>
      <c r="E89" s="41">
        <v>177</v>
      </c>
      <c r="F89" s="42">
        <f>C89+D89-E89</f>
        <v>402</v>
      </c>
      <c r="G89" s="43">
        <v>402</v>
      </c>
      <c r="H89" s="172">
        <f>+G89-F89</f>
        <v>0</v>
      </c>
      <c r="I89" s="180">
        <v>402</v>
      </c>
      <c r="J89" s="170">
        <v>550</v>
      </c>
      <c r="K89" s="170">
        <v>877</v>
      </c>
      <c r="L89" s="42">
        <f>I89+J89-K89</f>
        <v>75</v>
      </c>
    </row>
    <row r="90" spans="1:12" s="1" customFormat="1" ht="12.75">
      <c r="A90" s="38" t="s">
        <v>237</v>
      </c>
      <c r="B90" s="39">
        <v>987</v>
      </c>
      <c r="C90" s="50" t="s">
        <v>234</v>
      </c>
      <c r="D90" s="35" t="s">
        <v>234</v>
      </c>
      <c r="E90" s="51" t="s">
        <v>234</v>
      </c>
      <c r="F90" s="42"/>
      <c r="G90" s="43">
        <v>1030</v>
      </c>
      <c r="H90" s="50" t="s">
        <v>234</v>
      </c>
      <c r="I90" s="34"/>
      <c r="J90" s="35"/>
      <c r="K90" s="35"/>
      <c r="L90" s="181"/>
    </row>
    <row r="91" spans="1:12" s="1" customFormat="1" ht="13.5" thickBot="1">
      <c r="A91" s="44" t="s">
        <v>238</v>
      </c>
      <c r="B91" s="45">
        <v>26</v>
      </c>
      <c r="C91" s="46">
        <v>28</v>
      </c>
      <c r="D91" s="47">
        <v>155</v>
      </c>
      <c r="E91" s="47">
        <v>126</v>
      </c>
      <c r="F91" s="48">
        <f>C91+D91-E91</f>
        <v>57</v>
      </c>
      <c r="G91" s="49">
        <v>55</v>
      </c>
      <c r="H91" s="173">
        <f>+G91-F91</f>
        <v>-2</v>
      </c>
      <c r="I91" s="46">
        <v>57</v>
      </c>
      <c r="J91" s="47">
        <v>155</v>
      </c>
      <c r="K91" s="47">
        <v>126</v>
      </c>
      <c r="L91" s="48">
        <f>I91+J91-K91</f>
        <v>86</v>
      </c>
    </row>
    <row r="92" spans="1:12" s="1" customFormat="1" ht="12.75">
      <c r="A92" s="20"/>
      <c r="B92" s="21"/>
      <c r="C92" s="21"/>
      <c r="D92" s="21"/>
      <c r="E92" s="2"/>
      <c r="F92" s="200"/>
      <c r="G92" s="4"/>
      <c r="H92" s="20"/>
      <c r="I92" s="21"/>
      <c r="J92" s="21"/>
      <c r="K92" s="21"/>
      <c r="L92" s="2"/>
    </row>
    <row r="93" spans="1:12" s="1" customFormat="1" ht="12.75">
      <c r="A93" s="20"/>
      <c r="B93" s="21"/>
      <c r="C93" s="21"/>
      <c r="D93" s="21"/>
      <c r="E93" s="2"/>
      <c r="F93" s="200"/>
      <c r="G93" s="4"/>
      <c r="H93" s="20"/>
      <c r="I93" s="21"/>
      <c r="J93" s="21"/>
      <c r="K93" s="21"/>
      <c r="L93" s="2"/>
    </row>
    <row r="94" spans="1:12" s="1" customFormat="1" ht="12.75">
      <c r="A94" s="20"/>
      <c r="B94" s="21"/>
      <c r="C94" s="21"/>
      <c r="D94" s="21"/>
      <c r="E94" s="2"/>
      <c r="F94" s="200"/>
      <c r="G94" s="4"/>
      <c r="H94" s="20"/>
      <c r="I94" s="21"/>
      <c r="J94" s="21"/>
      <c r="K94" s="21"/>
      <c r="L94" s="2"/>
    </row>
    <row r="95" spans="1:12" s="1" customFormat="1" ht="12.75">
      <c r="A95" s="20"/>
      <c r="B95" s="21"/>
      <c r="C95" s="21"/>
      <c r="D95" s="21"/>
      <c r="E95" s="2"/>
      <c r="F95" s="200"/>
      <c r="G95" s="4"/>
      <c r="H95" s="20"/>
      <c r="I95" s="21"/>
      <c r="J95" s="21"/>
      <c r="K95" s="21"/>
      <c r="L95" s="2"/>
    </row>
    <row r="96" spans="1:12" s="1" customFormat="1" ht="12.75">
      <c r="A96" s="20"/>
      <c r="B96" s="21"/>
      <c r="C96" s="21"/>
      <c r="D96" s="21"/>
      <c r="E96" s="2"/>
      <c r="F96" s="200"/>
      <c r="G96" s="4"/>
      <c r="H96" s="20"/>
      <c r="I96" s="21"/>
      <c r="J96" s="21"/>
      <c r="K96" s="21"/>
      <c r="L96" s="2"/>
    </row>
    <row r="97" spans="1:12" s="1" customFormat="1" ht="12.75">
      <c r="A97" s="20"/>
      <c r="B97" s="21"/>
      <c r="C97" s="21"/>
      <c r="D97" s="21"/>
      <c r="E97" s="2"/>
      <c r="F97" s="4"/>
      <c r="G97" s="4"/>
      <c r="H97" s="20"/>
      <c r="I97" s="21"/>
      <c r="J97" s="21"/>
      <c r="K97" s="21"/>
      <c r="L97" s="2"/>
    </row>
    <row r="98" spans="1:12" s="1" customFormat="1" ht="12.75">
      <c r="A98" s="20"/>
      <c r="B98" s="21"/>
      <c r="C98" s="21"/>
      <c r="D98" s="21"/>
      <c r="E98" s="2"/>
      <c r="F98" s="4"/>
      <c r="G98" s="4"/>
      <c r="H98" s="20"/>
      <c r="I98" s="21"/>
      <c r="J98" s="21"/>
      <c r="K98" s="21"/>
      <c r="L98" s="2"/>
    </row>
    <row r="99" spans="8:12" ht="13.5" thickBot="1">
      <c r="H99" s="21" t="s">
        <v>307</v>
      </c>
      <c r="L99" s="21" t="s">
        <v>307</v>
      </c>
    </row>
    <row r="100" spans="1:12" ht="13.5" thickBot="1">
      <c r="A100" s="823" t="s">
        <v>444</v>
      </c>
      <c r="B100" s="824" t="s">
        <v>168</v>
      </c>
      <c r="C100" s="810" t="s">
        <v>239</v>
      </c>
      <c r="D100" s="810"/>
      <c r="E100" s="810"/>
      <c r="F100" s="810"/>
      <c r="G100" s="810"/>
      <c r="H100" s="810"/>
      <c r="I100" s="24"/>
      <c r="J100" s="825" t="s">
        <v>208</v>
      </c>
      <c r="K100" s="825"/>
      <c r="L100" s="825"/>
    </row>
    <row r="101" spans="1:12" ht="13.5" thickBot="1">
      <c r="A101" s="823"/>
      <c r="B101" s="824"/>
      <c r="C101" s="126" t="s">
        <v>240</v>
      </c>
      <c r="D101" s="127" t="s">
        <v>241</v>
      </c>
      <c r="E101" s="127" t="s">
        <v>242</v>
      </c>
      <c r="F101" s="127" t="s">
        <v>243</v>
      </c>
      <c r="G101" s="128" t="s">
        <v>244</v>
      </c>
      <c r="H101" s="129" t="s">
        <v>228</v>
      </c>
      <c r="I101" s="24"/>
      <c r="J101" s="130"/>
      <c r="K101" s="131" t="s">
        <v>209</v>
      </c>
      <c r="L101" s="132" t="s">
        <v>210</v>
      </c>
    </row>
    <row r="102" spans="1:12" ht="12.75">
      <c r="A102" s="133" t="s">
        <v>245</v>
      </c>
      <c r="B102" s="134">
        <v>472</v>
      </c>
      <c r="C102" s="135">
        <v>1</v>
      </c>
      <c r="D102" s="135">
        <v>435</v>
      </c>
      <c r="E102" s="135"/>
      <c r="F102" s="135"/>
      <c r="G102" s="134">
        <v>18</v>
      </c>
      <c r="H102" s="136">
        <f>SUM(C102:G102)</f>
        <v>454</v>
      </c>
      <c r="I102" s="24"/>
      <c r="J102" s="137">
        <v>2007</v>
      </c>
      <c r="K102" s="138">
        <v>7780</v>
      </c>
      <c r="L102" s="139">
        <f>+G30</f>
        <v>7780</v>
      </c>
    </row>
    <row r="103" spans="1:12" ht="13.5" thickBot="1">
      <c r="A103" s="140" t="s">
        <v>246</v>
      </c>
      <c r="B103" s="141">
        <v>1496</v>
      </c>
      <c r="C103" s="142">
        <v>364</v>
      </c>
      <c r="D103" s="142">
        <v>87</v>
      </c>
      <c r="E103" s="142"/>
      <c r="F103" s="142"/>
      <c r="G103" s="141">
        <v>100</v>
      </c>
      <c r="H103" s="143">
        <f>SUM(C103:G103)</f>
        <v>551</v>
      </c>
      <c r="I103" s="24"/>
      <c r="J103" s="144">
        <v>2008</v>
      </c>
      <c r="K103" s="145">
        <f>L30</f>
        <v>7780</v>
      </c>
      <c r="L103" s="146"/>
    </row>
    <row r="104" ht="12.75" customHeight="1"/>
    <row r="105" ht="13.5" thickBot="1">
      <c r="J105" s="208" t="s">
        <v>323</v>
      </c>
    </row>
    <row r="106" spans="1:10" ht="21" customHeight="1" thickBot="1">
      <c r="A106" s="823" t="s">
        <v>211</v>
      </c>
      <c r="B106" s="826" t="s">
        <v>212</v>
      </c>
      <c r="C106" s="826"/>
      <c r="D106" s="826"/>
      <c r="E106" s="827" t="s">
        <v>274</v>
      </c>
      <c r="F106" s="827"/>
      <c r="G106" s="827"/>
      <c r="H106" s="828" t="s">
        <v>213</v>
      </c>
      <c r="I106" s="828"/>
      <c r="J106" s="828"/>
    </row>
    <row r="107" spans="1:10" ht="12.75">
      <c r="A107" s="823"/>
      <c r="B107" s="147">
        <v>2006</v>
      </c>
      <c r="C107" s="147">
        <v>2007</v>
      </c>
      <c r="D107" s="147" t="s">
        <v>214</v>
      </c>
      <c r="E107" s="147">
        <v>2006</v>
      </c>
      <c r="F107" s="147">
        <v>2007</v>
      </c>
      <c r="G107" s="148" t="s">
        <v>214</v>
      </c>
      <c r="H107" s="149">
        <v>2006</v>
      </c>
      <c r="I107" s="147">
        <v>2007</v>
      </c>
      <c r="J107" s="148" t="s">
        <v>214</v>
      </c>
    </row>
    <row r="108" spans="1:10" ht="18.75">
      <c r="A108" s="150" t="s">
        <v>215</v>
      </c>
      <c r="B108" s="151">
        <v>3.08</v>
      </c>
      <c r="C108" s="151">
        <v>3.5</v>
      </c>
      <c r="D108" s="151">
        <f aca="true" t="shared" si="14" ref="D108:D118">+C108-B108</f>
        <v>0.41999999999999993</v>
      </c>
      <c r="E108" s="151">
        <v>3.5</v>
      </c>
      <c r="F108" s="151">
        <v>2.75</v>
      </c>
      <c r="G108" s="152">
        <f aca="true" t="shared" si="15" ref="G108:G118">+F108-E108</f>
        <v>-0.75</v>
      </c>
      <c r="H108" s="153">
        <v>21404</v>
      </c>
      <c r="I108" s="154">
        <v>18137.62</v>
      </c>
      <c r="J108" s="155">
        <f aca="true" t="shared" si="16" ref="J108:J118">+I108-H108</f>
        <v>-3266.380000000001</v>
      </c>
    </row>
    <row r="109" spans="1:10" ht="12.75">
      <c r="A109" s="150" t="s">
        <v>248</v>
      </c>
      <c r="B109" s="151">
        <v>12.08</v>
      </c>
      <c r="C109" s="151">
        <v>12.21</v>
      </c>
      <c r="D109" s="151">
        <f t="shared" si="14"/>
        <v>0.13000000000000078</v>
      </c>
      <c r="E109" s="151">
        <v>12</v>
      </c>
      <c r="F109" s="151">
        <v>13</v>
      </c>
      <c r="G109" s="152">
        <f t="shared" si="15"/>
        <v>1</v>
      </c>
      <c r="H109" s="153">
        <v>20622</v>
      </c>
      <c r="I109" s="156">
        <v>23398.53</v>
      </c>
      <c r="J109" s="155">
        <f t="shared" si="16"/>
        <v>2776.529999999999</v>
      </c>
    </row>
    <row r="110" spans="1:10" ht="12.75">
      <c r="A110" s="150" t="s">
        <v>216</v>
      </c>
      <c r="B110" s="151"/>
      <c r="C110" s="151"/>
      <c r="D110" s="151">
        <f t="shared" si="14"/>
        <v>0</v>
      </c>
      <c r="E110" s="151"/>
      <c r="F110" s="151"/>
      <c r="G110" s="152">
        <f t="shared" si="15"/>
        <v>0</v>
      </c>
      <c r="H110" s="153"/>
      <c r="I110" s="156"/>
      <c r="J110" s="155">
        <f t="shared" si="16"/>
        <v>0</v>
      </c>
    </row>
    <row r="111" spans="1:10" ht="12.75">
      <c r="A111" s="150" t="s">
        <v>217</v>
      </c>
      <c r="B111" s="151"/>
      <c r="C111" s="151"/>
      <c r="D111" s="151">
        <f t="shared" si="14"/>
        <v>0</v>
      </c>
      <c r="E111" s="151"/>
      <c r="F111" s="151"/>
      <c r="G111" s="152">
        <f t="shared" si="15"/>
        <v>0</v>
      </c>
      <c r="H111" s="153"/>
      <c r="I111" s="156"/>
      <c r="J111" s="155">
        <f t="shared" si="16"/>
        <v>0</v>
      </c>
    </row>
    <row r="112" spans="1:10" ht="12.75">
      <c r="A112" s="150" t="s">
        <v>299</v>
      </c>
      <c r="B112" s="151"/>
      <c r="C112" s="151"/>
      <c r="D112" s="151">
        <f t="shared" si="14"/>
        <v>0</v>
      </c>
      <c r="E112" s="151"/>
      <c r="F112" s="151"/>
      <c r="G112" s="152">
        <f t="shared" si="15"/>
        <v>0</v>
      </c>
      <c r="H112" s="153"/>
      <c r="I112" s="156"/>
      <c r="J112" s="155">
        <f t="shared" si="16"/>
        <v>0</v>
      </c>
    </row>
    <row r="113" spans="1:10" ht="12.75">
      <c r="A113" s="150" t="s">
        <v>297</v>
      </c>
      <c r="B113" s="151"/>
      <c r="C113" s="151"/>
      <c r="D113" s="151">
        <f t="shared" si="14"/>
        <v>0</v>
      </c>
      <c r="E113" s="151"/>
      <c r="F113" s="151"/>
      <c r="G113" s="152">
        <f t="shared" si="15"/>
        <v>0</v>
      </c>
      <c r="H113" s="153"/>
      <c r="I113" s="156"/>
      <c r="J113" s="155">
        <f t="shared" si="16"/>
        <v>0</v>
      </c>
    </row>
    <row r="114" spans="1:10" ht="12.75">
      <c r="A114" s="150" t="s">
        <v>54</v>
      </c>
      <c r="B114" s="151">
        <v>1.31</v>
      </c>
      <c r="C114" s="151">
        <v>1.98</v>
      </c>
      <c r="D114" s="151">
        <f t="shared" si="14"/>
        <v>0.6699999999999999</v>
      </c>
      <c r="E114" s="151">
        <v>1.5</v>
      </c>
      <c r="F114" s="151">
        <v>2.5</v>
      </c>
      <c r="G114" s="152">
        <f t="shared" si="15"/>
        <v>1</v>
      </c>
      <c r="H114" s="153">
        <v>12756</v>
      </c>
      <c r="I114" s="156">
        <v>14617.4</v>
      </c>
      <c r="J114" s="155">
        <f t="shared" si="16"/>
        <v>1861.3999999999996</v>
      </c>
    </row>
    <row r="115" spans="1:10" ht="12.75">
      <c r="A115" s="150" t="s">
        <v>219</v>
      </c>
      <c r="B115" s="151">
        <v>8.36</v>
      </c>
      <c r="C115" s="151">
        <v>9.08</v>
      </c>
      <c r="D115" s="151">
        <f t="shared" si="14"/>
        <v>0.7200000000000006</v>
      </c>
      <c r="E115" s="151">
        <v>9.11</v>
      </c>
      <c r="F115" s="151">
        <v>10</v>
      </c>
      <c r="G115" s="152">
        <f t="shared" si="15"/>
        <v>0.8900000000000006</v>
      </c>
      <c r="H115" s="153">
        <v>13076</v>
      </c>
      <c r="I115" s="156">
        <v>12229.71</v>
      </c>
      <c r="J115" s="155">
        <f t="shared" si="16"/>
        <v>-846.2900000000009</v>
      </c>
    </row>
    <row r="116" spans="1:10" ht="12.75">
      <c r="A116" s="150" t="s">
        <v>220</v>
      </c>
      <c r="B116" s="151">
        <v>1</v>
      </c>
      <c r="C116" s="151">
        <v>1.25</v>
      </c>
      <c r="D116" s="151">
        <f t="shared" si="14"/>
        <v>0.25</v>
      </c>
      <c r="E116" s="151">
        <v>1</v>
      </c>
      <c r="F116" s="151">
        <v>1</v>
      </c>
      <c r="G116" s="152">
        <f t="shared" si="15"/>
        <v>0</v>
      </c>
      <c r="H116" s="153">
        <v>16882</v>
      </c>
      <c r="I116" s="156">
        <v>16263.4</v>
      </c>
      <c r="J116" s="155">
        <f t="shared" si="16"/>
        <v>-618.6000000000004</v>
      </c>
    </row>
    <row r="117" spans="1:10" ht="12.75">
      <c r="A117" s="150" t="s">
        <v>221</v>
      </c>
      <c r="B117" s="151">
        <v>11.4</v>
      </c>
      <c r="C117" s="151">
        <v>11.44</v>
      </c>
      <c r="D117" s="151">
        <f t="shared" si="14"/>
        <v>0.03999999999999915</v>
      </c>
      <c r="E117" s="151">
        <v>12</v>
      </c>
      <c r="F117" s="151">
        <v>11.5</v>
      </c>
      <c r="G117" s="152">
        <f t="shared" si="15"/>
        <v>-0.5</v>
      </c>
      <c r="H117" s="153">
        <v>11139</v>
      </c>
      <c r="I117" s="156">
        <v>12069.73</v>
      </c>
      <c r="J117" s="155">
        <f t="shared" si="16"/>
        <v>930.7299999999996</v>
      </c>
    </row>
    <row r="118" spans="1:10" ht="13.5" thickBot="1">
      <c r="A118" s="157" t="s">
        <v>168</v>
      </c>
      <c r="B118" s="158">
        <f>SUM(B108:B117)</f>
        <v>37.23</v>
      </c>
      <c r="C118" s="158">
        <f>SUM(C108:C117)</f>
        <v>39.46</v>
      </c>
      <c r="D118" s="158">
        <f t="shared" si="14"/>
        <v>2.230000000000004</v>
      </c>
      <c r="E118" s="158">
        <f>SUM(E108:E117)</f>
        <v>39.11</v>
      </c>
      <c r="F118" s="158">
        <f>SUM(F108:F117)</f>
        <v>40.75</v>
      </c>
      <c r="G118" s="159">
        <f t="shared" si="15"/>
        <v>1.6400000000000006</v>
      </c>
      <c r="H118" s="160">
        <v>16508</v>
      </c>
      <c r="I118" s="161">
        <v>16410.99</v>
      </c>
      <c r="J118" s="162">
        <f t="shared" si="16"/>
        <v>-97.0099999999984</v>
      </c>
    </row>
    <row r="119" ht="13.5" thickBot="1"/>
    <row r="120" spans="1:16" ht="12.75">
      <c r="A120" s="829" t="s">
        <v>222</v>
      </c>
      <c r="B120" s="829"/>
      <c r="C120" s="829"/>
      <c r="D120" s="24"/>
      <c r="E120" s="829" t="s">
        <v>223</v>
      </c>
      <c r="F120" s="829"/>
      <c r="G120" s="829"/>
      <c r="H120"/>
      <c r="I120"/>
      <c r="J120"/>
      <c r="K120"/>
      <c r="L120"/>
      <c r="M120"/>
      <c r="N120"/>
      <c r="O120"/>
      <c r="P120"/>
    </row>
    <row r="121" spans="1:16" ht="13.5" thickBot="1">
      <c r="A121" s="130" t="s">
        <v>224</v>
      </c>
      <c r="B121" s="131" t="s">
        <v>225</v>
      </c>
      <c r="C121" s="132" t="s">
        <v>210</v>
      </c>
      <c r="D121" s="24"/>
      <c r="E121" s="130"/>
      <c r="F121" s="832" t="s">
        <v>226</v>
      </c>
      <c r="G121" s="832"/>
      <c r="H121"/>
      <c r="I121"/>
      <c r="J121"/>
      <c r="K121"/>
      <c r="L121"/>
      <c r="M121"/>
      <c r="N121"/>
      <c r="O121"/>
      <c r="P121"/>
    </row>
    <row r="122" spans="1:16" ht="12.75">
      <c r="A122" s="137">
        <v>2007</v>
      </c>
      <c r="B122" s="138">
        <v>38.75</v>
      </c>
      <c r="C122" s="139">
        <v>38.75</v>
      </c>
      <c r="D122" s="24"/>
      <c r="E122" s="137">
        <v>2007</v>
      </c>
      <c r="F122" s="830">
        <v>68</v>
      </c>
      <c r="G122" s="830"/>
      <c r="H122"/>
      <c r="I122"/>
      <c r="J122"/>
      <c r="K122"/>
      <c r="L122"/>
      <c r="M122"/>
      <c r="N122"/>
      <c r="O122"/>
      <c r="P122"/>
    </row>
    <row r="123" spans="1:16" ht="13.5" thickBot="1">
      <c r="A123" s="144">
        <v>2008</v>
      </c>
      <c r="B123" s="145">
        <v>38.75</v>
      </c>
      <c r="C123" s="146"/>
      <c r="D123" s="24"/>
      <c r="E123" s="144">
        <v>2008</v>
      </c>
      <c r="F123" s="831">
        <v>68</v>
      </c>
      <c r="G123" s="831"/>
      <c r="H123"/>
      <c r="I123"/>
      <c r="J123"/>
      <c r="K123"/>
      <c r="L123"/>
      <c r="M123"/>
      <c r="N123"/>
      <c r="O123"/>
      <c r="P123"/>
    </row>
  </sheetData>
  <mergeCells count="123">
    <mergeCell ref="C72:D72"/>
    <mergeCell ref="F72:G72"/>
    <mergeCell ref="I72:K72"/>
    <mergeCell ref="F73:G73"/>
    <mergeCell ref="C70:D70"/>
    <mergeCell ref="F70:G70"/>
    <mergeCell ref="I70:K70"/>
    <mergeCell ref="C71:D71"/>
    <mergeCell ref="F71:G71"/>
    <mergeCell ref="I71:K71"/>
    <mergeCell ref="C68:D68"/>
    <mergeCell ref="F68:G68"/>
    <mergeCell ref="I68:K68"/>
    <mergeCell ref="C69:D69"/>
    <mergeCell ref="F69:G69"/>
    <mergeCell ref="I69:K69"/>
    <mergeCell ref="A66:E66"/>
    <mergeCell ref="F66:L66"/>
    <mergeCell ref="C67:D67"/>
    <mergeCell ref="F67:G67"/>
    <mergeCell ref="I67:K67"/>
    <mergeCell ref="F123:G123"/>
    <mergeCell ref="A120:C120"/>
    <mergeCell ref="E120:G120"/>
    <mergeCell ref="F121:G121"/>
    <mergeCell ref="F122:G122"/>
    <mergeCell ref="A106:A107"/>
    <mergeCell ref="B106:D106"/>
    <mergeCell ref="E106:G106"/>
    <mergeCell ref="H106:J106"/>
    <mergeCell ref="C84:F84"/>
    <mergeCell ref="G84:G85"/>
    <mergeCell ref="H84:H85"/>
    <mergeCell ref="I84:L84"/>
    <mergeCell ref="A78:A80"/>
    <mergeCell ref="B78:B80"/>
    <mergeCell ref="C78:I78"/>
    <mergeCell ref="J78:J80"/>
    <mergeCell ref="C79:C80"/>
    <mergeCell ref="D79:I79"/>
    <mergeCell ref="H42:K43"/>
    <mergeCell ref="L42:L43"/>
    <mergeCell ref="A51:B51"/>
    <mergeCell ref="D51:F51"/>
    <mergeCell ref="H51:K51"/>
    <mergeCell ref="A48:B48"/>
    <mergeCell ref="D48:F48"/>
    <mergeCell ref="H48:K48"/>
    <mergeCell ref="A49:B49"/>
    <mergeCell ref="D49:F49"/>
    <mergeCell ref="A1:N1"/>
    <mergeCell ref="J39:L39"/>
    <mergeCell ref="B40:D40"/>
    <mergeCell ref="E40:G40"/>
    <mergeCell ref="A3:A6"/>
    <mergeCell ref="B3:N3"/>
    <mergeCell ref="H4:I4"/>
    <mergeCell ref="M4:N4"/>
    <mergeCell ref="B39:D39"/>
    <mergeCell ref="E39:G39"/>
    <mergeCell ref="L78:M78"/>
    <mergeCell ref="H61:K61"/>
    <mergeCell ref="A62:B62"/>
    <mergeCell ref="D62:F62"/>
    <mergeCell ref="H62:K62"/>
    <mergeCell ref="A61:B61"/>
    <mergeCell ref="D61:F61"/>
    <mergeCell ref="A63:B63"/>
    <mergeCell ref="D63:F63"/>
    <mergeCell ref="H63:K63"/>
    <mergeCell ref="A59:B59"/>
    <mergeCell ref="D59:F59"/>
    <mergeCell ref="H59:K59"/>
    <mergeCell ref="A60:B60"/>
    <mergeCell ref="D60:F60"/>
    <mergeCell ref="H60:K60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H53:K54"/>
    <mergeCell ref="L53:L54"/>
    <mergeCell ref="A50:B50"/>
    <mergeCell ref="D50:F50"/>
    <mergeCell ref="H50:K50"/>
    <mergeCell ref="A53:B54"/>
    <mergeCell ref="C53:C54"/>
    <mergeCell ref="D53:F54"/>
    <mergeCell ref="G53:G54"/>
    <mergeCell ref="H49:K49"/>
    <mergeCell ref="A46:B46"/>
    <mergeCell ref="D46:F46"/>
    <mergeCell ref="H46:K46"/>
    <mergeCell ref="A47:B47"/>
    <mergeCell ref="D47:F47"/>
    <mergeCell ref="H47:K47"/>
    <mergeCell ref="H44:K44"/>
    <mergeCell ref="A45:B45"/>
    <mergeCell ref="D45:F45"/>
    <mergeCell ref="H45:K45"/>
    <mergeCell ref="C42:C43"/>
    <mergeCell ref="D42:F43"/>
    <mergeCell ref="G42:G43"/>
    <mergeCell ref="A44:B44"/>
    <mergeCell ref="D44:F44"/>
    <mergeCell ref="J4:L4"/>
    <mergeCell ref="A100:A101"/>
    <mergeCell ref="B100:B101"/>
    <mergeCell ref="C100:H100"/>
    <mergeCell ref="J100:L100"/>
    <mergeCell ref="A84:A85"/>
    <mergeCell ref="B84:B85"/>
    <mergeCell ref="B4:D4"/>
    <mergeCell ref="E4:G4"/>
    <mergeCell ref="A42:B43"/>
  </mergeCells>
  <printOptions horizontalCentered="1"/>
  <pageMargins left="0.15748031496062992" right="0.15748031496062992" top="0.7480314960629921" bottom="0.15748031496062992" header="0.5511811023622047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P121"/>
  <sheetViews>
    <sheetView view="pageBreakPreview" zoomScaleSheetLayoutView="100" workbookViewId="0" topLeftCell="A1">
      <selection activeCell="L28" sqref="L28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875"/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307</v>
      </c>
    </row>
    <row r="3" spans="1:14" ht="24" customHeight="1" thickBot="1">
      <c r="A3" s="876" t="s">
        <v>165</v>
      </c>
      <c r="B3" s="792" t="s">
        <v>664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4" ht="14.25" thickBot="1" thickTop="1">
      <c r="A4" s="876"/>
      <c r="B4" s="790" t="s">
        <v>308</v>
      </c>
      <c r="C4" s="790"/>
      <c r="D4" s="790"/>
      <c r="E4" s="790" t="s">
        <v>417</v>
      </c>
      <c r="F4" s="790"/>
      <c r="G4" s="790"/>
      <c r="H4" s="793" t="s">
        <v>309</v>
      </c>
      <c r="I4" s="793"/>
      <c r="J4" s="790" t="s">
        <v>418</v>
      </c>
      <c r="K4" s="790"/>
      <c r="L4" s="790"/>
      <c r="M4" s="790" t="s">
        <v>419</v>
      </c>
      <c r="N4" s="790"/>
    </row>
    <row r="5" spans="1:14" ht="14.25" thickBot="1" thickTop="1">
      <c r="A5" s="876"/>
      <c r="B5" s="66" t="s">
        <v>166</v>
      </c>
      <c r="C5" s="67" t="s">
        <v>167</v>
      </c>
      <c r="D5" s="68" t="s">
        <v>168</v>
      </c>
      <c r="E5" s="66" t="s">
        <v>166</v>
      </c>
      <c r="F5" s="67" t="s">
        <v>167</v>
      </c>
      <c r="G5" s="68" t="s">
        <v>168</v>
      </c>
      <c r="H5" s="69" t="s">
        <v>168</v>
      </c>
      <c r="I5" s="69" t="s">
        <v>169</v>
      </c>
      <c r="J5" s="70" t="s">
        <v>166</v>
      </c>
      <c r="K5" s="67" t="s">
        <v>167</v>
      </c>
      <c r="L5" s="68" t="s">
        <v>168</v>
      </c>
      <c r="M5" s="69" t="s">
        <v>168</v>
      </c>
      <c r="N5" s="68" t="s">
        <v>169</v>
      </c>
    </row>
    <row r="6" spans="1:14" ht="14.25" thickBot="1" thickTop="1">
      <c r="A6" s="791"/>
      <c r="B6" s="183" t="s">
        <v>170</v>
      </c>
      <c r="C6" s="184" t="s">
        <v>170</v>
      </c>
      <c r="D6" s="185"/>
      <c r="E6" s="183" t="s">
        <v>170</v>
      </c>
      <c r="F6" s="184" t="s">
        <v>170</v>
      </c>
      <c r="G6" s="185"/>
      <c r="H6" s="189" t="s">
        <v>171</v>
      </c>
      <c r="I6" s="189" t="s">
        <v>172</v>
      </c>
      <c r="J6" s="197" t="s">
        <v>170</v>
      </c>
      <c r="K6" s="184" t="s">
        <v>170</v>
      </c>
      <c r="L6" s="185"/>
      <c r="M6" s="189" t="s">
        <v>171</v>
      </c>
      <c r="N6" s="185" t="s">
        <v>172</v>
      </c>
    </row>
    <row r="7" spans="1:14" ht="13.5" customHeight="1">
      <c r="A7" s="274" t="s">
        <v>173</v>
      </c>
      <c r="B7" s="163"/>
      <c r="C7" s="164"/>
      <c r="D7" s="167">
        <f aca="true" t="shared" si="0" ref="D7:D18">SUM(B7:C7)</f>
        <v>0</v>
      </c>
      <c r="E7" s="163"/>
      <c r="F7" s="164"/>
      <c r="G7" s="167">
        <f aca="true" t="shared" si="1" ref="G7:G18">SUM(E7:F7)</f>
        <v>0</v>
      </c>
      <c r="H7" s="191">
        <f aca="true" t="shared" si="2" ref="H7:H38">+G7-D7</f>
        <v>0</v>
      </c>
      <c r="I7" s="195"/>
      <c r="J7" s="163"/>
      <c r="K7" s="164"/>
      <c r="L7" s="167">
        <f aca="true" t="shared" si="3" ref="L7:L18">SUM(J7:K7)</f>
        <v>0</v>
      </c>
      <c r="M7" s="191">
        <f aca="true" t="shared" si="4" ref="M7:M38">+L7-G7</f>
        <v>0</v>
      </c>
      <c r="N7" s="192"/>
    </row>
    <row r="8" spans="1:14" ht="13.5" customHeight="1">
      <c r="A8" s="275" t="s">
        <v>174</v>
      </c>
      <c r="B8" s="14">
        <v>15716</v>
      </c>
      <c r="C8" s="13">
        <v>659</v>
      </c>
      <c r="D8" s="168">
        <f t="shared" si="0"/>
        <v>16375</v>
      </c>
      <c r="E8" s="14">
        <v>24830</v>
      </c>
      <c r="F8" s="13">
        <v>715</v>
      </c>
      <c r="G8" s="168">
        <f t="shared" si="1"/>
        <v>25545</v>
      </c>
      <c r="H8" s="193">
        <f t="shared" si="2"/>
        <v>9170</v>
      </c>
      <c r="I8" s="196">
        <f aca="true" t="shared" si="5" ref="I8:I22">+G8/D8</f>
        <v>1.56</v>
      </c>
      <c r="J8" s="14">
        <f>26438+100</f>
        <v>26538</v>
      </c>
      <c r="K8" s="13">
        <v>660</v>
      </c>
      <c r="L8" s="168">
        <f t="shared" si="3"/>
        <v>27198</v>
      </c>
      <c r="M8" s="193">
        <f t="shared" si="4"/>
        <v>1653</v>
      </c>
      <c r="N8" s="194">
        <f aca="true" t="shared" si="6" ref="N8:N22">+L8/G8</f>
        <v>1.0647093364650617</v>
      </c>
    </row>
    <row r="9" spans="1:14" ht="13.5" customHeight="1">
      <c r="A9" s="275" t="s">
        <v>175</v>
      </c>
      <c r="B9" s="14"/>
      <c r="C9" s="13"/>
      <c r="D9" s="168">
        <f t="shared" si="0"/>
        <v>0</v>
      </c>
      <c r="E9" s="14"/>
      <c r="F9" s="13"/>
      <c r="G9" s="168">
        <f t="shared" si="1"/>
        <v>0</v>
      </c>
      <c r="H9" s="193">
        <f t="shared" si="2"/>
        <v>0</v>
      </c>
      <c r="I9" s="196"/>
      <c r="J9" s="14"/>
      <c r="K9" s="13"/>
      <c r="L9" s="168">
        <f t="shared" si="3"/>
        <v>0</v>
      </c>
      <c r="M9" s="193">
        <f t="shared" si="4"/>
        <v>0</v>
      </c>
      <c r="N9" s="194"/>
    </row>
    <row r="10" spans="1:14" ht="13.5" customHeight="1">
      <c r="A10" s="275" t="s">
        <v>176</v>
      </c>
      <c r="B10" s="14"/>
      <c r="C10" s="13"/>
      <c r="D10" s="168">
        <f t="shared" si="0"/>
        <v>0</v>
      </c>
      <c r="E10" s="14"/>
      <c r="F10" s="13"/>
      <c r="G10" s="168">
        <f t="shared" si="1"/>
        <v>0</v>
      </c>
      <c r="H10" s="193">
        <f t="shared" si="2"/>
        <v>0</v>
      </c>
      <c r="I10" s="196"/>
      <c r="J10" s="14"/>
      <c r="K10" s="13"/>
      <c r="L10" s="168">
        <f t="shared" si="3"/>
        <v>0</v>
      </c>
      <c r="M10" s="193">
        <f t="shared" si="4"/>
        <v>0</v>
      </c>
      <c r="N10" s="194"/>
    </row>
    <row r="11" spans="1:14" ht="13.5" customHeight="1">
      <c r="A11" s="275" t="s">
        <v>177</v>
      </c>
      <c r="B11" s="14">
        <v>72</v>
      </c>
      <c r="C11" s="13"/>
      <c r="D11" s="168">
        <f t="shared" si="0"/>
        <v>72</v>
      </c>
      <c r="E11" s="14">
        <v>96</v>
      </c>
      <c r="F11" s="13"/>
      <c r="G11" s="168">
        <f t="shared" si="1"/>
        <v>96</v>
      </c>
      <c r="H11" s="193">
        <f t="shared" si="2"/>
        <v>24</v>
      </c>
      <c r="I11" s="196">
        <f t="shared" si="5"/>
        <v>1.3333333333333333</v>
      </c>
      <c r="J11" s="14">
        <v>40</v>
      </c>
      <c r="K11" s="13"/>
      <c r="L11" s="168">
        <f t="shared" si="3"/>
        <v>40</v>
      </c>
      <c r="M11" s="193">
        <f t="shared" si="4"/>
        <v>-56</v>
      </c>
      <c r="N11" s="194">
        <f t="shared" si="6"/>
        <v>0.4166666666666667</v>
      </c>
    </row>
    <row r="12" spans="1:14" ht="13.5" customHeight="1">
      <c r="A12" s="276" t="s">
        <v>178</v>
      </c>
      <c r="B12" s="14">
        <v>36</v>
      </c>
      <c r="C12" s="13"/>
      <c r="D12" s="168">
        <f t="shared" si="0"/>
        <v>36</v>
      </c>
      <c r="E12" s="14">
        <v>33</v>
      </c>
      <c r="F12" s="13"/>
      <c r="G12" s="168">
        <f t="shared" si="1"/>
        <v>33</v>
      </c>
      <c r="H12" s="193">
        <f t="shared" si="2"/>
        <v>-3</v>
      </c>
      <c r="I12" s="196">
        <f t="shared" si="5"/>
        <v>0.9166666666666666</v>
      </c>
      <c r="J12" s="14"/>
      <c r="K12" s="13"/>
      <c r="L12" s="168">
        <f t="shared" si="3"/>
        <v>0</v>
      </c>
      <c r="M12" s="193">
        <f t="shared" si="4"/>
        <v>-33</v>
      </c>
      <c r="N12" s="194">
        <f t="shared" si="6"/>
        <v>0</v>
      </c>
    </row>
    <row r="13" spans="1:14" ht="13.5" customHeight="1">
      <c r="A13" s="276" t="s">
        <v>179</v>
      </c>
      <c r="B13" s="14"/>
      <c r="C13" s="13"/>
      <c r="D13" s="168">
        <f t="shared" si="0"/>
        <v>0</v>
      </c>
      <c r="E13" s="14"/>
      <c r="F13" s="13"/>
      <c r="G13" s="168">
        <f t="shared" si="1"/>
        <v>0</v>
      </c>
      <c r="H13" s="193">
        <f t="shared" si="2"/>
        <v>0</v>
      </c>
      <c r="I13" s="196"/>
      <c r="J13" s="14"/>
      <c r="K13" s="13"/>
      <c r="L13" s="168">
        <f t="shared" si="3"/>
        <v>0</v>
      </c>
      <c r="M13" s="193">
        <f t="shared" si="4"/>
        <v>0</v>
      </c>
      <c r="N13" s="194"/>
    </row>
    <row r="14" spans="1:14" ht="23.25" customHeight="1">
      <c r="A14" s="276" t="s">
        <v>180</v>
      </c>
      <c r="B14" s="14"/>
      <c r="C14" s="13"/>
      <c r="D14" s="168">
        <f t="shared" si="0"/>
        <v>0</v>
      </c>
      <c r="E14" s="14"/>
      <c r="F14" s="13"/>
      <c r="G14" s="168">
        <f t="shared" si="1"/>
        <v>0</v>
      </c>
      <c r="H14" s="193">
        <f t="shared" si="2"/>
        <v>0</v>
      </c>
      <c r="I14" s="196"/>
      <c r="J14" s="14"/>
      <c r="K14" s="13"/>
      <c r="L14" s="168">
        <f t="shared" si="3"/>
        <v>0</v>
      </c>
      <c r="M14" s="193">
        <f t="shared" si="4"/>
        <v>0</v>
      </c>
      <c r="N14" s="194"/>
    </row>
    <row r="15" spans="1:14" ht="13.5" customHeight="1">
      <c r="A15" s="275" t="s">
        <v>181</v>
      </c>
      <c r="B15" s="14">
        <v>20891</v>
      </c>
      <c r="C15" s="13"/>
      <c r="D15" s="168">
        <f t="shared" si="0"/>
        <v>20891</v>
      </c>
      <c r="E15" s="14">
        <v>18598</v>
      </c>
      <c r="F15" s="13"/>
      <c r="G15" s="168">
        <f t="shared" si="1"/>
        <v>18598</v>
      </c>
      <c r="H15" s="193">
        <f t="shared" si="2"/>
        <v>-2293</v>
      </c>
      <c r="I15" s="196">
        <f t="shared" si="5"/>
        <v>0.8902398161887894</v>
      </c>
      <c r="J15" s="15">
        <v>11532</v>
      </c>
      <c r="K15" s="279"/>
      <c r="L15" s="168">
        <f t="shared" si="3"/>
        <v>11532</v>
      </c>
      <c r="M15" s="193">
        <f t="shared" si="4"/>
        <v>-7066</v>
      </c>
      <c r="N15" s="194">
        <f t="shared" si="6"/>
        <v>0.6200666738358963</v>
      </c>
    </row>
    <row r="16" spans="1:14" ht="13.5" customHeight="1">
      <c r="A16" s="277" t="s">
        <v>310</v>
      </c>
      <c r="B16" s="14">
        <v>20891</v>
      </c>
      <c r="C16" s="13"/>
      <c r="D16" s="168">
        <f t="shared" si="0"/>
        <v>20891</v>
      </c>
      <c r="E16" s="14">
        <v>4522</v>
      </c>
      <c r="F16" s="13"/>
      <c r="G16" s="168">
        <f t="shared" si="1"/>
        <v>4522</v>
      </c>
      <c r="H16" s="193">
        <f t="shared" si="2"/>
        <v>-16369</v>
      </c>
      <c r="I16" s="196">
        <f t="shared" si="5"/>
        <v>0.21645684744626872</v>
      </c>
      <c r="J16" s="15">
        <v>942</v>
      </c>
      <c r="K16" s="13"/>
      <c r="L16" s="168">
        <f t="shared" si="3"/>
        <v>942</v>
      </c>
      <c r="M16" s="193">
        <f t="shared" si="4"/>
        <v>-3580</v>
      </c>
      <c r="N16" s="194">
        <f t="shared" si="6"/>
        <v>0.20831490490933216</v>
      </c>
    </row>
    <row r="17" spans="1:14" ht="13.5" customHeight="1">
      <c r="A17" s="277" t="s">
        <v>311</v>
      </c>
      <c r="B17" s="14"/>
      <c r="C17" s="13"/>
      <c r="D17" s="168">
        <f t="shared" si="0"/>
        <v>0</v>
      </c>
      <c r="E17" s="14">
        <v>14076</v>
      </c>
      <c r="F17" s="13"/>
      <c r="G17" s="168">
        <f t="shared" si="1"/>
        <v>14076</v>
      </c>
      <c r="H17" s="193">
        <f t="shared" si="2"/>
        <v>14076</v>
      </c>
      <c r="I17" s="196"/>
      <c r="J17" s="15">
        <v>10590</v>
      </c>
      <c r="K17" s="13"/>
      <c r="L17" s="168">
        <f t="shared" si="3"/>
        <v>10590</v>
      </c>
      <c r="M17" s="193">
        <f t="shared" si="4"/>
        <v>-3486</v>
      </c>
      <c r="N17" s="194">
        <f t="shared" si="6"/>
        <v>0.7523444160272805</v>
      </c>
    </row>
    <row r="18" spans="1:14" ht="13.5" customHeight="1" thickBot="1">
      <c r="A18" s="278" t="s">
        <v>416</v>
      </c>
      <c r="B18" s="165"/>
      <c r="C18" s="166"/>
      <c r="D18" s="168">
        <f t="shared" si="0"/>
        <v>0</v>
      </c>
      <c r="E18" s="165"/>
      <c r="F18" s="166"/>
      <c r="G18" s="168">
        <f t="shared" si="1"/>
        <v>0</v>
      </c>
      <c r="H18" s="271"/>
      <c r="I18" s="273"/>
      <c r="J18" s="169"/>
      <c r="K18" s="166"/>
      <c r="L18" s="168">
        <f t="shared" si="3"/>
        <v>0</v>
      </c>
      <c r="M18" s="271"/>
      <c r="N18" s="272"/>
    </row>
    <row r="19" spans="1:14" ht="13.5" customHeight="1" thickBot="1">
      <c r="A19" s="182" t="s">
        <v>182</v>
      </c>
      <c r="B19" s="186">
        <f aca="true" t="shared" si="7" ref="B19:G19">SUM(B7+B8+B9+B10+B11+B13+B15)</f>
        <v>36679</v>
      </c>
      <c r="C19" s="187">
        <f t="shared" si="7"/>
        <v>659</v>
      </c>
      <c r="D19" s="188">
        <f t="shared" si="7"/>
        <v>37338</v>
      </c>
      <c r="E19" s="186">
        <f t="shared" si="7"/>
        <v>43524</v>
      </c>
      <c r="F19" s="187">
        <f t="shared" si="7"/>
        <v>715</v>
      </c>
      <c r="G19" s="188">
        <f t="shared" si="7"/>
        <v>44239</v>
      </c>
      <c r="H19" s="190">
        <f t="shared" si="2"/>
        <v>6901</v>
      </c>
      <c r="I19" s="108">
        <f t="shared" si="5"/>
        <v>1.1848251111468209</v>
      </c>
      <c r="J19" s="198">
        <f>SUM(J7+J8+J9+J10+J11+J13+J15)</f>
        <v>38110</v>
      </c>
      <c r="K19" s="187">
        <f>SUM(K7+K8+K9+K10+K11+K13+K15)</f>
        <v>660</v>
      </c>
      <c r="L19" s="188">
        <f>SUM(L7+L8+L9+L10+L11+L13+L15)</f>
        <v>38770</v>
      </c>
      <c r="M19" s="190">
        <f t="shared" si="4"/>
        <v>-5469</v>
      </c>
      <c r="N19" s="199">
        <f t="shared" si="6"/>
        <v>0.876376048283189</v>
      </c>
    </row>
    <row r="20" spans="1:14" ht="13.5" customHeight="1">
      <c r="A20" s="96" t="s">
        <v>183</v>
      </c>
      <c r="B20" s="71">
        <v>6397</v>
      </c>
      <c r="C20" s="72">
        <v>418</v>
      </c>
      <c r="D20" s="73">
        <f aca="true" t="shared" si="8" ref="D20:D37">SUM(B20:C20)</f>
        <v>6815</v>
      </c>
      <c r="E20" s="71">
        <v>11018</v>
      </c>
      <c r="F20" s="72">
        <v>420</v>
      </c>
      <c r="G20" s="97">
        <f aca="true" t="shared" si="9" ref="G20:G37">SUM(E20:F20)</f>
        <v>11438</v>
      </c>
      <c r="H20" s="98">
        <f t="shared" si="2"/>
        <v>4623</v>
      </c>
      <c r="I20" s="99">
        <f t="shared" si="5"/>
        <v>1.6783565663976523</v>
      </c>
      <c r="J20" s="76">
        <f>7695-200</f>
        <v>7495</v>
      </c>
      <c r="K20" s="72">
        <v>426</v>
      </c>
      <c r="L20" s="100">
        <f aca="true" t="shared" si="10" ref="L20:L37">SUM(J20:K20)</f>
        <v>7921</v>
      </c>
      <c r="M20" s="98">
        <f t="shared" si="4"/>
        <v>-3517</v>
      </c>
      <c r="N20" s="101">
        <f t="shared" si="6"/>
        <v>0.692516174156321</v>
      </c>
    </row>
    <row r="21" spans="1:14" ht="21" customHeight="1">
      <c r="A21" s="82" t="s">
        <v>184</v>
      </c>
      <c r="B21" s="71">
        <v>628</v>
      </c>
      <c r="C21" s="72">
        <v>3</v>
      </c>
      <c r="D21" s="73">
        <f t="shared" si="8"/>
        <v>631</v>
      </c>
      <c r="E21" s="71">
        <v>4406</v>
      </c>
      <c r="F21" s="72">
        <v>5</v>
      </c>
      <c r="G21" s="97">
        <f t="shared" si="9"/>
        <v>4411</v>
      </c>
      <c r="H21" s="74">
        <f t="shared" si="2"/>
        <v>3780</v>
      </c>
      <c r="I21" s="75">
        <f t="shared" si="5"/>
        <v>6.990491283676704</v>
      </c>
      <c r="J21" s="76">
        <f>1167-200</f>
        <v>967</v>
      </c>
      <c r="K21" s="72">
        <v>3</v>
      </c>
      <c r="L21" s="100">
        <f t="shared" si="10"/>
        <v>970</v>
      </c>
      <c r="M21" s="74">
        <f t="shared" si="4"/>
        <v>-3441</v>
      </c>
      <c r="N21" s="77">
        <f t="shared" si="6"/>
        <v>0.21990478349580594</v>
      </c>
    </row>
    <row r="22" spans="1:14" ht="13.5" customHeight="1">
      <c r="A22" s="78" t="s">
        <v>185</v>
      </c>
      <c r="B22" s="79">
        <v>2968</v>
      </c>
      <c r="C22" s="80">
        <v>34</v>
      </c>
      <c r="D22" s="73">
        <f t="shared" si="8"/>
        <v>3002</v>
      </c>
      <c r="E22" s="79">
        <v>2739</v>
      </c>
      <c r="F22" s="80">
        <v>35</v>
      </c>
      <c r="G22" s="97">
        <f t="shared" si="9"/>
        <v>2774</v>
      </c>
      <c r="H22" s="74">
        <f t="shared" si="2"/>
        <v>-228</v>
      </c>
      <c r="I22" s="75">
        <f t="shared" si="5"/>
        <v>0.9240506329113924</v>
      </c>
      <c r="J22" s="81">
        <v>3154</v>
      </c>
      <c r="K22" s="80">
        <v>36</v>
      </c>
      <c r="L22" s="100">
        <f t="shared" si="10"/>
        <v>3190</v>
      </c>
      <c r="M22" s="74">
        <f t="shared" si="4"/>
        <v>416</v>
      </c>
      <c r="N22" s="77">
        <f t="shared" si="6"/>
        <v>1.1499639509733237</v>
      </c>
    </row>
    <row r="23" spans="1:14" ht="13.5" customHeight="1">
      <c r="A23" s="82" t="s">
        <v>186</v>
      </c>
      <c r="B23" s="79"/>
      <c r="C23" s="80"/>
      <c r="D23" s="73">
        <f t="shared" si="8"/>
        <v>0</v>
      </c>
      <c r="E23" s="79"/>
      <c r="F23" s="80"/>
      <c r="G23" s="97">
        <f t="shared" si="9"/>
        <v>0</v>
      </c>
      <c r="H23" s="74">
        <f t="shared" si="2"/>
        <v>0</v>
      </c>
      <c r="I23" s="75"/>
      <c r="J23" s="81"/>
      <c r="K23" s="80"/>
      <c r="L23" s="100">
        <f t="shared" si="10"/>
        <v>0</v>
      </c>
      <c r="M23" s="74">
        <f t="shared" si="4"/>
        <v>0</v>
      </c>
      <c r="N23" s="77"/>
    </row>
    <row r="24" spans="1:14" ht="13.5" customHeight="1">
      <c r="A24" s="78" t="s">
        <v>298</v>
      </c>
      <c r="B24" s="79">
        <v>24</v>
      </c>
      <c r="C24" s="80"/>
      <c r="D24" s="73">
        <f t="shared" si="8"/>
        <v>24</v>
      </c>
      <c r="E24" s="79">
        <v>30</v>
      </c>
      <c r="F24" s="80"/>
      <c r="G24" s="97">
        <f t="shared" si="9"/>
        <v>30</v>
      </c>
      <c r="H24" s="74">
        <f t="shared" si="2"/>
        <v>6</v>
      </c>
      <c r="I24" s="75">
        <f aca="true" t="shared" si="11" ref="I24:I38">+G24/D24</f>
        <v>1.25</v>
      </c>
      <c r="J24" s="81">
        <v>40</v>
      </c>
      <c r="K24" s="80"/>
      <c r="L24" s="100">
        <f t="shared" si="10"/>
        <v>40</v>
      </c>
      <c r="M24" s="74">
        <f t="shared" si="4"/>
        <v>10</v>
      </c>
      <c r="N24" s="77">
        <f aca="true" t="shared" si="12" ref="N24:N38">+L24/G24</f>
        <v>1.3333333333333333</v>
      </c>
    </row>
    <row r="25" spans="1:14" ht="13.5" customHeight="1">
      <c r="A25" s="78" t="s">
        <v>187</v>
      </c>
      <c r="B25" s="81">
        <v>2696</v>
      </c>
      <c r="C25" s="80">
        <v>9</v>
      </c>
      <c r="D25" s="73">
        <f t="shared" si="8"/>
        <v>2705</v>
      </c>
      <c r="E25" s="81">
        <v>3388</v>
      </c>
      <c r="F25" s="80">
        <v>24</v>
      </c>
      <c r="G25" s="97">
        <f t="shared" si="9"/>
        <v>3412</v>
      </c>
      <c r="H25" s="74">
        <f t="shared" si="2"/>
        <v>707</v>
      </c>
      <c r="I25" s="75">
        <f t="shared" si="11"/>
        <v>1.2613678373382624</v>
      </c>
      <c r="J25" s="81">
        <v>2679</v>
      </c>
      <c r="K25" s="80">
        <v>9</v>
      </c>
      <c r="L25" s="100">
        <f t="shared" si="10"/>
        <v>2688</v>
      </c>
      <c r="M25" s="74">
        <f t="shared" si="4"/>
        <v>-724</v>
      </c>
      <c r="N25" s="77">
        <f t="shared" si="12"/>
        <v>0.7878077373974208</v>
      </c>
    </row>
    <row r="26" spans="1:14" ht="13.5" customHeight="1">
      <c r="A26" s="82" t="s">
        <v>188</v>
      </c>
      <c r="B26" s="79">
        <v>828</v>
      </c>
      <c r="C26" s="80">
        <v>2</v>
      </c>
      <c r="D26" s="73">
        <f t="shared" si="8"/>
        <v>830</v>
      </c>
      <c r="E26" s="79">
        <v>1468</v>
      </c>
      <c r="F26" s="80">
        <v>17</v>
      </c>
      <c r="G26" s="97">
        <f t="shared" si="9"/>
        <v>1485</v>
      </c>
      <c r="H26" s="74">
        <f t="shared" si="2"/>
        <v>655</v>
      </c>
      <c r="I26" s="75">
        <f t="shared" si="11"/>
        <v>1.7891566265060241</v>
      </c>
      <c r="J26" s="102">
        <v>608</v>
      </c>
      <c r="K26" s="80">
        <v>2</v>
      </c>
      <c r="L26" s="100">
        <f t="shared" si="10"/>
        <v>610</v>
      </c>
      <c r="M26" s="74">
        <f t="shared" si="4"/>
        <v>-875</v>
      </c>
      <c r="N26" s="77">
        <f t="shared" si="12"/>
        <v>0.4107744107744108</v>
      </c>
    </row>
    <row r="27" spans="1:14" ht="13.5" customHeight="1">
      <c r="A27" s="78" t="s">
        <v>189</v>
      </c>
      <c r="B27" s="79">
        <v>1866</v>
      </c>
      <c r="C27" s="80">
        <v>7</v>
      </c>
      <c r="D27" s="73">
        <f t="shared" si="8"/>
        <v>1873</v>
      </c>
      <c r="E27" s="79">
        <v>1918</v>
      </c>
      <c r="F27" s="80">
        <v>7</v>
      </c>
      <c r="G27" s="97">
        <f t="shared" si="9"/>
        <v>1925</v>
      </c>
      <c r="H27" s="74">
        <f t="shared" si="2"/>
        <v>52</v>
      </c>
      <c r="I27" s="75">
        <f t="shared" si="11"/>
        <v>1.0277629471436198</v>
      </c>
      <c r="J27" s="102">
        <v>2068</v>
      </c>
      <c r="K27" s="80">
        <v>7</v>
      </c>
      <c r="L27" s="100">
        <f t="shared" si="10"/>
        <v>2075</v>
      </c>
      <c r="M27" s="74">
        <f t="shared" si="4"/>
        <v>150</v>
      </c>
      <c r="N27" s="77">
        <f t="shared" si="12"/>
        <v>1.077922077922078</v>
      </c>
    </row>
    <row r="28" spans="1:14" ht="13.5" customHeight="1">
      <c r="A28" s="103" t="s">
        <v>190</v>
      </c>
      <c r="B28" s="81">
        <v>22539</v>
      </c>
      <c r="C28" s="80">
        <v>160</v>
      </c>
      <c r="D28" s="73">
        <f t="shared" si="8"/>
        <v>22699</v>
      </c>
      <c r="E28" s="81">
        <v>24829</v>
      </c>
      <c r="F28" s="80">
        <v>168</v>
      </c>
      <c r="G28" s="97">
        <f t="shared" si="9"/>
        <v>24997</v>
      </c>
      <c r="H28" s="74">
        <f t="shared" si="2"/>
        <v>2298</v>
      </c>
      <c r="I28" s="75">
        <f t="shared" si="11"/>
        <v>1.1012379399973566</v>
      </c>
      <c r="J28" s="81">
        <v>25811</v>
      </c>
      <c r="K28" s="80">
        <v>175</v>
      </c>
      <c r="L28" s="100">
        <f t="shared" si="10"/>
        <v>25986</v>
      </c>
      <c r="M28" s="74">
        <f t="shared" si="4"/>
        <v>989</v>
      </c>
      <c r="N28" s="77">
        <f t="shared" si="12"/>
        <v>1.0395647477697323</v>
      </c>
    </row>
    <row r="29" spans="1:14" ht="13.5" customHeight="1">
      <c r="A29" s="82" t="s">
        <v>191</v>
      </c>
      <c r="B29" s="79">
        <v>16477</v>
      </c>
      <c r="C29" s="80">
        <v>118</v>
      </c>
      <c r="D29" s="73">
        <f t="shared" si="8"/>
        <v>16595</v>
      </c>
      <c r="E29" s="79">
        <v>18128</v>
      </c>
      <c r="F29" s="80">
        <v>124</v>
      </c>
      <c r="G29" s="97">
        <f t="shared" si="9"/>
        <v>18252</v>
      </c>
      <c r="H29" s="74">
        <f t="shared" si="2"/>
        <v>1657</v>
      </c>
      <c r="I29" s="75">
        <f t="shared" si="11"/>
        <v>1.0998493522145225</v>
      </c>
      <c r="J29" s="102">
        <v>18858</v>
      </c>
      <c r="K29" s="104">
        <v>130</v>
      </c>
      <c r="L29" s="100">
        <f t="shared" si="10"/>
        <v>18988</v>
      </c>
      <c r="M29" s="74">
        <f t="shared" si="4"/>
        <v>736</v>
      </c>
      <c r="N29" s="77">
        <f t="shared" si="12"/>
        <v>1.0403243480166557</v>
      </c>
    </row>
    <row r="30" spans="1:14" ht="13.5" customHeight="1">
      <c r="A30" s="103" t="s">
        <v>192</v>
      </c>
      <c r="B30" s="79">
        <v>16380</v>
      </c>
      <c r="C30" s="80">
        <v>118</v>
      </c>
      <c r="D30" s="73">
        <f t="shared" si="8"/>
        <v>16498</v>
      </c>
      <c r="E30" s="79">
        <v>18071</v>
      </c>
      <c r="F30" s="80">
        <v>124</v>
      </c>
      <c r="G30" s="97">
        <f t="shared" si="9"/>
        <v>18195</v>
      </c>
      <c r="H30" s="74">
        <f t="shared" si="2"/>
        <v>1697</v>
      </c>
      <c r="I30" s="75">
        <f t="shared" si="11"/>
        <v>1.1028609528427689</v>
      </c>
      <c r="J30" s="81">
        <v>18793</v>
      </c>
      <c r="K30" s="80">
        <v>130</v>
      </c>
      <c r="L30" s="100">
        <f t="shared" si="10"/>
        <v>18923</v>
      </c>
      <c r="M30" s="74">
        <f t="shared" si="4"/>
        <v>728</v>
      </c>
      <c r="N30" s="77">
        <f t="shared" si="12"/>
        <v>1.0400109920307776</v>
      </c>
    </row>
    <row r="31" spans="1:14" ht="13.5" customHeight="1">
      <c r="A31" s="82" t="s">
        <v>193</v>
      </c>
      <c r="B31" s="79">
        <v>97</v>
      </c>
      <c r="C31" s="80"/>
      <c r="D31" s="73">
        <f t="shared" si="8"/>
        <v>97</v>
      </c>
      <c r="E31" s="79">
        <v>57</v>
      </c>
      <c r="F31" s="80"/>
      <c r="G31" s="97">
        <f t="shared" si="9"/>
        <v>57</v>
      </c>
      <c r="H31" s="74">
        <f t="shared" si="2"/>
        <v>-40</v>
      </c>
      <c r="I31" s="75">
        <f t="shared" si="11"/>
        <v>0.5876288659793815</v>
      </c>
      <c r="J31" s="81">
        <v>65</v>
      </c>
      <c r="K31" s="80"/>
      <c r="L31" s="100">
        <f t="shared" si="10"/>
        <v>65</v>
      </c>
      <c r="M31" s="74">
        <f t="shared" si="4"/>
        <v>8</v>
      </c>
      <c r="N31" s="77">
        <f t="shared" si="12"/>
        <v>1.1403508771929824</v>
      </c>
    </row>
    <row r="32" spans="1:14" ht="13.5" customHeight="1">
      <c r="A32" s="82" t="s">
        <v>194</v>
      </c>
      <c r="B32" s="79">
        <v>6062</v>
      </c>
      <c r="C32" s="80">
        <v>42</v>
      </c>
      <c r="D32" s="73">
        <f t="shared" si="8"/>
        <v>6104</v>
      </c>
      <c r="E32" s="79">
        <v>6701</v>
      </c>
      <c r="F32" s="80">
        <v>44</v>
      </c>
      <c r="G32" s="97">
        <f t="shared" si="9"/>
        <v>6745</v>
      </c>
      <c r="H32" s="74">
        <f t="shared" si="2"/>
        <v>641</v>
      </c>
      <c r="I32" s="75">
        <f t="shared" si="11"/>
        <v>1.1050131061598951</v>
      </c>
      <c r="J32" s="81">
        <v>6953</v>
      </c>
      <c r="K32" s="80">
        <v>45</v>
      </c>
      <c r="L32" s="100">
        <f t="shared" si="10"/>
        <v>6998</v>
      </c>
      <c r="M32" s="74">
        <f t="shared" si="4"/>
        <v>253</v>
      </c>
      <c r="N32" s="77">
        <f t="shared" si="12"/>
        <v>1.037509266123054</v>
      </c>
    </row>
    <row r="33" spans="1:14" ht="13.5" customHeight="1">
      <c r="A33" s="103" t="s">
        <v>195</v>
      </c>
      <c r="B33" s="79">
        <v>12</v>
      </c>
      <c r="C33" s="80"/>
      <c r="D33" s="73">
        <f t="shared" si="8"/>
        <v>12</v>
      </c>
      <c r="E33" s="79">
        <v>10</v>
      </c>
      <c r="F33" s="80"/>
      <c r="G33" s="97">
        <f t="shared" si="9"/>
        <v>10</v>
      </c>
      <c r="H33" s="74">
        <f t="shared" si="2"/>
        <v>-2</v>
      </c>
      <c r="I33" s="75">
        <f t="shared" si="11"/>
        <v>0.8333333333333334</v>
      </c>
      <c r="J33" s="81">
        <v>10</v>
      </c>
      <c r="K33" s="80"/>
      <c r="L33" s="100">
        <f t="shared" si="10"/>
        <v>10</v>
      </c>
      <c r="M33" s="74">
        <f t="shared" si="4"/>
        <v>0</v>
      </c>
      <c r="N33" s="77">
        <f t="shared" si="12"/>
        <v>1</v>
      </c>
    </row>
    <row r="34" spans="1:14" ht="13.5" customHeight="1">
      <c r="A34" s="103" t="s">
        <v>196</v>
      </c>
      <c r="B34" s="79">
        <v>1313</v>
      </c>
      <c r="C34" s="80">
        <v>1</v>
      </c>
      <c r="D34" s="73">
        <f t="shared" si="8"/>
        <v>1314</v>
      </c>
      <c r="E34" s="79">
        <v>576</v>
      </c>
      <c r="F34" s="80"/>
      <c r="G34" s="97">
        <f t="shared" si="9"/>
        <v>576</v>
      </c>
      <c r="H34" s="74">
        <f t="shared" si="2"/>
        <v>-738</v>
      </c>
      <c r="I34" s="75">
        <f t="shared" si="11"/>
        <v>0.4383561643835616</v>
      </c>
      <c r="J34" s="81">
        <v>729</v>
      </c>
      <c r="K34" s="80">
        <v>1</v>
      </c>
      <c r="L34" s="100">
        <f t="shared" si="10"/>
        <v>730</v>
      </c>
      <c r="M34" s="74">
        <f t="shared" si="4"/>
        <v>154</v>
      </c>
      <c r="N34" s="77">
        <f t="shared" si="12"/>
        <v>1.2673611111111112</v>
      </c>
    </row>
    <row r="35" spans="1:14" ht="13.5" customHeight="1">
      <c r="A35" s="82" t="s">
        <v>197</v>
      </c>
      <c r="B35" s="79">
        <v>686</v>
      </c>
      <c r="C35" s="80">
        <v>13</v>
      </c>
      <c r="D35" s="73">
        <f t="shared" si="8"/>
        <v>699</v>
      </c>
      <c r="E35" s="79">
        <v>780</v>
      </c>
      <c r="F35" s="80">
        <v>16</v>
      </c>
      <c r="G35" s="97">
        <f t="shared" si="9"/>
        <v>796</v>
      </c>
      <c r="H35" s="74">
        <f t="shared" si="2"/>
        <v>97</v>
      </c>
      <c r="I35" s="75">
        <f t="shared" si="11"/>
        <v>1.1387696709585122</v>
      </c>
      <c r="J35" s="102">
        <v>775</v>
      </c>
      <c r="K35" s="80">
        <v>13</v>
      </c>
      <c r="L35" s="100">
        <f t="shared" si="10"/>
        <v>788</v>
      </c>
      <c r="M35" s="74">
        <f t="shared" si="4"/>
        <v>-8</v>
      </c>
      <c r="N35" s="77">
        <f t="shared" si="12"/>
        <v>0.9899497487437185</v>
      </c>
    </row>
    <row r="36" spans="1:14" ht="22.5" customHeight="1">
      <c r="A36" s="82" t="s">
        <v>198</v>
      </c>
      <c r="B36" s="79">
        <v>686</v>
      </c>
      <c r="C36" s="80">
        <v>13</v>
      </c>
      <c r="D36" s="73">
        <f t="shared" si="8"/>
        <v>699</v>
      </c>
      <c r="E36" s="79">
        <v>780</v>
      </c>
      <c r="F36" s="80">
        <v>16</v>
      </c>
      <c r="G36" s="97">
        <f t="shared" si="9"/>
        <v>796</v>
      </c>
      <c r="H36" s="74">
        <f t="shared" si="2"/>
        <v>97</v>
      </c>
      <c r="I36" s="75">
        <f t="shared" si="11"/>
        <v>1.1387696709585122</v>
      </c>
      <c r="J36" s="102">
        <v>775</v>
      </c>
      <c r="K36" s="80">
        <v>13</v>
      </c>
      <c r="L36" s="100">
        <f t="shared" si="10"/>
        <v>788</v>
      </c>
      <c r="M36" s="74">
        <f t="shared" si="4"/>
        <v>-8</v>
      </c>
      <c r="N36" s="77">
        <f t="shared" si="12"/>
        <v>0.9899497487437185</v>
      </c>
    </row>
    <row r="37" spans="1:14" ht="13.5" customHeight="1" thickBot="1">
      <c r="A37" s="105" t="s">
        <v>199</v>
      </c>
      <c r="B37" s="83">
        <v>2</v>
      </c>
      <c r="C37" s="84"/>
      <c r="D37" s="73">
        <f t="shared" si="8"/>
        <v>2</v>
      </c>
      <c r="E37" s="83"/>
      <c r="F37" s="84"/>
      <c r="G37" s="97">
        <f t="shared" si="9"/>
        <v>0</v>
      </c>
      <c r="H37" s="85">
        <f t="shared" si="2"/>
        <v>-2</v>
      </c>
      <c r="I37" s="86"/>
      <c r="J37" s="106"/>
      <c r="K37" s="84"/>
      <c r="L37" s="100">
        <f t="shared" si="10"/>
        <v>0</v>
      </c>
      <c r="M37" s="85">
        <f t="shared" si="4"/>
        <v>0</v>
      </c>
      <c r="N37" s="87"/>
    </row>
    <row r="38" spans="1:14" ht="13.5" customHeight="1" thickBot="1">
      <c r="A38" s="88" t="s">
        <v>200</v>
      </c>
      <c r="B38" s="89">
        <f aca="true" t="shared" si="13" ref="B38:G38">SUM(B20+B22+B23+B24+B25+B28+B33+B34+B35+B37)</f>
        <v>36637</v>
      </c>
      <c r="C38" s="90">
        <f t="shared" si="13"/>
        <v>635</v>
      </c>
      <c r="D38" s="91">
        <f t="shared" si="13"/>
        <v>37272</v>
      </c>
      <c r="E38" s="89">
        <f t="shared" si="13"/>
        <v>43370</v>
      </c>
      <c r="F38" s="90">
        <f t="shared" si="13"/>
        <v>663</v>
      </c>
      <c r="G38" s="91">
        <f t="shared" si="13"/>
        <v>44033</v>
      </c>
      <c r="H38" s="92">
        <f t="shared" si="2"/>
        <v>6761</v>
      </c>
      <c r="I38" s="93">
        <f t="shared" si="11"/>
        <v>1.1813962223653145</v>
      </c>
      <c r="J38" s="94">
        <f>SUM(J20+J22+J23+J24+J25+J28+J33+J34+J35+J37)</f>
        <v>40693</v>
      </c>
      <c r="K38" s="90">
        <f>SUM(K20+K22+K23+K24+K25+K28+K33+K34+K35+K37)</f>
        <v>660</v>
      </c>
      <c r="L38" s="91">
        <f>SUM(L20+L22+L23+L24+L25+L28+L33+L34+L35+L37)</f>
        <v>41353</v>
      </c>
      <c r="M38" s="92">
        <f t="shared" si="4"/>
        <v>-2680</v>
      </c>
      <c r="N38" s="95">
        <f t="shared" si="12"/>
        <v>0.939136556673404</v>
      </c>
    </row>
    <row r="39" spans="1:14" ht="13.5" customHeight="1" thickBot="1">
      <c r="A39" s="88" t="s">
        <v>201</v>
      </c>
      <c r="B39" s="787">
        <f>+D19-D38</f>
        <v>66</v>
      </c>
      <c r="C39" s="787"/>
      <c r="D39" s="787"/>
      <c r="E39" s="787">
        <f>+G19-G38</f>
        <v>206</v>
      </c>
      <c r="F39" s="787"/>
      <c r="G39" s="787">
        <v>-50784</v>
      </c>
      <c r="H39" s="107"/>
      <c r="I39" s="108"/>
      <c r="J39" s="789">
        <f>+L19-L38</f>
        <v>-2583</v>
      </c>
      <c r="K39" s="789"/>
      <c r="L39" s="789">
        <v>0</v>
      </c>
      <c r="M39" s="92"/>
      <c r="N39" s="95"/>
    </row>
    <row r="40" spans="1:16" ht="20.25" customHeight="1" thickBot="1">
      <c r="A40" s="109" t="s">
        <v>202</v>
      </c>
      <c r="B40" s="787"/>
      <c r="C40" s="787"/>
      <c r="D40" s="787"/>
      <c r="E40" s="787"/>
      <c r="F40" s="787"/>
      <c r="G40" s="787"/>
      <c r="H40"/>
      <c r="I40"/>
      <c r="J40"/>
      <c r="K40"/>
      <c r="L40"/>
      <c r="M40"/>
      <c r="N40"/>
      <c r="O40"/>
      <c r="P40"/>
    </row>
    <row r="41" spans="2:8" ht="14.25" customHeight="1" thickBot="1">
      <c r="B41" s="7"/>
      <c r="C41" s="7"/>
      <c r="D41" s="16"/>
      <c r="E41" s="7"/>
      <c r="F41" s="7"/>
      <c r="G41" s="7"/>
      <c r="H41" s="7"/>
    </row>
    <row r="42" spans="1:16" ht="13.5" thickBot="1">
      <c r="A42" s="805" t="s">
        <v>312</v>
      </c>
      <c r="B42" s="805"/>
      <c r="C42" s="799" t="s">
        <v>203</v>
      </c>
      <c r="D42" s="805" t="s">
        <v>420</v>
      </c>
      <c r="E42" s="805"/>
      <c r="F42" s="805"/>
      <c r="G42" s="799" t="s">
        <v>203</v>
      </c>
      <c r="H42" s="785" t="s">
        <v>421</v>
      </c>
      <c r="I42" s="785"/>
      <c r="J42" s="785"/>
      <c r="K42" s="785"/>
      <c r="L42" s="799" t="s">
        <v>203</v>
      </c>
      <c r="O42"/>
      <c r="P42"/>
    </row>
    <row r="43" spans="1:16" ht="13.5" thickBot="1">
      <c r="A43" s="805"/>
      <c r="B43" s="805"/>
      <c r="C43" s="799"/>
      <c r="D43" s="805"/>
      <c r="E43" s="805"/>
      <c r="F43" s="805"/>
      <c r="G43" s="799"/>
      <c r="H43" s="785"/>
      <c r="I43" s="785"/>
      <c r="J43" s="785"/>
      <c r="K43" s="785"/>
      <c r="L43" s="799"/>
      <c r="O43"/>
      <c r="P43"/>
    </row>
    <row r="44" spans="1:16" ht="12.75">
      <c r="A44" s="794" t="s">
        <v>377</v>
      </c>
      <c r="B44" s="794"/>
      <c r="C44" s="110">
        <v>646</v>
      </c>
      <c r="D44" s="795" t="s">
        <v>304</v>
      </c>
      <c r="E44" s="795"/>
      <c r="F44" s="795"/>
      <c r="G44" s="111">
        <v>675</v>
      </c>
      <c r="H44" s="802" t="s">
        <v>554</v>
      </c>
      <c r="I44" s="802"/>
      <c r="J44" s="802"/>
      <c r="K44" s="802"/>
      <c r="L44" s="112">
        <v>251</v>
      </c>
      <c r="O44"/>
      <c r="P44"/>
    </row>
    <row r="45" spans="1:16" ht="12.75">
      <c r="A45" s="797" t="s">
        <v>555</v>
      </c>
      <c r="B45" s="797"/>
      <c r="C45" s="113">
        <v>163</v>
      </c>
      <c r="D45" s="795" t="s">
        <v>378</v>
      </c>
      <c r="E45" s="795"/>
      <c r="F45" s="795"/>
      <c r="G45" s="114">
        <v>100</v>
      </c>
      <c r="H45" s="802" t="s">
        <v>556</v>
      </c>
      <c r="I45" s="802"/>
      <c r="J45" s="802"/>
      <c r="K45" s="802"/>
      <c r="L45" s="112">
        <v>98</v>
      </c>
      <c r="O45"/>
      <c r="P45"/>
    </row>
    <row r="46" spans="1:16" ht="12.75">
      <c r="A46" s="797" t="s">
        <v>379</v>
      </c>
      <c r="B46" s="797"/>
      <c r="C46" s="113">
        <v>60</v>
      </c>
      <c r="D46" s="795" t="s">
        <v>381</v>
      </c>
      <c r="E46" s="795"/>
      <c r="F46" s="795"/>
      <c r="G46" s="114">
        <v>100</v>
      </c>
      <c r="H46" s="802" t="s">
        <v>380</v>
      </c>
      <c r="I46" s="802"/>
      <c r="J46" s="802"/>
      <c r="K46" s="802"/>
      <c r="L46" s="112">
        <v>95</v>
      </c>
      <c r="O46"/>
      <c r="P46"/>
    </row>
    <row r="47" spans="1:16" ht="12.75">
      <c r="A47" s="797" t="s">
        <v>204</v>
      </c>
      <c r="B47" s="797"/>
      <c r="C47" s="115">
        <v>432</v>
      </c>
      <c r="D47" s="797" t="s">
        <v>557</v>
      </c>
      <c r="E47" s="797"/>
      <c r="F47" s="797"/>
      <c r="G47" s="116">
        <v>148</v>
      </c>
      <c r="H47" s="776" t="s">
        <v>558</v>
      </c>
      <c r="I47" s="776"/>
      <c r="J47" s="776"/>
      <c r="K47" s="776"/>
      <c r="L47" s="112">
        <v>99</v>
      </c>
      <c r="O47"/>
      <c r="P47"/>
    </row>
    <row r="48" spans="1:16" ht="12.75">
      <c r="A48" s="797"/>
      <c r="B48" s="797"/>
      <c r="C48" s="115"/>
      <c r="D48" s="797" t="s">
        <v>204</v>
      </c>
      <c r="E48" s="797"/>
      <c r="F48" s="797"/>
      <c r="G48" s="116">
        <v>213</v>
      </c>
      <c r="H48" s="776" t="s">
        <v>204</v>
      </c>
      <c r="I48" s="776"/>
      <c r="J48" s="776"/>
      <c r="K48" s="776"/>
      <c r="L48" s="112">
        <v>213</v>
      </c>
      <c r="O48"/>
      <c r="P48"/>
    </row>
    <row r="49" spans="1:16" ht="12.75">
      <c r="A49" s="797"/>
      <c r="B49" s="797"/>
      <c r="C49" s="115"/>
      <c r="D49" s="797"/>
      <c r="E49" s="797"/>
      <c r="F49" s="797"/>
      <c r="G49" s="116"/>
      <c r="H49" s="776"/>
      <c r="I49" s="776"/>
      <c r="J49" s="776"/>
      <c r="K49" s="776"/>
      <c r="L49" s="112"/>
      <c r="O49"/>
      <c r="P49"/>
    </row>
    <row r="50" spans="1:16" ht="13.5" thickBot="1">
      <c r="A50" s="800"/>
      <c r="B50" s="800"/>
      <c r="C50" s="115"/>
      <c r="D50" s="801"/>
      <c r="E50" s="801"/>
      <c r="F50" s="801"/>
      <c r="G50" s="116"/>
      <c r="H50" s="802"/>
      <c r="I50" s="802"/>
      <c r="J50" s="802"/>
      <c r="K50" s="802"/>
      <c r="L50" s="112"/>
      <c r="O50"/>
      <c r="P50"/>
    </row>
    <row r="51" spans="1:16" ht="13.5" thickBot="1">
      <c r="A51" s="811"/>
      <c r="B51" s="811"/>
      <c r="C51" s="117">
        <f>SUM(C44:C50)</f>
        <v>1301</v>
      </c>
      <c r="D51" s="812" t="s">
        <v>168</v>
      </c>
      <c r="E51" s="812"/>
      <c r="F51" s="812"/>
      <c r="G51" s="117">
        <f>SUM(G44:G50)</f>
        <v>1236</v>
      </c>
      <c r="H51" s="778" t="s">
        <v>168</v>
      </c>
      <c r="I51" s="778"/>
      <c r="J51" s="778"/>
      <c r="K51" s="778"/>
      <c r="L51" s="117">
        <f>SUM(L44:L50)</f>
        <v>756</v>
      </c>
      <c r="M51" s="17"/>
      <c r="N51" s="17"/>
      <c r="O51"/>
      <c r="P51"/>
    </row>
    <row r="52" spans="1:16" s="1" customFormat="1" ht="13.5" customHeight="1" thickBot="1">
      <c r="A52" s="18"/>
      <c r="B52" s="5"/>
      <c r="C52" s="5"/>
      <c r="D52" s="5"/>
      <c r="E52" s="5"/>
      <c r="F52" s="5"/>
      <c r="G52" s="5"/>
      <c r="H52" s="6"/>
      <c r="I52" s="3"/>
      <c r="J52" s="3"/>
      <c r="K52" s="3"/>
      <c r="L52" s="3"/>
      <c r="M52" s="3"/>
      <c r="N52" s="3"/>
      <c r="O52" s="3"/>
      <c r="P52" s="3"/>
    </row>
    <row r="53" spans="1:16" ht="13.5" thickBot="1">
      <c r="A53" s="866" t="s">
        <v>429</v>
      </c>
      <c r="B53" s="867"/>
      <c r="C53" s="869" t="s">
        <v>203</v>
      </c>
      <c r="D53" s="806" t="s">
        <v>430</v>
      </c>
      <c r="E53" s="806"/>
      <c r="F53" s="806"/>
      <c r="G53" s="798" t="s">
        <v>203</v>
      </c>
      <c r="H53" s="785" t="s">
        <v>431</v>
      </c>
      <c r="I53" s="785"/>
      <c r="J53" s="785"/>
      <c r="K53" s="785"/>
      <c r="L53" s="799" t="s">
        <v>203</v>
      </c>
      <c r="O53"/>
      <c r="P53"/>
    </row>
    <row r="54" spans="1:16" ht="13.5" thickBot="1">
      <c r="A54" s="868"/>
      <c r="B54" s="805"/>
      <c r="C54" s="870"/>
      <c r="D54" s="806"/>
      <c r="E54" s="806"/>
      <c r="F54" s="806"/>
      <c r="G54" s="798"/>
      <c r="H54" s="785"/>
      <c r="I54" s="785"/>
      <c r="J54" s="785"/>
      <c r="K54" s="785"/>
      <c r="L54" s="799"/>
      <c r="O54"/>
      <c r="P54"/>
    </row>
    <row r="55" spans="1:16" ht="12.75">
      <c r="A55" s="871" t="s">
        <v>263</v>
      </c>
      <c r="B55" s="803"/>
      <c r="C55" s="201">
        <v>147</v>
      </c>
      <c r="D55" s="804" t="s">
        <v>263</v>
      </c>
      <c r="E55" s="804"/>
      <c r="F55" s="804"/>
      <c r="G55" s="118">
        <v>110</v>
      </c>
      <c r="H55" s="802" t="s">
        <v>263</v>
      </c>
      <c r="I55" s="802"/>
      <c r="J55" s="802"/>
      <c r="K55" s="802"/>
      <c r="L55" s="112">
        <v>25</v>
      </c>
      <c r="O55"/>
      <c r="P55"/>
    </row>
    <row r="56" spans="1:16" ht="13.5" customHeight="1">
      <c r="A56" s="872" t="s">
        <v>262</v>
      </c>
      <c r="B56" s="781"/>
      <c r="C56" s="202">
        <v>243</v>
      </c>
      <c r="D56" s="782" t="s">
        <v>262</v>
      </c>
      <c r="E56" s="782"/>
      <c r="F56" s="782"/>
      <c r="G56" s="119">
        <v>594</v>
      </c>
      <c r="H56" s="776" t="s">
        <v>262</v>
      </c>
      <c r="I56" s="776"/>
      <c r="J56" s="776"/>
      <c r="K56" s="776"/>
      <c r="L56" s="120">
        <v>128</v>
      </c>
      <c r="O56"/>
      <c r="P56"/>
    </row>
    <row r="57" spans="1:16" ht="13.5" customHeight="1">
      <c r="A57" s="872" t="s">
        <v>382</v>
      </c>
      <c r="B57" s="781"/>
      <c r="C57" s="202">
        <v>166</v>
      </c>
      <c r="D57" s="782" t="s">
        <v>382</v>
      </c>
      <c r="E57" s="782"/>
      <c r="F57" s="782"/>
      <c r="G57" s="119">
        <v>463</v>
      </c>
      <c r="H57" s="776" t="s">
        <v>382</v>
      </c>
      <c r="I57" s="776"/>
      <c r="J57" s="776"/>
      <c r="K57" s="776"/>
      <c r="L57" s="120">
        <v>50</v>
      </c>
      <c r="O57"/>
      <c r="P57"/>
    </row>
    <row r="58" spans="1:16" ht="13.5" customHeight="1">
      <c r="A58" s="872" t="s">
        <v>264</v>
      </c>
      <c r="B58" s="781"/>
      <c r="C58" s="202">
        <v>34</v>
      </c>
      <c r="D58" s="782" t="s">
        <v>264</v>
      </c>
      <c r="E58" s="782"/>
      <c r="F58" s="782"/>
      <c r="G58" s="119">
        <v>68</v>
      </c>
      <c r="H58" s="776" t="s">
        <v>264</v>
      </c>
      <c r="I58" s="776"/>
      <c r="J58" s="776"/>
      <c r="K58" s="776"/>
      <c r="L58" s="120">
        <v>50</v>
      </c>
      <c r="O58"/>
      <c r="P58"/>
    </row>
    <row r="59" spans="1:16" ht="13.5" customHeight="1">
      <c r="A59" s="872" t="s">
        <v>261</v>
      </c>
      <c r="B59" s="781"/>
      <c r="C59" s="203">
        <v>99</v>
      </c>
      <c r="D59" s="782" t="s">
        <v>559</v>
      </c>
      <c r="E59" s="782"/>
      <c r="F59" s="782"/>
      <c r="G59" s="121">
        <v>101</v>
      </c>
      <c r="H59" s="776" t="s">
        <v>560</v>
      </c>
      <c r="I59" s="776"/>
      <c r="J59" s="776"/>
      <c r="K59" s="776"/>
      <c r="L59" s="122">
        <v>65</v>
      </c>
      <c r="O59"/>
      <c r="P59"/>
    </row>
    <row r="60" spans="1:16" ht="13.5" customHeight="1">
      <c r="A60" s="872" t="s">
        <v>384</v>
      </c>
      <c r="B60" s="781"/>
      <c r="C60" s="203">
        <v>80</v>
      </c>
      <c r="D60" s="782" t="s">
        <v>383</v>
      </c>
      <c r="E60" s="782"/>
      <c r="F60" s="782"/>
      <c r="G60" s="121">
        <v>79</v>
      </c>
      <c r="H60" s="776" t="s">
        <v>561</v>
      </c>
      <c r="I60" s="776"/>
      <c r="J60" s="776"/>
      <c r="K60" s="776"/>
      <c r="L60" s="122">
        <v>198</v>
      </c>
      <c r="O60"/>
      <c r="P60"/>
    </row>
    <row r="61" spans="1:16" ht="13.5" customHeight="1">
      <c r="A61" s="872" t="s">
        <v>385</v>
      </c>
      <c r="B61" s="873"/>
      <c r="C61" s="202">
        <v>61</v>
      </c>
      <c r="D61" s="782" t="s">
        <v>562</v>
      </c>
      <c r="E61" s="782"/>
      <c r="F61" s="782"/>
      <c r="G61" s="119">
        <v>70</v>
      </c>
      <c r="H61" s="776" t="s">
        <v>563</v>
      </c>
      <c r="I61" s="776"/>
      <c r="J61" s="776"/>
      <c r="K61" s="776"/>
      <c r="L61" s="120">
        <v>58</v>
      </c>
      <c r="O61"/>
      <c r="P61"/>
    </row>
    <row r="62" spans="1:16" ht="13.5" thickBot="1">
      <c r="A62" s="874"/>
      <c r="B62" s="780"/>
      <c r="C62" s="204"/>
      <c r="D62" s="783"/>
      <c r="E62" s="783"/>
      <c r="F62" s="783"/>
      <c r="G62" s="123"/>
      <c r="H62" s="777" t="s">
        <v>564</v>
      </c>
      <c r="I62" s="777"/>
      <c r="J62" s="777"/>
      <c r="K62" s="777"/>
      <c r="L62" s="124">
        <v>36</v>
      </c>
      <c r="O62"/>
      <c r="P62"/>
    </row>
    <row r="63" spans="1:16" ht="13.5" thickBot="1">
      <c r="A63" s="877" t="s">
        <v>168</v>
      </c>
      <c r="B63" s="878"/>
      <c r="C63" s="205">
        <f>SUM(C55:C62)</f>
        <v>830</v>
      </c>
      <c r="D63" s="784" t="s">
        <v>168</v>
      </c>
      <c r="E63" s="784"/>
      <c r="F63" s="784"/>
      <c r="G63" s="125">
        <f>SUM(G55:G62)</f>
        <v>1485</v>
      </c>
      <c r="H63" s="778" t="s">
        <v>168</v>
      </c>
      <c r="I63" s="778"/>
      <c r="J63" s="778"/>
      <c r="K63" s="778"/>
      <c r="L63" s="117">
        <f>SUM(L55:L62)</f>
        <v>610</v>
      </c>
      <c r="M63" s="17"/>
      <c r="N63" s="17"/>
      <c r="O63"/>
      <c r="P63"/>
    </row>
    <row r="64" spans="1:14" s="1" customFormat="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1" customFormat="1" ht="13.5" thickBo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s="3" customFormat="1" ht="26.25" customHeight="1" thickBot="1">
      <c r="A66" s="833" t="s">
        <v>106</v>
      </c>
      <c r="B66" s="834"/>
      <c r="C66" s="834"/>
      <c r="D66" s="834"/>
      <c r="E66" s="835"/>
      <c r="F66" s="836" t="s">
        <v>107</v>
      </c>
      <c r="G66" s="914"/>
      <c r="H66" s="914"/>
      <c r="I66" s="914"/>
      <c r="J66" s="914"/>
      <c r="K66" s="914"/>
      <c r="L66" s="915"/>
      <c r="M66" s="19"/>
      <c r="N66" s="19"/>
    </row>
    <row r="67" spans="1:14" s="3" customFormat="1" ht="14.25" customHeight="1" thickBot="1">
      <c r="A67" s="417" t="s">
        <v>231</v>
      </c>
      <c r="B67" s="418" t="s">
        <v>96</v>
      </c>
      <c r="C67" s="908" t="s">
        <v>232</v>
      </c>
      <c r="D67" s="908"/>
      <c r="E67" s="419" t="s">
        <v>97</v>
      </c>
      <c r="F67" s="911" t="s">
        <v>231</v>
      </c>
      <c r="G67" s="912"/>
      <c r="H67" s="418" t="s">
        <v>96</v>
      </c>
      <c r="I67" s="908" t="s">
        <v>232</v>
      </c>
      <c r="J67" s="908"/>
      <c r="K67" s="908"/>
      <c r="L67" s="420" t="s">
        <v>97</v>
      </c>
      <c r="M67" s="19"/>
      <c r="N67" s="19"/>
    </row>
    <row r="68" spans="1:14" s="3" customFormat="1" ht="12.75">
      <c r="A68" s="401" t="s">
        <v>98</v>
      </c>
      <c r="B68" s="402">
        <v>16</v>
      </c>
      <c r="C68" s="842" t="s">
        <v>99</v>
      </c>
      <c r="D68" s="842"/>
      <c r="E68" s="403"/>
      <c r="F68" s="843" t="s">
        <v>98</v>
      </c>
      <c r="G68" s="909"/>
      <c r="H68" s="402">
        <v>81</v>
      </c>
      <c r="I68" s="842" t="s">
        <v>99</v>
      </c>
      <c r="J68" s="909"/>
      <c r="K68" s="909"/>
      <c r="L68" s="403"/>
      <c r="M68" s="19"/>
      <c r="N68" s="19"/>
    </row>
    <row r="69" spans="1:14" s="3" customFormat="1" ht="12.75">
      <c r="A69" s="404" t="s">
        <v>100</v>
      </c>
      <c r="B69" s="405">
        <v>46</v>
      </c>
      <c r="C69" s="845" t="s">
        <v>101</v>
      </c>
      <c r="D69" s="845"/>
      <c r="E69" s="406">
        <v>8</v>
      </c>
      <c r="F69" s="846" t="s">
        <v>102</v>
      </c>
      <c r="G69" s="901"/>
      <c r="H69" s="405">
        <v>149</v>
      </c>
      <c r="I69" s="845" t="s">
        <v>101</v>
      </c>
      <c r="J69" s="901"/>
      <c r="K69" s="901"/>
      <c r="L69" s="406">
        <v>96</v>
      </c>
      <c r="M69" s="19"/>
      <c r="N69" s="19"/>
    </row>
    <row r="70" spans="1:14" s="3" customFormat="1" ht="12.75">
      <c r="A70" s="404" t="s">
        <v>103</v>
      </c>
      <c r="B70" s="405">
        <v>27</v>
      </c>
      <c r="C70" s="845"/>
      <c r="D70" s="845"/>
      <c r="E70" s="406"/>
      <c r="F70" s="845" t="s">
        <v>104</v>
      </c>
      <c r="G70" s="845"/>
      <c r="H70" s="405"/>
      <c r="I70" s="845"/>
      <c r="J70" s="901"/>
      <c r="K70" s="901"/>
      <c r="L70" s="406"/>
      <c r="M70" s="19"/>
      <c r="N70" s="19"/>
    </row>
    <row r="71" spans="1:14" s="3" customFormat="1" ht="13.5" thickBot="1">
      <c r="A71" s="407"/>
      <c r="B71" s="408"/>
      <c r="C71" s="848"/>
      <c r="D71" s="848"/>
      <c r="E71" s="409"/>
      <c r="F71" s="849"/>
      <c r="G71" s="910"/>
      <c r="H71" s="408"/>
      <c r="I71" s="848"/>
      <c r="J71" s="910"/>
      <c r="K71" s="910"/>
      <c r="L71" s="409"/>
      <c r="M71" s="19"/>
      <c r="N71" s="19"/>
    </row>
    <row r="72" spans="1:14" s="3" customFormat="1" ht="13.5" thickBot="1">
      <c r="A72" s="410" t="s">
        <v>168</v>
      </c>
      <c r="B72" s="411">
        <f>SUM(B68:B71)</f>
        <v>89</v>
      </c>
      <c r="C72" s="851" t="s">
        <v>168</v>
      </c>
      <c r="D72" s="851"/>
      <c r="E72" s="413">
        <f>SUM(E68:E71)</f>
        <v>8</v>
      </c>
      <c r="F72" s="852" t="s">
        <v>168</v>
      </c>
      <c r="G72" s="913"/>
      <c r="H72" s="412">
        <f>SUM(H68:H71)</f>
        <v>230</v>
      </c>
      <c r="I72" s="851" t="s">
        <v>168</v>
      </c>
      <c r="J72" s="913"/>
      <c r="K72" s="913"/>
      <c r="L72" s="413">
        <f>SUM(L68:L71)</f>
        <v>96</v>
      </c>
      <c r="M72" s="19"/>
      <c r="N72" s="19"/>
    </row>
    <row r="73" spans="1:14" s="3" customFormat="1" ht="13.5" thickBot="1">
      <c r="A73" s="421" t="s">
        <v>105</v>
      </c>
      <c r="B73" s="413">
        <f>B72-E72</f>
        <v>81</v>
      </c>
      <c r="C73" s="19"/>
      <c r="D73" s="19"/>
      <c r="E73" s="19"/>
      <c r="F73" s="916" t="s">
        <v>105</v>
      </c>
      <c r="G73" s="917"/>
      <c r="H73" s="422">
        <f>H72-L72</f>
        <v>134</v>
      </c>
      <c r="I73" s="19"/>
      <c r="J73" s="19"/>
      <c r="K73" s="19"/>
      <c r="L73" s="19"/>
      <c r="M73" s="19"/>
      <c r="N73" s="19"/>
    </row>
    <row r="74" spans="1:14" s="1" customFormat="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2" s="1" customFormat="1" ht="13.5" thickBot="1">
      <c r="A75" s="20"/>
      <c r="B75" s="21"/>
      <c r="C75" s="21"/>
      <c r="D75" s="21"/>
      <c r="E75" s="2"/>
      <c r="F75" s="4"/>
      <c r="G75" s="4"/>
      <c r="H75" s="20"/>
      <c r="I75" s="21"/>
      <c r="J75" s="21" t="s">
        <v>307</v>
      </c>
      <c r="K75" s="21"/>
      <c r="L75" s="2"/>
    </row>
    <row r="76" spans="1:15" s="1" customFormat="1" ht="12.75">
      <c r="A76" s="879" t="s">
        <v>227</v>
      </c>
      <c r="B76" s="882" t="s">
        <v>435</v>
      </c>
      <c r="C76" s="885" t="s">
        <v>436</v>
      </c>
      <c r="D76" s="886"/>
      <c r="E76" s="886"/>
      <c r="F76" s="886"/>
      <c r="G76" s="886"/>
      <c r="H76" s="886"/>
      <c r="I76" s="887"/>
      <c r="J76" s="888" t="s">
        <v>437</v>
      </c>
      <c r="K76" s="7"/>
      <c r="L76" s="864" t="s">
        <v>205</v>
      </c>
      <c r="M76" s="865"/>
      <c r="N76" s="59">
        <v>2006</v>
      </c>
      <c r="O76" s="60">
        <v>2007</v>
      </c>
    </row>
    <row r="77" spans="1:15" s="1" customFormat="1" ht="12.75">
      <c r="A77" s="880"/>
      <c r="B77" s="883"/>
      <c r="C77" s="891" t="s">
        <v>228</v>
      </c>
      <c r="D77" s="893" t="s">
        <v>229</v>
      </c>
      <c r="E77" s="894"/>
      <c r="F77" s="894"/>
      <c r="G77" s="894"/>
      <c r="H77" s="894"/>
      <c r="I77" s="895"/>
      <c r="J77" s="889"/>
      <c r="K77" s="7"/>
      <c r="L77" s="63" t="s">
        <v>273</v>
      </c>
      <c r="M77" s="62"/>
      <c r="N77" s="58"/>
      <c r="O77" s="61"/>
    </row>
    <row r="78" spans="1:15" s="1" customFormat="1" ht="13.5" thickBot="1">
      <c r="A78" s="881"/>
      <c r="B78" s="884"/>
      <c r="C78" s="892"/>
      <c r="D78" s="25">
        <v>1</v>
      </c>
      <c r="E78" s="25">
        <v>2</v>
      </c>
      <c r="F78" s="25">
        <v>3</v>
      </c>
      <c r="G78" s="25">
        <v>4</v>
      </c>
      <c r="H78" s="25">
        <v>5</v>
      </c>
      <c r="I78" s="56">
        <v>6</v>
      </c>
      <c r="J78" s="890"/>
      <c r="K78" s="7"/>
      <c r="L78" s="62" t="s">
        <v>206</v>
      </c>
      <c r="M78" s="63"/>
      <c r="N78" s="22">
        <v>0</v>
      </c>
      <c r="O78" s="23">
        <v>0</v>
      </c>
    </row>
    <row r="79" spans="1:15" s="1" customFormat="1" ht="13.5" thickBot="1">
      <c r="A79" s="26">
        <v>29924</v>
      </c>
      <c r="B79" s="27">
        <v>10832</v>
      </c>
      <c r="C79" s="54">
        <v>788</v>
      </c>
      <c r="D79" s="55">
        <v>149</v>
      </c>
      <c r="E79" s="55">
        <v>220</v>
      </c>
      <c r="F79" s="55">
        <v>196</v>
      </c>
      <c r="G79" s="55"/>
      <c r="H79" s="54">
        <v>223</v>
      </c>
      <c r="I79" s="57"/>
      <c r="J79" s="28">
        <f>SUM(A79-B79-C79)</f>
        <v>18304</v>
      </c>
      <c r="K79" s="7"/>
      <c r="L79" s="64" t="s">
        <v>207</v>
      </c>
      <c r="M79" s="65"/>
      <c r="N79" s="52">
        <v>0</v>
      </c>
      <c r="O79" s="53">
        <v>0</v>
      </c>
    </row>
    <row r="80" spans="1:12" s="1" customFormat="1" ht="12.75">
      <c r="A80" s="20"/>
      <c r="B80" s="21"/>
      <c r="C80" s="21"/>
      <c r="D80" s="21"/>
      <c r="E80" s="2"/>
      <c r="F80" s="200"/>
      <c r="G80" s="4"/>
      <c r="H80" s="20"/>
      <c r="I80" s="21"/>
      <c r="J80" s="21"/>
      <c r="K80" s="21"/>
      <c r="L80" s="2"/>
    </row>
    <row r="81" spans="1:12" s="1" customFormat="1" ht="13.5" thickBot="1">
      <c r="A81" s="20"/>
      <c r="B81" s="21"/>
      <c r="C81" s="21"/>
      <c r="D81" s="21"/>
      <c r="E81" s="2"/>
      <c r="F81" s="200"/>
      <c r="G81" s="4"/>
      <c r="H81" s="20"/>
      <c r="I81" s="21"/>
      <c r="J81" s="21"/>
      <c r="K81" s="21"/>
      <c r="L81" s="21" t="s">
        <v>307</v>
      </c>
    </row>
    <row r="82" spans="1:12" s="1" customFormat="1" ht="12.75">
      <c r="A82" s="855" t="s">
        <v>255</v>
      </c>
      <c r="B82" s="857" t="s">
        <v>438</v>
      </c>
      <c r="C82" s="859" t="s">
        <v>439</v>
      </c>
      <c r="D82" s="860"/>
      <c r="E82" s="860"/>
      <c r="F82" s="861"/>
      <c r="G82" s="862" t="s">
        <v>440</v>
      </c>
      <c r="H82" s="896" t="s">
        <v>230</v>
      </c>
      <c r="I82" s="898" t="s">
        <v>441</v>
      </c>
      <c r="J82" s="899"/>
      <c r="K82" s="899"/>
      <c r="L82" s="900"/>
    </row>
    <row r="83" spans="1:12" s="1" customFormat="1" ht="18.75" thickBot="1">
      <c r="A83" s="856"/>
      <c r="B83" s="858"/>
      <c r="C83" s="29" t="s">
        <v>321</v>
      </c>
      <c r="D83" s="30" t="s">
        <v>231</v>
      </c>
      <c r="E83" s="30" t="s">
        <v>232</v>
      </c>
      <c r="F83" s="31" t="s">
        <v>322</v>
      </c>
      <c r="G83" s="863"/>
      <c r="H83" s="897"/>
      <c r="I83" s="174" t="s">
        <v>442</v>
      </c>
      <c r="J83" s="175" t="s">
        <v>231</v>
      </c>
      <c r="K83" s="175" t="s">
        <v>232</v>
      </c>
      <c r="L83" s="176" t="s">
        <v>443</v>
      </c>
    </row>
    <row r="84" spans="1:12" s="1" customFormat="1" ht="12.75">
      <c r="A84" s="32" t="s">
        <v>233</v>
      </c>
      <c r="B84" s="33">
        <v>3174</v>
      </c>
      <c r="C84" s="34" t="s">
        <v>234</v>
      </c>
      <c r="D84" s="35" t="s">
        <v>234</v>
      </c>
      <c r="E84" s="35" t="s">
        <v>234</v>
      </c>
      <c r="F84" s="36"/>
      <c r="G84" s="37">
        <v>3292</v>
      </c>
      <c r="H84" s="171" t="s">
        <v>234</v>
      </c>
      <c r="I84" s="177" t="s">
        <v>234</v>
      </c>
      <c r="J84" s="178" t="s">
        <v>234</v>
      </c>
      <c r="K84" s="178" t="s">
        <v>234</v>
      </c>
      <c r="L84" s="179" t="s">
        <v>234</v>
      </c>
    </row>
    <row r="85" spans="1:12" s="1" customFormat="1" ht="12.75">
      <c r="A85" s="38" t="s">
        <v>235</v>
      </c>
      <c r="B85" s="39">
        <v>13</v>
      </c>
      <c r="C85" s="40">
        <v>13</v>
      </c>
      <c r="D85" s="41">
        <v>20</v>
      </c>
      <c r="E85" s="41">
        <v>25</v>
      </c>
      <c r="F85" s="42">
        <f>C85+D85-E85</f>
        <v>8</v>
      </c>
      <c r="G85" s="43">
        <v>8</v>
      </c>
      <c r="H85" s="172">
        <f>+G85-F85</f>
        <v>0</v>
      </c>
      <c r="I85" s="40">
        <v>8</v>
      </c>
      <c r="J85" s="41">
        <v>57</v>
      </c>
      <c r="K85" s="41"/>
      <c r="L85" s="42">
        <f>I85+J85-K85</f>
        <v>65</v>
      </c>
    </row>
    <row r="86" spans="1:12" s="1" customFormat="1" ht="12.75">
      <c r="A86" s="38" t="s">
        <v>236</v>
      </c>
      <c r="B86" s="39">
        <v>16</v>
      </c>
      <c r="C86" s="40">
        <v>16</v>
      </c>
      <c r="D86" s="41">
        <v>73</v>
      </c>
      <c r="E86" s="41">
        <v>8</v>
      </c>
      <c r="F86" s="42">
        <f>C86+D86-E86</f>
        <v>81</v>
      </c>
      <c r="G86" s="43">
        <v>81</v>
      </c>
      <c r="H86" s="172">
        <f>+G86-F86</f>
        <v>0</v>
      </c>
      <c r="I86" s="40">
        <v>81</v>
      </c>
      <c r="J86" s="41">
        <v>149</v>
      </c>
      <c r="K86" s="41">
        <v>96</v>
      </c>
      <c r="L86" s="42">
        <f>I86+J86-K86</f>
        <v>134</v>
      </c>
    </row>
    <row r="87" spans="1:12" s="1" customFormat="1" ht="12.75">
      <c r="A87" s="38" t="s">
        <v>256</v>
      </c>
      <c r="B87" s="39">
        <v>709</v>
      </c>
      <c r="C87" s="40">
        <v>709</v>
      </c>
      <c r="D87" s="41">
        <v>798</v>
      </c>
      <c r="E87" s="41">
        <v>1237</v>
      </c>
      <c r="F87" s="42">
        <f>C87+D87-E87</f>
        <v>270</v>
      </c>
      <c r="G87" s="43">
        <v>270</v>
      </c>
      <c r="H87" s="172">
        <f>+G87-F87</f>
        <v>0</v>
      </c>
      <c r="I87" s="180">
        <v>270</v>
      </c>
      <c r="J87" s="170">
        <v>788</v>
      </c>
      <c r="K87" s="170">
        <v>756</v>
      </c>
      <c r="L87" s="42">
        <f>I87+J87-K87</f>
        <v>302</v>
      </c>
    </row>
    <row r="88" spans="1:12" s="1" customFormat="1" ht="12.75">
      <c r="A88" s="38" t="s">
        <v>237</v>
      </c>
      <c r="B88" s="39">
        <v>2436</v>
      </c>
      <c r="C88" s="50" t="s">
        <v>234</v>
      </c>
      <c r="D88" s="35" t="s">
        <v>234</v>
      </c>
      <c r="E88" s="51" t="s">
        <v>234</v>
      </c>
      <c r="F88" s="42"/>
      <c r="G88" s="43">
        <v>2933</v>
      </c>
      <c r="H88" s="50" t="s">
        <v>234</v>
      </c>
      <c r="I88" s="34"/>
      <c r="J88" s="35"/>
      <c r="K88" s="35"/>
      <c r="L88" s="181">
        <v>0</v>
      </c>
    </row>
    <row r="89" spans="1:12" s="1" customFormat="1" ht="13.5" thickBot="1">
      <c r="A89" s="44" t="s">
        <v>238</v>
      </c>
      <c r="B89" s="45">
        <v>156</v>
      </c>
      <c r="C89" s="46">
        <v>152</v>
      </c>
      <c r="D89" s="47">
        <v>364</v>
      </c>
      <c r="E89" s="47">
        <v>384</v>
      </c>
      <c r="F89" s="48">
        <f>C89+D89-E89</f>
        <v>132</v>
      </c>
      <c r="G89" s="49">
        <v>53</v>
      </c>
      <c r="H89" s="173">
        <f>+G89-F89</f>
        <v>-79</v>
      </c>
      <c r="I89" s="46">
        <v>132</v>
      </c>
      <c r="J89" s="47">
        <v>378</v>
      </c>
      <c r="K89" s="47">
        <v>378</v>
      </c>
      <c r="L89" s="48">
        <f>I89+J89-K89</f>
        <v>132</v>
      </c>
    </row>
    <row r="90" spans="1:12" s="1" customFormat="1" ht="12.75">
      <c r="A90" s="20"/>
      <c r="B90" s="21"/>
      <c r="C90" s="21"/>
      <c r="D90" s="21"/>
      <c r="E90" s="2"/>
      <c r="F90" s="200"/>
      <c r="G90" s="4"/>
      <c r="H90" s="20"/>
      <c r="I90" s="21"/>
      <c r="J90" s="21"/>
      <c r="K90" s="21"/>
      <c r="L90" s="2"/>
    </row>
    <row r="91" spans="1:12" s="1" customFormat="1" ht="12.75">
      <c r="A91" s="20"/>
      <c r="B91" s="21"/>
      <c r="C91" s="21"/>
      <c r="D91" s="21"/>
      <c r="E91" s="2"/>
      <c r="F91" s="200"/>
      <c r="G91" s="4"/>
      <c r="H91" s="20"/>
      <c r="I91" s="21"/>
      <c r="J91" s="21"/>
      <c r="K91" s="21"/>
      <c r="L91" s="2"/>
    </row>
    <row r="92" spans="1:12" s="1" customFormat="1" ht="12.75">
      <c r="A92" s="20"/>
      <c r="B92" s="21"/>
      <c r="C92" s="21"/>
      <c r="D92" s="21"/>
      <c r="E92" s="2"/>
      <c r="F92" s="200"/>
      <c r="G92" s="4"/>
      <c r="H92" s="20"/>
      <c r="I92" s="21"/>
      <c r="J92" s="21"/>
      <c r="K92" s="21"/>
      <c r="L92" s="2"/>
    </row>
    <row r="93" spans="1:12" s="1" customFormat="1" ht="12.75">
      <c r="A93" s="20"/>
      <c r="B93" s="21"/>
      <c r="C93" s="21"/>
      <c r="D93" s="21"/>
      <c r="E93" s="2"/>
      <c r="F93" s="200"/>
      <c r="G93" s="4"/>
      <c r="H93" s="20"/>
      <c r="I93" s="21"/>
      <c r="J93" s="21"/>
      <c r="K93" s="21"/>
      <c r="L93" s="2"/>
    </row>
    <row r="94" spans="1:12" s="1" customFormat="1" ht="12.75">
      <c r="A94" s="20"/>
      <c r="B94" s="21"/>
      <c r="C94" s="21"/>
      <c r="D94" s="21"/>
      <c r="E94" s="2"/>
      <c r="F94" s="200"/>
      <c r="G94" s="4"/>
      <c r="H94" s="20"/>
      <c r="I94" s="21"/>
      <c r="J94" s="21"/>
      <c r="K94" s="21"/>
      <c r="L94" s="2"/>
    </row>
    <row r="95" spans="1:12" s="1" customFormat="1" ht="12.75">
      <c r="A95" s="20"/>
      <c r="B95" s="21"/>
      <c r="C95" s="21"/>
      <c r="D95" s="21"/>
      <c r="E95" s="2"/>
      <c r="F95" s="4"/>
      <c r="G95" s="4"/>
      <c r="H95" s="20"/>
      <c r="I95" s="21"/>
      <c r="J95" s="21"/>
      <c r="K95" s="21"/>
      <c r="L95" s="2"/>
    </row>
    <row r="96" spans="1:12" s="1" customFormat="1" ht="12.75">
      <c r="A96" s="20"/>
      <c r="B96" s="21"/>
      <c r="C96" s="21"/>
      <c r="D96" s="21"/>
      <c r="E96" s="2"/>
      <c r="F96" s="4"/>
      <c r="G96" s="4"/>
      <c r="H96" s="20"/>
      <c r="I96" s="21"/>
      <c r="J96" s="21"/>
      <c r="K96" s="21"/>
      <c r="L96" s="2"/>
    </row>
    <row r="97" spans="8:12" ht="13.5" thickBot="1">
      <c r="H97" s="21" t="s">
        <v>307</v>
      </c>
      <c r="L97" s="21" t="s">
        <v>307</v>
      </c>
    </row>
    <row r="98" spans="1:12" ht="13.5" thickBot="1">
      <c r="A98" s="823" t="s">
        <v>444</v>
      </c>
      <c r="B98" s="824" t="s">
        <v>168</v>
      </c>
      <c r="C98" s="810" t="s">
        <v>239</v>
      </c>
      <c r="D98" s="810"/>
      <c r="E98" s="810"/>
      <c r="F98" s="810"/>
      <c r="G98" s="810"/>
      <c r="H98" s="810"/>
      <c r="I98" s="24"/>
      <c r="J98" s="825" t="s">
        <v>208</v>
      </c>
      <c r="K98" s="825"/>
      <c r="L98" s="825"/>
    </row>
    <row r="99" spans="1:12" ht="13.5" thickBot="1">
      <c r="A99" s="823"/>
      <c r="B99" s="824"/>
      <c r="C99" s="126" t="s">
        <v>240</v>
      </c>
      <c r="D99" s="127" t="s">
        <v>241</v>
      </c>
      <c r="E99" s="127" t="s">
        <v>242</v>
      </c>
      <c r="F99" s="127" t="s">
        <v>243</v>
      </c>
      <c r="G99" s="128" t="s">
        <v>244</v>
      </c>
      <c r="H99" s="129" t="s">
        <v>228</v>
      </c>
      <c r="I99" s="24"/>
      <c r="J99" s="130"/>
      <c r="K99" s="131" t="s">
        <v>209</v>
      </c>
      <c r="L99" s="132" t="s">
        <v>210</v>
      </c>
    </row>
    <row r="100" spans="1:12" ht="12.75">
      <c r="A100" s="133" t="s">
        <v>245</v>
      </c>
      <c r="B100" s="134">
        <v>1513</v>
      </c>
      <c r="C100" s="135"/>
      <c r="D100" s="135"/>
      <c r="E100" s="135"/>
      <c r="F100" s="135"/>
      <c r="G100" s="134"/>
      <c r="H100" s="136">
        <f>SUM(C100:G100)</f>
        <v>0</v>
      </c>
      <c r="I100" s="24"/>
      <c r="J100" s="137">
        <v>2007</v>
      </c>
      <c r="K100" s="138">
        <v>18170</v>
      </c>
      <c r="L100" s="139">
        <f>+G30</f>
        <v>18195</v>
      </c>
    </row>
    <row r="101" spans="1:12" ht="13.5" thickBot="1">
      <c r="A101" s="140" t="s">
        <v>246</v>
      </c>
      <c r="B101" s="141">
        <v>3500</v>
      </c>
      <c r="C101" s="142"/>
      <c r="D101" s="142"/>
      <c r="E101" s="142"/>
      <c r="F101" s="142"/>
      <c r="G101" s="141"/>
      <c r="H101" s="143">
        <f>SUM(C101:G101)</f>
        <v>0</v>
      </c>
      <c r="I101" s="24"/>
      <c r="J101" s="144">
        <v>2008</v>
      </c>
      <c r="K101" s="145">
        <f>L30</f>
        <v>18923</v>
      </c>
      <c r="L101" s="146"/>
    </row>
    <row r="102" ht="12.75" customHeight="1"/>
    <row r="103" ht="13.5" thickBot="1">
      <c r="J103" s="208" t="s">
        <v>323</v>
      </c>
    </row>
    <row r="104" spans="1:10" ht="21" customHeight="1" thickBot="1">
      <c r="A104" s="823" t="s">
        <v>211</v>
      </c>
      <c r="B104" s="826" t="s">
        <v>212</v>
      </c>
      <c r="C104" s="826"/>
      <c r="D104" s="826"/>
      <c r="E104" s="827" t="s">
        <v>274</v>
      </c>
      <c r="F104" s="827"/>
      <c r="G104" s="827"/>
      <c r="H104" s="828" t="s">
        <v>213</v>
      </c>
      <c r="I104" s="828"/>
      <c r="J104" s="828"/>
    </row>
    <row r="105" spans="1:10" ht="12.75">
      <c r="A105" s="823"/>
      <c r="B105" s="147">
        <v>2006</v>
      </c>
      <c r="C105" s="147">
        <v>2007</v>
      </c>
      <c r="D105" s="147" t="s">
        <v>214</v>
      </c>
      <c r="E105" s="147">
        <v>2006</v>
      </c>
      <c r="F105" s="147">
        <v>2007</v>
      </c>
      <c r="G105" s="148" t="s">
        <v>214</v>
      </c>
      <c r="H105" s="149">
        <v>2006</v>
      </c>
      <c r="I105" s="147">
        <v>2007</v>
      </c>
      <c r="J105" s="148" t="s">
        <v>214</v>
      </c>
    </row>
    <row r="106" spans="1:10" ht="18.75">
      <c r="A106" s="150" t="s">
        <v>215</v>
      </c>
      <c r="B106" s="151">
        <v>5</v>
      </c>
      <c r="C106" s="151">
        <v>5</v>
      </c>
      <c r="D106" s="151">
        <f aca="true" t="shared" si="14" ref="D106:D116">+C106-B106</f>
        <v>0</v>
      </c>
      <c r="E106" s="151">
        <v>5</v>
      </c>
      <c r="F106" s="151">
        <v>5</v>
      </c>
      <c r="G106" s="152">
        <f aca="true" t="shared" si="15" ref="G106:G116">+F106-E106</f>
        <v>0</v>
      </c>
      <c r="H106" s="153">
        <v>20619</v>
      </c>
      <c r="I106" s="154">
        <v>22774</v>
      </c>
      <c r="J106" s="155">
        <f aca="true" t="shared" si="16" ref="J106:J116">+I106-H106</f>
        <v>2155</v>
      </c>
    </row>
    <row r="107" spans="1:10" ht="12.75">
      <c r="A107" s="150" t="s">
        <v>248</v>
      </c>
      <c r="B107" s="151">
        <v>28.36</v>
      </c>
      <c r="C107" s="151">
        <v>27.53</v>
      </c>
      <c r="D107" s="151">
        <f t="shared" si="14"/>
        <v>-0.8299999999999983</v>
      </c>
      <c r="E107" s="151">
        <v>28</v>
      </c>
      <c r="F107" s="151">
        <v>26</v>
      </c>
      <c r="G107" s="152">
        <f t="shared" si="15"/>
        <v>-2</v>
      </c>
      <c r="H107" s="153">
        <v>17819</v>
      </c>
      <c r="I107" s="156">
        <v>19988</v>
      </c>
      <c r="J107" s="155">
        <f t="shared" si="16"/>
        <v>2169</v>
      </c>
    </row>
    <row r="108" spans="1:10" ht="12.75">
      <c r="A108" s="150" t="s">
        <v>216</v>
      </c>
      <c r="B108" s="151">
        <v>3</v>
      </c>
      <c r="C108" s="151">
        <v>3</v>
      </c>
      <c r="D108" s="151">
        <f t="shared" si="14"/>
        <v>0</v>
      </c>
      <c r="E108" s="151">
        <v>3</v>
      </c>
      <c r="F108" s="151">
        <v>3</v>
      </c>
      <c r="G108" s="152">
        <f t="shared" si="15"/>
        <v>0</v>
      </c>
      <c r="H108" s="153">
        <v>18800</v>
      </c>
      <c r="I108" s="156">
        <v>20650</v>
      </c>
      <c r="J108" s="155">
        <f t="shared" si="16"/>
        <v>1850</v>
      </c>
    </row>
    <row r="109" spans="1:10" ht="12.75">
      <c r="A109" s="150" t="s">
        <v>217</v>
      </c>
      <c r="B109" s="151">
        <v>7.28</v>
      </c>
      <c r="C109" s="151">
        <v>7.59</v>
      </c>
      <c r="D109" s="151">
        <f t="shared" si="14"/>
        <v>0.3099999999999996</v>
      </c>
      <c r="E109" s="151">
        <v>8</v>
      </c>
      <c r="F109" s="151">
        <v>8</v>
      </c>
      <c r="G109" s="152">
        <f t="shared" si="15"/>
        <v>0</v>
      </c>
      <c r="H109" s="153">
        <v>13933</v>
      </c>
      <c r="I109" s="156">
        <v>15165</v>
      </c>
      <c r="J109" s="155">
        <f t="shared" si="16"/>
        <v>1232</v>
      </c>
    </row>
    <row r="110" spans="1:10" ht="12.75">
      <c r="A110" s="150" t="s">
        <v>547</v>
      </c>
      <c r="B110" s="151">
        <v>0.5</v>
      </c>
      <c r="C110" s="151">
        <v>0.5</v>
      </c>
      <c r="D110" s="151">
        <f t="shared" si="14"/>
        <v>0</v>
      </c>
      <c r="E110" s="151">
        <v>0.5</v>
      </c>
      <c r="F110" s="151">
        <v>0.5</v>
      </c>
      <c r="G110" s="152">
        <f t="shared" si="15"/>
        <v>0</v>
      </c>
      <c r="H110" s="153">
        <v>27651</v>
      </c>
      <c r="I110" s="156">
        <v>29282</v>
      </c>
      <c r="J110" s="155">
        <f t="shared" si="16"/>
        <v>1631</v>
      </c>
    </row>
    <row r="111" spans="1:10" ht="12.75">
      <c r="A111" s="150" t="s">
        <v>297</v>
      </c>
      <c r="B111" s="151">
        <v>0.75</v>
      </c>
      <c r="C111" s="151">
        <v>1</v>
      </c>
      <c r="D111" s="151">
        <f t="shared" si="14"/>
        <v>0.25</v>
      </c>
      <c r="E111" s="151">
        <v>1</v>
      </c>
      <c r="F111" s="151">
        <v>1</v>
      </c>
      <c r="G111" s="152">
        <f t="shared" si="15"/>
        <v>0</v>
      </c>
      <c r="H111" s="153">
        <v>19411</v>
      </c>
      <c r="I111" s="156">
        <v>19300</v>
      </c>
      <c r="J111" s="155">
        <f t="shared" si="16"/>
        <v>-111</v>
      </c>
    </row>
    <row r="112" spans="1:10" ht="12.75">
      <c r="A112" s="150" t="s">
        <v>325</v>
      </c>
      <c r="B112" s="151">
        <v>11.75</v>
      </c>
      <c r="C112" s="151">
        <v>12.3</v>
      </c>
      <c r="D112" s="151">
        <f t="shared" si="14"/>
        <v>0.5500000000000007</v>
      </c>
      <c r="E112" s="151">
        <v>11.75</v>
      </c>
      <c r="F112" s="151">
        <v>13</v>
      </c>
      <c r="G112" s="152">
        <f t="shared" si="15"/>
        <v>1.25</v>
      </c>
      <c r="H112" s="153">
        <v>11289</v>
      </c>
      <c r="I112" s="156">
        <v>11599</v>
      </c>
      <c r="J112" s="155">
        <f t="shared" si="16"/>
        <v>310</v>
      </c>
    </row>
    <row r="113" spans="1:10" ht="12.75">
      <c r="A113" s="150" t="s">
        <v>219</v>
      </c>
      <c r="B113" s="151">
        <v>16.91</v>
      </c>
      <c r="C113" s="151">
        <v>17.97</v>
      </c>
      <c r="D113" s="151">
        <f t="shared" si="14"/>
        <v>1.0599999999999987</v>
      </c>
      <c r="E113" s="151">
        <v>18</v>
      </c>
      <c r="F113" s="151">
        <v>19</v>
      </c>
      <c r="G113" s="152">
        <f t="shared" si="15"/>
        <v>1</v>
      </c>
      <c r="H113" s="153">
        <v>13610</v>
      </c>
      <c r="I113" s="156">
        <v>15143</v>
      </c>
      <c r="J113" s="155">
        <f t="shared" si="16"/>
        <v>1533</v>
      </c>
    </row>
    <row r="114" spans="1:10" ht="12.75">
      <c r="A114" s="150" t="s">
        <v>220</v>
      </c>
      <c r="B114" s="151">
        <v>3</v>
      </c>
      <c r="C114" s="151">
        <v>3</v>
      </c>
      <c r="D114" s="151">
        <f t="shared" si="14"/>
        <v>0</v>
      </c>
      <c r="E114" s="151">
        <v>3</v>
      </c>
      <c r="F114" s="151">
        <v>3</v>
      </c>
      <c r="G114" s="152">
        <f t="shared" si="15"/>
        <v>0</v>
      </c>
      <c r="H114" s="153">
        <v>17008</v>
      </c>
      <c r="I114" s="156">
        <v>20446</v>
      </c>
      <c r="J114" s="155">
        <f t="shared" si="16"/>
        <v>3438</v>
      </c>
    </row>
    <row r="115" spans="1:10" ht="12.75">
      <c r="A115" s="150" t="s">
        <v>221</v>
      </c>
      <c r="B115" s="151">
        <v>15.58</v>
      </c>
      <c r="C115" s="151">
        <v>15.24</v>
      </c>
      <c r="D115" s="151">
        <f t="shared" si="14"/>
        <v>-0.33999999999999986</v>
      </c>
      <c r="E115" s="151">
        <v>15</v>
      </c>
      <c r="F115" s="151">
        <v>15</v>
      </c>
      <c r="G115" s="152">
        <f t="shared" si="15"/>
        <v>0</v>
      </c>
      <c r="H115" s="153">
        <v>10664</v>
      </c>
      <c r="I115" s="156">
        <v>10835</v>
      </c>
      <c r="J115" s="155">
        <f t="shared" si="16"/>
        <v>171</v>
      </c>
    </row>
    <row r="116" spans="1:10" ht="13.5" thickBot="1">
      <c r="A116" s="157" t="s">
        <v>168</v>
      </c>
      <c r="B116" s="158">
        <v>92.13</v>
      </c>
      <c r="C116" s="158">
        <v>93.13</v>
      </c>
      <c r="D116" s="158">
        <f t="shared" si="14"/>
        <v>1</v>
      </c>
      <c r="E116" s="158">
        <v>93.25</v>
      </c>
      <c r="F116" s="158">
        <v>93.5</v>
      </c>
      <c r="G116" s="159">
        <f t="shared" si="15"/>
        <v>0.25</v>
      </c>
      <c r="H116" s="160">
        <v>14923</v>
      </c>
      <c r="I116" s="161">
        <v>16281</v>
      </c>
      <c r="J116" s="162">
        <f t="shared" si="16"/>
        <v>1358</v>
      </c>
    </row>
    <row r="117" ht="13.5" thickBot="1"/>
    <row r="118" spans="1:16" ht="12.75">
      <c r="A118" s="829" t="s">
        <v>222</v>
      </c>
      <c r="B118" s="829"/>
      <c r="C118" s="829"/>
      <c r="D118" s="24"/>
      <c r="E118" s="829" t="s">
        <v>223</v>
      </c>
      <c r="F118" s="829"/>
      <c r="G118" s="829"/>
      <c r="H118"/>
      <c r="I118"/>
      <c r="J118"/>
      <c r="K118"/>
      <c r="L118"/>
      <c r="M118"/>
      <c r="N118"/>
      <c r="O118"/>
      <c r="P118"/>
    </row>
    <row r="119" spans="1:16" ht="13.5" thickBot="1">
      <c r="A119" s="130" t="s">
        <v>224</v>
      </c>
      <c r="B119" s="131" t="s">
        <v>225</v>
      </c>
      <c r="C119" s="132" t="s">
        <v>210</v>
      </c>
      <c r="D119" s="24"/>
      <c r="E119" s="130"/>
      <c r="F119" s="832" t="s">
        <v>226</v>
      </c>
      <c r="G119" s="832"/>
      <c r="H119"/>
      <c r="I119"/>
      <c r="J119"/>
      <c r="K119"/>
      <c r="L119"/>
      <c r="M119"/>
      <c r="N119"/>
      <c r="O119"/>
      <c r="P119"/>
    </row>
    <row r="120" spans="1:16" ht="12.75">
      <c r="A120" s="137">
        <v>2007</v>
      </c>
      <c r="B120" s="138">
        <v>93</v>
      </c>
      <c r="C120" s="139">
        <v>93.5</v>
      </c>
      <c r="D120" s="24"/>
      <c r="E120" s="137">
        <v>2007</v>
      </c>
      <c r="F120" s="830">
        <v>203</v>
      </c>
      <c r="G120" s="830"/>
      <c r="H120"/>
      <c r="I120"/>
      <c r="J120"/>
      <c r="K120"/>
      <c r="L120"/>
      <c r="M120"/>
      <c r="N120"/>
      <c r="O120"/>
      <c r="P120"/>
    </row>
    <row r="121" spans="1:16" ht="13.5" thickBot="1">
      <c r="A121" s="144">
        <v>2008</v>
      </c>
      <c r="B121" s="145">
        <v>95</v>
      </c>
      <c r="C121" s="146"/>
      <c r="D121" s="24"/>
      <c r="E121" s="144">
        <v>2008</v>
      </c>
      <c r="F121" s="831">
        <v>203</v>
      </c>
      <c r="G121" s="831"/>
      <c r="H121"/>
      <c r="I121"/>
      <c r="J121"/>
      <c r="K121"/>
      <c r="L121"/>
      <c r="M121"/>
      <c r="N121"/>
      <c r="O121"/>
      <c r="P121"/>
    </row>
  </sheetData>
  <mergeCells count="123">
    <mergeCell ref="C72:D72"/>
    <mergeCell ref="F72:G72"/>
    <mergeCell ref="I72:K72"/>
    <mergeCell ref="F73:G73"/>
    <mergeCell ref="C70:D70"/>
    <mergeCell ref="F70:G70"/>
    <mergeCell ref="I70:K70"/>
    <mergeCell ref="C71:D71"/>
    <mergeCell ref="F71:G71"/>
    <mergeCell ref="I71:K71"/>
    <mergeCell ref="F68:G68"/>
    <mergeCell ref="I68:K68"/>
    <mergeCell ref="C69:D69"/>
    <mergeCell ref="F69:G69"/>
    <mergeCell ref="I69:K69"/>
    <mergeCell ref="F121:G121"/>
    <mergeCell ref="A118:C118"/>
    <mergeCell ref="E118:G118"/>
    <mergeCell ref="F119:G119"/>
    <mergeCell ref="F120:G120"/>
    <mergeCell ref="J98:L98"/>
    <mergeCell ref="A104:A105"/>
    <mergeCell ref="B104:D104"/>
    <mergeCell ref="E104:G104"/>
    <mergeCell ref="H104:J104"/>
    <mergeCell ref="L42:L43"/>
    <mergeCell ref="A51:B51"/>
    <mergeCell ref="D51:F51"/>
    <mergeCell ref="H51:K51"/>
    <mergeCell ref="C42:C43"/>
    <mergeCell ref="D42:F43"/>
    <mergeCell ref="G42:G43"/>
    <mergeCell ref="H42:K43"/>
    <mergeCell ref="A48:B48"/>
    <mergeCell ref="D48:F48"/>
    <mergeCell ref="A1:N1"/>
    <mergeCell ref="J39:L39"/>
    <mergeCell ref="B40:D40"/>
    <mergeCell ref="E40:G40"/>
    <mergeCell ref="B4:D4"/>
    <mergeCell ref="E4:G4"/>
    <mergeCell ref="J4:L4"/>
    <mergeCell ref="A3:A6"/>
    <mergeCell ref="B3:N3"/>
    <mergeCell ref="H4:I4"/>
    <mergeCell ref="A63:B63"/>
    <mergeCell ref="D63:F63"/>
    <mergeCell ref="H63:K63"/>
    <mergeCell ref="D59:F59"/>
    <mergeCell ref="H59:K59"/>
    <mergeCell ref="A60:B60"/>
    <mergeCell ref="D60:F60"/>
    <mergeCell ref="H60:K60"/>
    <mergeCell ref="A61:B61"/>
    <mergeCell ref="D61:F61"/>
    <mergeCell ref="H61:K61"/>
    <mergeCell ref="A57:B57"/>
    <mergeCell ref="D57:F57"/>
    <mergeCell ref="H57:K57"/>
    <mergeCell ref="A58:B58"/>
    <mergeCell ref="D58:F58"/>
    <mergeCell ref="H58:K58"/>
    <mergeCell ref="A59:B59"/>
    <mergeCell ref="D55:F55"/>
    <mergeCell ref="H55:K55"/>
    <mergeCell ref="A56:B56"/>
    <mergeCell ref="D56:F56"/>
    <mergeCell ref="H56:K56"/>
    <mergeCell ref="H53:K54"/>
    <mergeCell ref="L53:L54"/>
    <mergeCell ref="A50:B50"/>
    <mergeCell ref="D50:F50"/>
    <mergeCell ref="H50:K50"/>
    <mergeCell ref="A53:B54"/>
    <mergeCell ref="C53:C54"/>
    <mergeCell ref="D53:F54"/>
    <mergeCell ref="G53:G54"/>
    <mergeCell ref="H48:K48"/>
    <mergeCell ref="A49:B49"/>
    <mergeCell ref="D49:F49"/>
    <mergeCell ref="H49:K49"/>
    <mergeCell ref="H46:K46"/>
    <mergeCell ref="A47:B47"/>
    <mergeCell ref="D47:F47"/>
    <mergeCell ref="H47:K47"/>
    <mergeCell ref="H44:K44"/>
    <mergeCell ref="A45:B45"/>
    <mergeCell ref="D45:F45"/>
    <mergeCell ref="H45:K45"/>
    <mergeCell ref="A42:B43"/>
    <mergeCell ref="B39:D39"/>
    <mergeCell ref="E39:G39"/>
    <mergeCell ref="A76:A78"/>
    <mergeCell ref="B76:B78"/>
    <mergeCell ref="A44:B44"/>
    <mergeCell ref="D44:F44"/>
    <mergeCell ref="A46:B46"/>
    <mergeCell ref="D46:F46"/>
    <mergeCell ref="A55:B55"/>
    <mergeCell ref="C82:F82"/>
    <mergeCell ref="G82:G83"/>
    <mergeCell ref="C76:I76"/>
    <mergeCell ref="J76:J78"/>
    <mergeCell ref="L76:M76"/>
    <mergeCell ref="C77:C78"/>
    <mergeCell ref="D77:I77"/>
    <mergeCell ref="H62:K62"/>
    <mergeCell ref="A66:E66"/>
    <mergeCell ref="F66:L66"/>
    <mergeCell ref="C67:D67"/>
    <mergeCell ref="F67:G67"/>
    <mergeCell ref="I67:K67"/>
    <mergeCell ref="C68:D68"/>
    <mergeCell ref="M4:N4"/>
    <mergeCell ref="A98:A99"/>
    <mergeCell ref="B98:B99"/>
    <mergeCell ref="C98:H98"/>
    <mergeCell ref="H82:H83"/>
    <mergeCell ref="I82:L82"/>
    <mergeCell ref="A82:A83"/>
    <mergeCell ref="B82:B83"/>
    <mergeCell ref="A62:B62"/>
    <mergeCell ref="D62:F62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5" r:id="rId1"/>
  <headerFooter alignWithMargins="0">
    <oddFooter>&amp;C&amp;P</oddFooter>
  </headerFooter>
  <rowBreaks count="1" manualBreakCount="1">
    <brk id="74" max="1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SheetLayoutView="100" workbookViewId="0" topLeftCell="A1">
      <selection activeCell="L26" sqref="L26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875"/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307</v>
      </c>
    </row>
    <row r="3" spans="1:14" ht="24" customHeight="1" thickBot="1">
      <c r="A3" s="876" t="s">
        <v>165</v>
      </c>
      <c r="B3" s="792" t="s">
        <v>467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4" ht="14.25" thickBot="1" thickTop="1">
      <c r="A4" s="876"/>
      <c r="B4" s="790" t="s">
        <v>308</v>
      </c>
      <c r="C4" s="790"/>
      <c r="D4" s="790"/>
      <c r="E4" s="790" t="s">
        <v>417</v>
      </c>
      <c r="F4" s="790"/>
      <c r="G4" s="790"/>
      <c r="H4" s="793" t="s">
        <v>309</v>
      </c>
      <c r="I4" s="793"/>
      <c r="J4" s="790" t="s">
        <v>418</v>
      </c>
      <c r="K4" s="790"/>
      <c r="L4" s="790"/>
      <c r="M4" s="790" t="s">
        <v>419</v>
      </c>
      <c r="N4" s="790"/>
    </row>
    <row r="5" spans="1:14" ht="14.25" thickBot="1" thickTop="1">
      <c r="A5" s="876"/>
      <c r="B5" s="66" t="s">
        <v>166</v>
      </c>
      <c r="C5" s="67" t="s">
        <v>167</v>
      </c>
      <c r="D5" s="68" t="s">
        <v>168</v>
      </c>
      <c r="E5" s="66" t="s">
        <v>166</v>
      </c>
      <c r="F5" s="67" t="s">
        <v>167</v>
      </c>
      <c r="G5" s="68" t="s">
        <v>168</v>
      </c>
      <c r="H5" s="69" t="s">
        <v>168</v>
      </c>
      <c r="I5" s="69" t="s">
        <v>169</v>
      </c>
      <c r="J5" s="70" t="s">
        <v>166</v>
      </c>
      <c r="K5" s="67" t="s">
        <v>167</v>
      </c>
      <c r="L5" s="68" t="s">
        <v>168</v>
      </c>
      <c r="M5" s="69" t="s">
        <v>168</v>
      </c>
      <c r="N5" s="68" t="s">
        <v>169</v>
      </c>
    </row>
    <row r="6" spans="1:14" ht="14.25" thickBot="1" thickTop="1">
      <c r="A6" s="791"/>
      <c r="B6" s="183" t="s">
        <v>170</v>
      </c>
      <c r="C6" s="184" t="s">
        <v>170</v>
      </c>
      <c r="D6" s="185"/>
      <c r="E6" s="183" t="s">
        <v>170</v>
      </c>
      <c r="F6" s="184" t="s">
        <v>170</v>
      </c>
      <c r="G6" s="185"/>
      <c r="H6" s="189" t="s">
        <v>171</v>
      </c>
      <c r="I6" s="189" t="s">
        <v>172</v>
      </c>
      <c r="J6" s="197" t="s">
        <v>170</v>
      </c>
      <c r="K6" s="184" t="s">
        <v>170</v>
      </c>
      <c r="L6" s="185"/>
      <c r="M6" s="189" t="s">
        <v>171</v>
      </c>
      <c r="N6" s="185" t="s">
        <v>172</v>
      </c>
    </row>
    <row r="7" spans="1:14" ht="13.5" customHeight="1">
      <c r="A7" s="274" t="s">
        <v>173</v>
      </c>
      <c r="B7" s="163">
        <v>0</v>
      </c>
      <c r="C7" s="164">
        <v>0</v>
      </c>
      <c r="D7" s="167">
        <f aca="true" t="shared" si="0" ref="D7:D18">SUM(B7:C7)</f>
        <v>0</v>
      </c>
      <c r="E7" s="163">
        <v>0</v>
      </c>
      <c r="F7" s="164">
        <v>0</v>
      </c>
      <c r="G7" s="167">
        <f aca="true" t="shared" si="1" ref="G7:G18">SUM(E7:F7)</f>
        <v>0</v>
      </c>
      <c r="H7" s="191">
        <f aca="true" t="shared" si="2" ref="H7:H38">+G7-D7</f>
        <v>0</v>
      </c>
      <c r="I7" s="195"/>
      <c r="J7" s="163">
        <v>0</v>
      </c>
      <c r="K7" s="164">
        <v>0</v>
      </c>
      <c r="L7" s="167">
        <f aca="true" t="shared" si="3" ref="L7:L18">SUM(J7:K7)</f>
        <v>0</v>
      </c>
      <c r="M7" s="191">
        <f aca="true" t="shared" si="4" ref="M7:M38">+L7-G7</f>
        <v>0</v>
      </c>
      <c r="N7" s="192"/>
    </row>
    <row r="8" spans="1:14" ht="13.5" customHeight="1">
      <c r="A8" s="275" t="s">
        <v>174</v>
      </c>
      <c r="B8" s="14">
        <v>5107</v>
      </c>
      <c r="C8" s="13">
        <v>0</v>
      </c>
      <c r="D8" s="168">
        <f t="shared" si="0"/>
        <v>5107</v>
      </c>
      <c r="E8" s="14">
        <v>9107</v>
      </c>
      <c r="F8" s="13">
        <v>0</v>
      </c>
      <c r="G8" s="168">
        <f t="shared" si="1"/>
        <v>9107</v>
      </c>
      <c r="H8" s="193">
        <f t="shared" si="2"/>
        <v>4000</v>
      </c>
      <c r="I8" s="196">
        <f aca="true" t="shared" si="5" ref="I8:I22">+G8/D8</f>
        <v>1.7832386919913843</v>
      </c>
      <c r="J8" s="14">
        <v>9796</v>
      </c>
      <c r="K8" s="13">
        <v>0</v>
      </c>
      <c r="L8" s="168">
        <f t="shared" si="3"/>
        <v>9796</v>
      </c>
      <c r="M8" s="193">
        <f t="shared" si="4"/>
        <v>689</v>
      </c>
      <c r="N8" s="194">
        <f aca="true" t="shared" si="6" ref="N8:N22">+L8/G8</f>
        <v>1.0756560887229603</v>
      </c>
    </row>
    <row r="9" spans="1:14" ht="13.5" customHeight="1">
      <c r="A9" s="275" t="s">
        <v>468</v>
      </c>
      <c r="B9" s="14">
        <v>0</v>
      </c>
      <c r="C9" s="13">
        <v>0</v>
      </c>
      <c r="D9" s="168">
        <f t="shared" si="0"/>
        <v>0</v>
      </c>
      <c r="E9" s="14">
        <v>6</v>
      </c>
      <c r="F9" s="13">
        <v>0</v>
      </c>
      <c r="G9" s="168">
        <f t="shared" si="1"/>
        <v>6</v>
      </c>
      <c r="H9" s="193">
        <f t="shared" si="2"/>
        <v>6</v>
      </c>
      <c r="I9" s="196"/>
      <c r="J9" s="14">
        <v>0</v>
      </c>
      <c r="K9" s="13">
        <v>0</v>
      </c>
      <c r="L9" s="168">
        <f t="shared" si="3"/>
        <v>0</v>
      </c>
      <c r="M9" s="193">
        <f t="shared" si="4"/>
        <v>-6</v>
      </c>
      <c r="N9" s="194"/>
    </row>
    <row r="10" spans="1:14" ht="13.5" customHeight="1">
      <c r="A10" s="275" t="s">
        <v>176</v>
      </c>
      <c r="B10" s="14">
        <v>0</v>
      </c>
      <c r="C10" s="13">
        <v>0</v>
      </c>
      <c r="D10" s="168">
        <f t="shared" si="0"/>
        <v>0</v>
      </c>
      <c r="E10" s="14">
        <v>0</v>
      </c>
      <c r="F10" s="13">
        <v>0</v>
      </c>
      <c r="G10" s="168">
        <f t="shared" si="1"/>
        <v>0</v>
      </c>
      <c r="H10" s="193">
        <f t="shared" si="2"/>
        <v>0</v>
      </c>
      <c r="I10" s="196"/>
      <c r="J10" s="14">
        <v>0</v>
      </c>
      <c r="K10" s="13">
        <v>0</v>
      </c>
      <c r="L10" s="168">
        <f t="shared" si="3"/>
        <v>0</v>
      </c>
      <c r="M10" s="193">
        <f t="shared" si="4"/>
        <v>0</v>
      </c>
      <c r="N10" s="194"/>
    </row>
    <row r="11" spans="1:14" ht="13.5" customHeight="1">
      <c r="A11" s="275" t="s">
        <v>177</v>
      </c>
      <c r="B11" s="14">
        <v>188</v>
      </c>
      <c r="C11" s="13">
        <v>0</v>
      </c>
      <c r="D11" s="168">
        <f t="shared" si="0"/>
        <v>188</v>
      </c>
      <c r="E11" s="14">
        <v>79</v>
      </c>
      <c r="F11" s="13">
        <v>0</v>
      </c>
      <c r="G11" s="168">
        <f t="shared" si="1"/>
        <v>79</v>
      </c>
      <c r="H11" s="193">
        <f t="shared" si="2"/>
        <v>-109</v>
      </c>
      <c r="I11" s="196">
        <f t="shared" si="5"/>
        <v>0.42021276595744683</v>
      </c>
      <c r="J11" s="14">
        <v>55</v>
      </c>
      <c r="K11" s="13">
        <v>0</v>
      </c>
      <c r="L11" s="168">
        <f t="shared" si="3"/>
        <v>55</v>
      </c>
      <c r="M11" s="193">
        <f t="shared" si="4"/>
        <v>-24</v>
      </c>
      <c r="N11" s="194">
        <f t="shared" si="6"/>
        <v>0.6962025316455697</v>
      </c>
    </row>
    <row r="12" spans="1:14" ht="13.5" customHeight="1">
      <c r="A12" s="276" t="s">
        <v>178</v>
      </c>
      <c r="B12" s="14">
        <v>67</v>
      </c>
      <c r="C12" s="13">
        <v>0</v>
      </c>
      <c r="D12" s="168">
        <f t="shared" si="0"/>
        <v>67</v>
      </c>
      <c r="E12" s="14">
        <v>54</v>
      </c>
      <c r="F12" s="13">
        <v>0</v>
      </c>
      <c r="G12" s="168">
        <f t="shared" si="1"/>
        <v>54</v>
      </c>
      <c r="H12" s="193">
        <f t="shared" si="2"/>
        <v>-13</v>
      </c>
      <c r="I12" s="196">
        <f t="shared" si="5"/>
        <v>0.8059701492537313</v>
      </c>
      <c r="J12" s="14">
        <v>50</v>
      </c>
      <c r="K12" s="13">
        <v>0</v>
      </c>
      <c r="L12" s="168">
        <f t="shared" si="3"/>
        <v>50</v>
      </c>
      <c r="M12" s="193">
        <f t="shared" si="4"/>
        <v>-4</v>
      </c>
      <c r="N12" s="194">
        <f t="shared" si="6"/>
        <v>0.9259259259259259</v>
      </c>
    </row>
    <row r="13" spans="1:14" ht="13.5" customHeight="1">
      <c r="A13" s="276" t="s">
        <v>179</v>
      </c>
      <c r="B13" s="14">
        <v>0</v>
      </c>
      <c r="C13" s="13">
        <v>0</v>
      </c>
      <c r="D13" s="168">
        <f t="shared" si="0"/>
        <v>0</v>
      </c>
      <c r="E13" s="14">
        <v>0</v>
      </c>
      <c r="F13" s="13">
        <v>0</v>
      </c>
      <c r="G13" s="168">
        <f t="shared" si="1"/>
        <v>0</v>
      </c>
      <c r="H13" s="193">
        <f t="shared" si="2"/>
        <v>0</v>
      </c>
      <c r="I13" s="196"/>
      <c r="J13" s="14">
        <v>0</v>
      </c>
      <c r="K13" s="13">
        <v>0</v>
      </c>
      <c r="L13" s="168">
        <f t="shared" si="3"/>
        <v>0</v>
      </c>
      <c r="M13" s="193">
        <f t="shared" si="4"/>
        <v>0</v>
      </c>
      <c r="N13" s="194"/>
    </row>
    <row r="14" spans="1:14" ht="23.25" customHeight="1">
      <c r="A14" s="276" t="s">
        <v>180</v>
      </c>
      <c r="B14" s="14">
        <v>0</v>
      </c>
      <c r="C14" s="13">
        <v>0</v>
      </c>
      <c r="D14" s="168">
        <f t="shared" si="0"/>
        <v>0</v>
      </c>
      <c r="E14" s="14">
        <v>0</v>
      </c>
      <c r="F14" s="13">
        <v>0</v>
      </c>
      <c r="G14" s="168">
        <f t="shared" si="1"/>
        <v>0</v>
      </c>
      <c r="H14" s="193">
        <f t="shared" si="2"/>
        <v>0</v>
      </c>
      <c r="I14" s="196"/>
      <c r="J14" s="14">
        <v>0</v>
      </c>
      <c r="K14" s="13">
        <v>0</v>
      </c>
      <c r="L14" s="168">
        <f t="shared" si="3"/>
        <v>0</v>
      </c>
      <c r="M14" s="193">
        <f t="shared" si="4"/>
        <v>0</v>
      </c>
      <c r="N14" s="194"/>
    </row>
    <row r="15" spans="1:14" ht="13.5" customHeight="1">
      <c r="A15" s="275" t="s">
        <v>181</v>
      </c>
      <c r="B15" s="14">
        <v>7318</v>
      </c>
      <c r="C15" s="13">
        <v>0</v>
      </c>
      <c r="D15" s="168">
        <f t="shared" si="0"/>
        <v>7318</v>
      </c>
      <c r="E15" s="14">
        <v>7908</v>
      </c>
      <c r="F15" s="13">
        <v>0</v>
      </c>
      <c r="G15" s="168">
        <f t="shared" si="1"/>
        <v>7908</v>
      </c>
      <c r="H15" s="193">
        <f t="shared" si="2"/>
        <v>590</v>
      </c>
      <c r="I15" s="196">
        <f t="shared" si="5"/>
        <v>1.080623121071331</v>
      </c>
      <c r="J15" s="15">
        <v>5599</v>
      </c>
      <c r="K15" s="279">
        <v>0</v>
      </c>
      <c r="L15" s="168">
        <f t="shared" si="3"/>
        <v>5599</v>
      </c>
      <c r="M15" s="193">
        <f t="shared" si="4"/>
        <v>-2309</v>
      </c>
      <c r="N15" s="194">
        <f t="shared" si="6"/>
        <v>0.7080171977744056</v>
      </c>
    </row>
    <row r="16" spans="1:14" ht="13.5" customHeight="1">
      <c r="A16" s="277" t="s">
        <v>310</v>
      </c>
      <c r="B16" s="14">
        <v>7318</v>
      </c>
      <c r="C16" s="13">
        <v>0</v>
      </c>
      <c r="D16" s="168">
        <f t="shared" si="0"/>
        <v>7318</v>
      </c>
      <c r="E16" s="14">
        <v>2462</v>
      </c>
      <c r="F16" s="13">
        <v>0</v>
      </c>
      <c r="G16" s="168">
        <f t="shared" si="1"/>
        <v>2462</v>
      </c>
      <c r="H16" s="193">
        <f t="shared" si="2"/>
        <v>-4856</v>
      </c>
      <c r="I16" s="196">
        <f t="shared" si="5"/>
        <v>0.33643071877562175</v>
      </c>
      <c r="J16" s="15">
        <v>320</v>
      </c>
      <c r="K16" s="13">
        <v>0</v>
      </c>
      <c r="L16" s="168">
        <f t="shared" si="3"/>
        <v>320</v>
      </c>
      <c r="M16" s="193">
        <f t="shared" si="4"/>
        <v>-2142</v>
      </c>
      <c r="N16" s="194">
        <f t="shared" si="6"/>
        <v>0.12997562956945571</v>
      </c>
    </row>
    <row r="17" spans="1:14" ht="13.5" customHeight="1">
      <c r="A17" s="277" t="s">
        <v>311</v>
      </c>
      <c r="B17" s="14">
        <v>0</v>
      </c>
      <c r="C17" s="13">
        <v>0</v>
      </c>
      <c r="D17" s="168">
        <f t="shared" si="0"/>
        <v>0</v>
      </c>
      <c r="E17" s="14">
        <v>5446</v>
      </c>
      <c r="F17" s="13">
        <v>0</v>
      </c>
      <c r="G17" s="168">
        <f t="shared" si="1"/>
        <v>5446</v>
      </c>
      <c r="H17" s="193">
        <f t="shared" si="2"/>
        <v>5446</v>
      </c>
      <c r="I17" s="196"/>
      <c r="J17" s="15">
        <v>5279</v>
      </c>
      <c r="K17" s="13">
        <v>0</v>
      </c>
      <c r="L17" s="168">
        <f t="shared" si="3"/>
        <v>5279</v>
      </c>
      <c r="M17" s="193">
        <f t="shared" si="4"/>
        <v>-167</v>
      </c>
      <c r="N17" s="194">
        <f t="shared" si="6"/>
        <v>0.9693352919574</v>
      </c>
    </row>
    <row r="18" spans="1:14" ht="13.5" customHeight="1" thickBot="1">
      <c r="A18" s="278" t="s">
        <v>416</v>
      </c>
      <c r="B18" s="165">
        <v>0</v>
      </c>
      <c r="C18" s="166">
        <v>0</v>
      </c>
      <c r="D18" s="168">
        <f t="shared" si="0"/>
        <v>0</v>
      </c>
      <c r="E18" s="165">
        <v>0</v>
      </c>
      <c r="F18" s="166">
        <v>0</v>
      </c>
      <c r="G18" s="168">
        <f t="shared" si="1"/>
        <v>0</v>
      </c>
      <c r="H18" s="271"/>
      <c r="I18" s="273"/>
      <c r="J18" s="169"/>
      <c r="K18" s="166">
        <v>0</v>
      </c>
      <c r="L18" s="168">
        <f t="shared" si="3"/>
        <v>0</v>
      </c>
      <c r="M18" s="271"/>
      <c r="N18" s="272"/>
    </row>
    <row r="19" spans="1:14" ht="13.5" customHeight="1" thickBot="1">
      <c r="A19" s="182" t="s">
        <v>182</v>
      </c>
      <c r="B19" s="186">
        <f aca="true" t="shared" si="7" ref="B19:G19">SUM(B7+B8+B9+B10+B11+B13+B15)</f>
        <v>12613</v>
      </c>
      <c r="C19" s="187">
        <f t="shared" si="7"/>
        <v>0</v>
      </c>
      <c r="D19" s="188">
        <f t="shared" si="7"/>
        <v>12613</v>
      </c>
      <c r="E19" s="186">
        <f t="shared" si="7"/>
        <v>17100</v>
      </c>
      <c r="F19" s="187">
        <f t="shared" si="7"/>
        <v>0</v>
      </c>
      <c r="G19" s="188">
        <f t="shared" si="7"/>
        <v>17100</v>
      </c>
      <c r="H19" s="190">
        <f t="shared" si="2"/>
        <v>4487</v>
      </c>
      <c r="I19" s="108">
        <f t="shared" si="5"/>
        <v>1.3557440735748831</v>
      </c>
      <c r="J19" s="198">
        <f>SUM(J7+J8+J9+J10+J11+J13+J15)</f>
        <v>15450</v>
      </c>
      <c r="K19" s="187">
        <f>SUM(K7+K8+K9+K10+K11+K13+K15)</f>
        <v>0</v>
      </c>
      <c r="L19" s="188">
        <f>SUM(L7+L8+L9+L10+L11+L13+L15)</f>
        <v>15450</v>
      </c>
      <c r="M19" s="190">
        <f t="shared" si="4"/>
        <v>-1650</v>
      </c>
      <c r="N19" s="199">
        <f t="shared" si="6"/>
        <v>0.9035087719298246</v>
      </c>
    </row>
    <row r="20" spans="1:14" ht="13.5" customHeight="1">
      <c r="A20" s="96" t="s">
        <v>183</v>
      </c>
      <c r="B20" s="71">
        <v>2846</v>
      </c>
      <c r="C20" s="72"/>
      <c r="D20" s="73">
        <f aca="true" t="shared" si="8" ref="D20:D37">SUM(B20:C20)</f>
        <v>2846</v>
      </c>
      <c r="E20" s="71">
        <v>3624</v>
      </c>
      <c r="F20" s="72">
        <v>0</v>
      </c>
      <c r="G20" s="97">
        <f aca="true" t="shared" si="9" ref="G20:G37">SUM(E20:F20)</f>
        <v>3624</v>
      </c>
      <c r="H20" s="98">
        <f t="shared" si="2"/>
        <v>778</v>
      </c>
      <c r="I20" s="99">
        <f t="shared" si="5"/>
        <v>1.2733661278988053</v>
      </c>
      <c r="J20" s="76">
        <v>3641</v>
      </c>
      <c r="K20" s="72">
        <v>0</v>
      </c>
      <c r="L20" s="100">
        <f aca="true" t="shared" si="10" ref="L20:L37">SUM(J20:K20)</f>
        <v>3641</v>
      </c>
      <c r="M20" s="98">
        <f t="shared" si="4"/>
        <v>17</v>
      </c>
      <c r="N20" s="101">
        <f t="shared" si="6"/>
        <v>1.004690949227373</v>
      </c>
    </row>
    <row r="21" spans="1:14" ht="21" customHeight="1">
      <c r="A21" s="82" t="s">
        <v>184</v>
      </c>
      <c r="B21" s="71">
        <v>535</v>
      </c>
      <c r="C21" s="72"/>
      <c r="D21" s="73">
        <f t="shared" si="8"/>
        <v>535</v>
      </c>
      <c r="E21" s="71">
        <v>1002</v>
      </c>
      <c r="F21" s="72">
        <v>0</v>
      </c>
      <c r="G21" s="97">
        <f t="shared" si="9"/>
        <v>1002</v>
      </c>
      <c r="H21" s="74">
        <f t="shared" si="2"/>
        <v>467</v>
      </c>
      <c r="I21" s="75">
        <f t="shared" si="5"/>
        <v>1.8728971962616823</v>
      </c>
      <c r="J21" s="76">
        <v>440</v>
      </c>
      <c r="K21" s="72">
        <v>0</v>
      </c>
      <c r="L21" s="100">
        <f t="shared" si="10"/>
        <v>440</v>
      </c>
      <c r="M21" s="74">
        <f t="shared" si="4"/>
        <v>-562</v>
      </c>
      <c r="N21" s="77">
        <f t="shared" si="6"/>
        <v>0.43912175648702595</v>
      </c>
    </row>
    <row r="22" spans="1:14" ht="13.5" customHeight="1">
      <c r="A22" s="78" t="s">
        <v>185</v>
      </c>
      <c r="B22" s="79">
        <v>487</v>
      </c>
      <c r="C22" s="80"/>
      <c r="D22" s="73">
        <f t="shared" si="8"/>
        <v>487</v>
      </c>
      <c r="E22" s="79">
        <v>514</v>
      </c>
      <c r="F22" s="80">
        <v>0</v>
      </c>
      <c r="G22" s="97">
        <f t="shared" si="9"/>
        <v>514</v>
      </c>
      <c r="H22" s="74">
        <f t="shared" si="2"/>
        <v>27</v>
      </c>
      <c r="I22" s="75">
        <f t="shared" si="5"/>
        <v>1.055441478439425</v>
      </c>
      <c r="J22" s="81">
        <v>602</v>
      </c>
      <c r="K22" s="80">
        <v>0</v>
      </c>
      <c r="L22" s="100">
        <f t="shared" si="10"/>
        <v>602</v>
      </c>
      <c r="M22" s="74">
        <f t="shared" si="4"/>
        <v>88</v>
      </c>
      <c r="N22" s="77">
        <f t="shared" si="6"/>
        <v>1.171206225680934</v>
      </c>
    </row>
    <row r="23" spans="1:14" ht="13.5" customHeight="1">
      <c r="A23" s="82" t="s">
        <v>186</v>
      </c>
      <c r="B23" s="79">
        <v>53</v>
      </c>
      <c r="C23" s="80"/>
      <c r="D23" s="73">
        <f t="shared" si="8"/>
        <v>53</v>
      </c>
      <c r="E23" s="79">
        <v>61</v>
      </c>
      <c r="F23" s="80">
        <v>0</v>
      </c>
      <c r="G23" s="97">
        <f t="shared" si="9"/>
        <v>61</v>
      </c>
      <c r="H23" s="74">
        <f t="shared" si="2"/>
        <v>8</v>
      </c>
      <c r="I23" s="75">
        <f aca="true" t="shared" si="11" ref="I23:I38">+G23/D23</f>
        <v>1.150943396226415</v>
      </c>
      <c r="J23" s="81">
        <v>83</v>
      </c>
      <c r="K23" s="80">
        <v>0</v>
      </c>
      <c r="L23" s="100">
        <f t="shared" si="10"/>
        <v>83</v>
      </c>
      <c r="M23" s="74">
        <f t="shared" si="4"/>
        <v>22</v>
      </c>
      <c r="N23" s="77">
        <f aca="true" t="shared" si="12" ref="N23:N38">+L23/G23</f>
        <v>1.360655737704918</v>
      </c>
    </row>
    <row r="24" spans="1:14" ht="13.5" customHeight="1">
      <c r="A24" s="78" t="s">
        <v>298</v>
      </c>
      <c r="B24" s="79">
        <v>86</v>
      </c>
      <c r="C24" s="80"/>
      <c r="D24" s="73">
        <f t="shared" si="8"/>
        <v>86</v>
      </c>
      <c r="E24" s="79">
        <v>72</v>
      </c>
      <c r="F24" s="80">
        <v>0</v>
      </c>
      <c r="G24" s="97">
        <f t="shared" si="9"/>
        <v>72</v>
      </c>
      <c r="H24" s="74">
        <f t="shared" si="2"/>
        <v>-14</v>
      </c>
      <c r="I24" s="75">
        <f t="shared" si="11"/>
        <v>0.8372093023255814</v>
      </c>
      <c r="J24" s="81">
        <v>40</v>
      </c>
      <c r="K24" s="80">
        <v>0</v>
      </c>
      <c r="L24" s="100">
        <f t="shared" si="10"/>
        <v>40</v>
      </c>
      <c r="M24" s="74">
        <f t="shared" si="4"/>
        <v>-32</v>
      </c>
      <c r="N24" s="77">
        <f t="shared" si="12"/>
        <v>0.5555555555555556</v>
      </c>
    </row>
    <row r="25" spans="1:14" ht="13.5" customHeight="1">
      <c r="A25" s="78" t="s">
        <v>187</v>
      </c>
      <c r="B25" s="81">
        <v>974</v>
      </c>
      <c r="C25" s="80"/>
      <c r="D25" s="73">
        <f t="shared" si="8"/>
        <v>974</v>
      </c>
      <c r="E25" s="81">
        <v>3028</v>
      </c>
      <c r="F25" s="80">
        <v>0</v>
      </c>
      <c r="G25" s="97">
        <f t="shared" si="9"/>
        <v>3028</v>
      </c>
      <c r="H25" s="74">
        <f t="shared" si="2"/>
        <v>2054</v>
      </c>
      <c r="I25" s="75">
        <f t="shared" si="11"/>
        <v>3.108829568788501</v>
      </c>
      <c r="J25" s="81">
        <v>638</v>
      </c>
      <c r="K25" s="80">
        <v>0</v>
      </c>
      <c r="L25" s="100">
        <f t="shared" si="10"/>
        <v>638</v>
      </c>
      <c r="M25" s="74">
        <f t="shared" si="4"/>
        <v>-2390</v>
      </c>
      <c r="N25" s="77">
        <f t="shared" si="12"/>
        <v>0.21070013210039631</v>
      </c>
    </row>
    <row r="26" spans="1:14" ht="13.5" customHeight="1">
      <c r="A26" s="82" t="s">
        <v>188</v>
      </c>
      <c r="B26" s="79">
        <v>333</v>
      </c>
      <c r="C26" s="80"/>
      <c r="D26" s="73">
        <f t="shared" si="8"/>
        <v>333</v>
      </c>
      <c r="E26" s="79">
        <v>2294</v>
      </c>
      <c r="F26" s="80">
        <v>0</v>
      </c>
      <c r="G26" s="97">
        <f t="shared" si="9"/>
        <v>2294</v>
      </c>
      <c r="H26" s="74">
        <f t="shared" si="2"/>
        <v>1961</v>
      </c>
      <c r="I26" s="75">
        <f t="shared" si="11"/>
        <v>6.888888888888889</v>
      </c>
      <c r="J26" s="102">
        <v>638</v>
      </c>
      <c r="K26" s="80">
        <v>0</v>
      </c>
      <c r="L26" s="100">
        <f t="shared" si="10"/>
        <v>638</v>
      </c>
      <c r="M26" s="74">
        <f t="shared" si="4"/>
        <v>-1656</v>
      </c>
      <c r="N26" s="77">
        <f t="shared" si="12"/>
        <v>0.2781168265039233</v>
      </c>
    </row>
    <row r="27" spans="1:14" ht="13.5" customHeight="1">
      <c r="A27" s="78" t="s">
        <v>189</v>
      </c>
      <c r="B27" s="79">
        <v>632</v>
      </c>
      <c r="C27" s="80"/>
      <c r="D27" s="73">
        <f t="shared" si="8"/>
        <v>632</v>
      </c>
      <c r="E27" s="79">
        <v>734</v>
      </c>
      <c r="F27" s="80">
        <v>0</v>
      </c>
      <c r="G27" s="97">
        <f t="shared" si="9"/>
        <v>734</v>
      </c>
      <c r="H27" s="74">
        <f t="shared" si="2"/>
        <v>102</v>
      </c>
      <c r="I27" s="75">
        <f t="shared" si="11"/>
        <v>1.1613924050632911</v>
      </c>
      <c r="J27" s="102">
        <v>826</v>
      </c>
      <c r="K27" s="80">
        <v>0</v>
      </c>
      <c r="L27" s="100">
        <f t="shared" si="10"/>
        <v>826</v>
      </c>
      <c r="M27" s="74">
        <f t="shared" si="4"/>
        <v>92</v>
      </c>
      <c r="N27" s="77">
        <f t="shared" si="12"/>
        <v>1.125340599455041</v>
      </c>
    </row>
    <row r="28" spans="1:14" ht="13.5" customHeight="1">
      <c r="A28" s="103" t="s">
        <v>190</v>
      </c>
      <c r="B28" s="81">
        <v>7473</v>
      </c>
      <c r="C28" s="80"/>
      <c r="D28" s="73">
        <f t="shared" si="8"/>
        <v>7473</v>
      </c>
      <c r="E28" s="81">
        <v>9064</v>
      </c>
      <c r="F28" s="80">
        <v>0</v>
      </c>
      <c r="G28" s="97">
        <f t="shared" si="9"/>
        <v>9064</v>
      </c>
      <c r="H28" s="74">
        <f t="shared" si="2"/>
        <v>1591</v>
      </c>
      <c r="I28" s="75">
        <f t="shared" si="11"/>
        <v>1.212899772514385</v>
      </c>
      <c r="J28" s="81">
        <v>10866</v>
      </c>
      <c r="K28" s="80">
        <v>0</v>
      </c>
      <c r="L28" s="100">
        <f t="shared" si="10"/>
        <v>10866</v>
      </c>
      <c r="M28" s="74">
        <f t="shared" si="4"/>
        <v>1802</v>
      </c>
      <c r="N28" s="77">
        <f t="shared" si="12"/>
        <v>1.1988084730803177</v>
      </c>
    </row>
    <row r="29" spans="1:14" ht="13.5" customHeight="1">
      <c r="A29" s="82" t="s">
        <v>191</v>
      </c>
      <c r="B29" s="79">
        <v>5457</v>
      </c>
      <c r="C29" s="80"/>
      <c r="D29" s="73">
        <f t="shared" si="8"/>
        <v>5457</v>
      </c>
      <c r="E29" s="79">
        <v>6619</v>
      </c>
      <c r="F29" s="80">
        <v>0</v>
      </c>
      <c r="G29" s="97">
        <f t="shared" si="9"/>
        <v>6619</v>
      </c>
      <c r="H29" s="74">
        <f t="shared" si="2"/>
        <v>1162</v>
      </c>
      <c r="I29" s="75">
        <f t="shared" si="11"/>
        <v>1.2129375114531793</v>
      </c>
      <c r="J29" s="102">
        <v>7935</v>
      </c>
      <c r="K29" s="104">
        <v>0</v>
      </c>
      <c r="L29" s="100">
        <f t="shared" si="10"/>
        <v>7935</v>
      </c>
      <c r="M29" s="74">
        <f t="shared" si="4"/>
        <v>1316</v>
      </c>
      <c r="N29" s="77">
        <f t="shared" si="12"/>
        <v>1.1988215742559298</v>
      </c>
    </row>
    <row r="30" spans="1:14" ht="13.5" customHeight="1">
      <c r="A30" s="103" t="s">
        <v>192</v>
      </c>
      <c r="B30" s="79">
        <v>5447</v>
      </c>
      <c r="C30" s="80"/>
      <c r="D30" s="73">
        <f t="shared" si="8"/>
        <v>5447</v>
      </c>
      <c r="E30" s="79">
        <v>6612</v>
      </c>
      <c r="F30" s="80">
        <v>0</v>
      </c>
      <c r="G30" s="97">
        <f t="shared" si="9"/>
        <v>6612</v>
      </c>
      <c r="H30" s="74">
        <f t="shared" si="2"/>
        <v>1165</v>
      </c>
      <c r="I30" s="75">
        <f t="shared" si="11"/>
        <v>1.2138791995593905</v>
      </c>
      <c r="J30" s="81">
        <v>7923</v>
      </c>
      <c r="K30" s="80">
        <v>0</v>
      </c>
      <c r="L30" s="100">
        <f t="shared" si="10"/>
        <v>7923</v>
      </c>
      <c r="M30" s="74">
        <f t="shared" si="4"/>
        <v>1311</v>
      </c>
      <c r="N30" s="77">
        <f t="shared" si="12"/>
        <v>1.1982758620689655</v>
      </c>
    </row>
    <row r="31" spans="1:14" ht="13.5" customHeight="1">
      <c r="A31" s="82" t="s">
        <v>193</v>
      </c>
      <c r="B31" s="79">
        <v>10</v>
      </c>
      <c r="C31" s="80"/>
      <c r="D31" s="73">
        <f t="shared" si="8"/>
        <v>10</v>
      </c>
      <c r="E31" s="79">
        <v>7</v>
      </c>
      <c r="F31" s="80">
        <v>0</v>
      </c>
      <c r="G31" s="97">
        <f t="shared" si="9"/>
        <v>7</v>
      </c>
      <c r="H31" s="74">
        <f t="shared" si="2"/>
        <v>-3</v>
      </c>
      <c r="I31" s="75">
        <f t="shared" si="11"/>
        <v>0.7</v>
      </c>
      <c r="J31" s="81">
        <v>12</v>
      </c>
      <c r="K31" s="80">
        <v>0</v>
      </c>
      <c r="L31" s="100">
        <f t="shared" si="10"/>
        <v>12</v>
      </c>
      <c r="M31" s="74">
        <f t="shared" si="4"/>
        <v>5</v>
      </c>
      <c r="N31" s="77">
        <f t="shared" si="12"/>
        <v>1.7142857142857142</v>
      </c>
    </row>
    <row r="32" spans="1:14" ht="13.5" customHeight="1">
      <c r="A32" s="82" t="s">
        <v>194</v>
      </c>
      <c r="B32" s="79">
        <v>2016</v>
      </c>
      <c r="C32" s="80"/>
      <c r="D32" s="73">
        <f t="shared" si="8"/>
        <v>2016</v>
      </c>
      <c r="E32" s="79">
        <v>2445</v>
      </c>
      <c r="F32" s="80">
        <v>0</v>
      </c>
      <c r="G32" s="97">
        <f t="shared" si="9"/>
        <v>2445</v>
      </c>
      <c r="H32" s="74">
        <f t="shared" si="2"/>
        <v>429</v>
      </c>
      <c r="I32" s="75">
        <f t="shared" si="11"/>
        <v>1.212797619047619</v>
      </c>
      <c r="J32" s="81">
        <v>2931</v>
      </c>
      <c r="K32" s="80">
        <v>0</v>
      </c>
      <c r="L32" s="100">
        <f t="shared" si="10"/>
        <v>2931</v>
      </c>
      <c r="M32" s="74">
        <f t="shared" si="4"/>
        <v>486</v>
      </c>
      <c r="N32" s="77">
        <f t="shared" si="12"/>
        <v>1.1987730061349693</v>
      </c>
    </row>
    <row r="33" spans="1:14" ht="13.5" customHeight="1">
      <c r="A33" s="103" t="s">
        <v>195</v>
      </c>
      <c r="B33" s="79">
        <v>0</v>
      </c>
      <c r="C33" s="80"/>
      <c r="D33" s="73">
        <f t="shared" si="8"/>
        <v>0</v>
      </c>
      <c r="E33" s="79">
        <v>0</v>
      </c>
      <c r="F33" s="80">
        <v>0</v>
      </c>
      <c r="G33" s="97">
        <f t="shared" si="9"/>
        <v>0</v>
      </c>
      <c r="H33" s="74">
        <f t="shared" si="2"/>
        <v>0</v>
      </c>
      <c r="I33" s="75"/>
      <c r="J33" s="81">
        <v>0</v>
      </c>
      <c r="K33" s="80">
        <v>0</v>
      </c>
      <c r="L33" s="100">
        <f t="shared" si="10"/>
        <v>0</v>
      </c>
      <c r="M33" s="74">
        <f t="shared" si="4"/>
        <v>0</v>
      </c>
      <c r="N33" s="77"/>
    </row>
    <row r="34" spans="1:14" ht="13.5" customHeight="1">
      <c r="A34" s="103" t="s">
        <v>196</v>
      </c>
      <c r="B34" s="79">
        <v>157</v>
      </c>
      <c r="C34" s="80"/>
      <c r="D34" s="73">
        <f t="shared" si="8"/>
        <v>157</v>
      </c>
      <c r="E34" s="79">
        <v>165</v>
      </c>
      <c r="F34" s="80">
        <v>0</v>
      </c>
      <c r="G34" s="97">
        <f t="shared" si="9"/>
        <v>165</v>
      </c>
      <c r="H34" s="74">
        <f t="shared" si="2"/>
        <v>8</v>
      </c>
      <c r="I34" s="75">
        <f t="shared" si="11"/>
        <v>1.0509554140127388</v>
      </c>
      <c r="J34" s="81">
        <v>227</v>
      </c>
      <c r="K34" s="80">
        <v>0</v>
      </c>
      <c r="L34" s="100">
        <f t="shared" si="10"/>
        <v>227</v>
      </c>
      <c r="M34" s="74">
        <f t="shared" si="4"/>
        <v>62</v>
      </c>
      <c r="N34" s="77">
        <f t="shared" si="12"/>
        <v>1.3757575757575757</v>
      </c>
    </row>
    <row r="35" spans="1:14" ht="13.5" customHeight="1">
      <c r="A35" s="82" t="s">
        <v>197</v>
      </c>
      <c r="B35" s="79">
        <v>529</v>
      </c>
      <c r="C35" s="80"/>
      <c r="D35" s="73">
        <f t="shared" si="8"/>
        <v>529</v>
      </c>
      <c r="E35" s="79">
        <v>529</v>
      </c>
      <c r="F35" s="80">
        <v>0</v>
      </c>
      <c r="G35" s="97">
        <f t="shared" si="9"/>
        <v>529</v>
      </c>
      <c r="H35" s="74">
        <f t="shared" si="2"/>
        <v>0</v>
      </c>
      <c r="I35" s="75">
        <f t="shared" si="11"/>
        <v>1</v>
      </c>
      <c r="J35" s="102">
        <v>586</v>
      </c>
      <c r="K35" s="80">
        <v>0</v>
      </c>
      <c r="L35" s="100">
        <f t="shared" si="10"/>
        <v>586</v>
      </c>
      <c r="M35" s="74">
        <f t="shared" si="4"/>
        <v>57</v>
      </c>
      <c r="N35" s="77">
        <f t="shared" si="12"/>
        <v>1.107750472589792</v>
      </c>
    </row>
    <row r="36" spans="1:14" ht="22.5" customHeight="1">
      <c r="A36" s="82" t="s">
        <v>198</v>
      </c>
      <c r="B36" s="79">
        <v>529</v>
      </c>
      <c r="C36" s="80"/>
      <c r="D36" s="73">
        <f t="shared" si="8"/>
        <v>529</v>
      </c>
      <c r="E36" s="79">
        <v>529</v>
      </c>
      <c r="F36" s="80">
        <v>0</v>
      </c>
      <c r="G36" s="97">
        <f t="shared" si="9"/>
        <v>529</v>
      </c>
      <c r="H36" s="74">
        <f t="shared" si="2"/>
        <v>0</v>
      </c>
      <c r="I36" s="75">
        <f t="shared" si="11"/>
        <v>1</v>
      </c>
      <c r="J36" s="102">
        <v>586</v>
      </c>
      <c r="K36" s="80">
        <v>0</v>
      </c>
      <c r="L36" s="100">
        <f t="shared" si="10"/>
        <v>586</v>
      </c>
      <c r="M36" s="74">
        <f t="shared" si="4"/>
        <v>57</v>
      </c>
      <c r="N36" s="77">
        <f t="shared" si="12"/>
        <v>1.107750472589792</v>
      </c>
    </row>
    <row r="37" spans="1:14" ht="13.5" customHeight="1" thickBot="1">
      <c r="A37" s="105" t="s">
        <v>199</v>
      </c>
      <c r="B37" s="83">
        <v>0</v>
      </c>
      <c r="C37" s="84"/>
      <c r="D37" s="73">
        <f t="shared" si="8"/>
        <v>0</v>
      </c>
      <c r="E37" s="83">
        <v>0</v>
      </c>
      <c r="F37" s="84">
        <v>0</v>
      </c>
      <c r="G37" s="97">
        <f t="shared" si="9"/>
        <v>0</v>
      </c>
      <c r="H37" s="85">
        <f t="shared" si="2"/>
        <v>0</v>
      </c>
      <c r="I37" s="86"/>
      <c r="J37" s="106">
        <v>0</v>
      </c>
      <c r="K37" s="84">
        <v>0</v>
      </c>
      <c r="L37" s="100">
        <f t="shared" si="10"/>
        <v>0</v>
      </c>
      <c r="M37" s="85">
        <f t="shared" si="4"/>
        <v>0</v>
      </c>
      <c r="N37" s="87"/>
    </row>
    <row r="38" spans="1:14" ht="13.5" customHeight="1" thickBot="1">
      <c r="A38" s="88" t="s">
        <v>200</v>
      </c>
      <c r="B38" s="89">
        <f aca="true" t="shared" si="13" ref="B38:G38">SUM(B20+B22+B23+B24+B25+B28+B33+B34+B35+B37)</f>
        <v>12605</v>
      </c>
      <c r="C38" s="90">
        <f t="shared" si="13"/>
        <v>0</v>
      </c>
      <c r="D38" s="91">
        <f t="shared" si="13"/>
        <v>12605</v>
      </c>
      <c r="E38" s="89">
        <f t="shared" si="13"/>
        <v>17057</v>
      </c>
      <c r="F38" s="90">
        <f t="shared" si="13"/>
        <v>0</v>
      </c>
      <c r="G38" s="91">
        <f t="shared" si="13"/>
        <v>17057</v>
      </c>
      <c r="H38" s="92">
        <f t="shared" si="2"/>
        <v>4452</v>
      </c>
      <c r="I38" s="93">
        <f t="shared" si="11"/>
        <v>1.353193177310591</v>
      </c>
      <c r="J38" s="94">
        <v>17509</v>
      </c>
      <c r="K38" s="90">
        <f>SUM(K20+K22+K23+K24+K25+K28+K33+K34+K35+K37)</f>
        <v>0</v>
      </c>
      <c r="L38" s="91">
        <v>17509</v>
      </c>
      <c r="M38" s="92">
        <f t="shared" si="4"/>
        <v>452</v>
      </c>
      <c r="N38" s="95">
        <f t="shared" si="12"/>
        <v>1.026499384416955</v>
      </c>
    </row>
    <row r="39" spans="1:14" ht="13.5" customHeight="1" thickBot="1">
      <c r="A39" s="88" t="s">
        <v>201</v>
      </c>
      <c r="B39" s="787">
        <f>+D19-D38</f>
        <v>8</v>
      </c>
      <c r="C39" s="787"/>
      <c r="D39" s="787"/>
      <c r="E39" s="787">
        <f>+G19-G38</f>
        <v>43</v>
      </c>
      <c r="F39" s="787"/>
      <c r="G39" s="787">
        <v>-50784</v>
      </c>
      <c r="H39" s="107"/>
      <c r="I39" s="108"/>
      <c r="J39" s="789">
        <f>+L19-L38</f>
        <v>-2059</v>
      </c>
      <c r="K39" s="789"/>
      <c r="L39" s="789">
        <v>0</v>
      </c>
      <c r="M39" s="92"/>
      <c r="N39" s="95"/>
    </row>
    <row r="40" spans="1:16" ht="20.25" customHeight="1" thickBot="1">
      <c r="A40" s="109" t="s">
        <v>202</v>
      </c>
      <c r="B40" s="787"/>
      <c r="C40" s="787"/>
      <c r="D40" s="787"/>
      <c r="E40" s="787"/>
      <c r="F40" s="787"/>
      <c r="G40" s="787"/>
      <c r="H40"/>
      <c r="I40"/>
      <c r="J40"/>
      <c r="K40"/>
      <c r="L40"/>
      <c r="M40"/>
      <c r="N40"/>
      <c r="O40"/>
      <c r="P40"/>
    </row>
    <row r="41" spans="1:16" ht="20.25" customHeight="1">
      <c r="A41" s="303"/>
      <c r="B41" s="302"/>
      <c r="C41" s="302"/>
      <c r="D41" s="302"/>
      <c r="E41" s="302"/>
      <c r="F41" s="302"/>
      <c r="G41" s="302"/>
      <c r="H41"/>
      <c r="I41"/>
      <c r="J41"/>
      <c r="K41"/>
      <c r="L41"/>
      <c r="M41"/>
      <c r="N41"/>
      <c r="O41"/>
      <c r="P41"/>
    </row>
    <row r="42" spans="1:16" ht="20.25" customHeight="1">
      <c r="A42" s="303"/>
      <c r="B42" s="302"/>
      <c r="C42" s="302"/>
      <c r="D42" s="302"/>
      <c r="E42" s="302"/>
      <c r="F42" s="302"/>
      <c r="G42" s="302"/>
      <c r="H42"/>
      <c r="I42"/>
      <c r="J42"/>
      <c r="K42"/>
      <c r="L42"/>
      <c r="M42"/>
      <c r="N42"/>
      <c r="O42"/>
      <c r="P42"/>
    </row>
    <row r="43" spans="2:8" ht="14.25" customHeight="1" thickBot="1">
      <c r="B43" s="7"/>
      <c r="C43" s="7"/>
      <c r="D43" s="16"/>
      <c r="E43" s="7"/>
      <c r="F43" s="7"/>
      <c r="G43" s="7"/>
      <c r="H43" s="7"/>
    </row>
    <row r="44" spans="1:16" ht="13.5" thickBot="1">
      <c r="A44" s="805" t="s">
        <v>312</v>
      </c>
      <c r="B44" s="805"/>
      <c r="C44" s="799" t="s">
        <v>203</v>
      </c>
      <c r="D44" s="805" t="s">
        <v>420</v>
      </c>
      <c r="E44" s="805"/>
      <c r="F44" s="805"/>
      <c r="G44" s="799" t="s">
        <v>203</v>
      </c>
      <c r="H44" s="785" t="s">
        <v>421</v>
      </c>
      <c r="I44" s="785"/>
      <c r="J44" s="785"/>
      <c r="K44" s="785"/>
      <c r="L44" s="799" t="s">
        <v>203</v>
      </c>
      <c r="O44"/>
      <c r="P44"/>
    </row>
    <row r="45" spans="1:16" ht="13.5" thickBot="1">
      <c r="A45" s="805"/>
      <c r="B45" s="805"/>
      <c r="C45" s="799"/>
      <c r="D45" s="805"/>
      <c r="E45" s="805"/>
      <c r="F45" s="805"/>
      <c r="G45" s="799"/>
      <c r="H45" s="785"/>
      <c r="I45" s="785"/>
      <c r="J45" s="785"/>
      <c r="K45" s="785"/>
      <c r="L45" s="799"/>
      <c r="O45"/>
      <c r="P45"/>
    </row>
    <row r="46" spans="1:16" ht="12.75">
      <c r="A46" s="794" t="s">
        <v>305</v>
      </c>
      <c r="B46" s="794"/>
      <c r="C46" s="110">
        <v>186</v>
      </c>
      <c r="D46" s="795" t="s">
        <v>291</v>
      </c>
      <c r="E46" s="795"/>
      <c r="F46" s="795"/>
      <c r="G46" s="111">
        <v>131</v>
      </c>
      <c r="H46" s="802" t="s">
        <v>289</v>
      </c>
      <c r="I46" s="802"/>
      <c r="J46" s="802"/>
      <c r="K46" s="802"/>
      <c r="L46" s="112">
        <v>450</v>
      </c>
      <c r="O46"/>
      <c r="P46"/>
    </row>
    <row r="47" spans="1:16" ht="12.75">
      <c r="A47" s="797" t="s">
        <v>469</v>
      </c>
      <c r="B47" s="797"/>
      <c r="C47" s="113">
        <v>155</v>
      </c>
      <c r="D47" s="795" t="s">
        <v>305</v>
      </c>
      <c r="E47" s="795"/>
      <c r="F47" s="795"/>
      <c r="G47" s="114">
        <v>355</v>
      </c>
      <c r="H47" s="802" t="s">
        <v>390</v>
      </c>
      <c r="I47" s="802"/>
      <c r="J47" s="802"/>
      <c r="K47" s="802"/>
      <c r="L47" s="112">
        <v>80</v>
      </c>
      <c r="O47"/>
      <c r="P47"/>
    </row>
    <row r="48" spans="1:16" ht="12.75">
      <c r="A48" s="797"/>
      <c r="B48" s="797"/>
      <c r="C48" s="113"/>
      <c r="D48" s="795" t="s">
        <v>470</v>
      </c>
      <c r="E48" s="795"/>
      <c r="F48" s="795"/>
      <c r="G48" s="114">
        <v>106</v>
      </c>
      <c r="H48" s="802" t="s">
        <v>471</v>
      </c>
      <c r="I48" s="802"/>
      <c r="J48" s="802"/>
      <c r="K48" s="802"/>
      <c r="L48" s="112">
        <v>120</v>
      </c>
      <c r="O48"/>
      <c r="P48"/>
    </row>
    <row r="49" spans="1:16" ht="12.75">
      <c r="A49" s="797"/>
      <c r="B49" s="797"/>
      <c r="C49" s="115"/>
      <c r="D49" s="797" t="s">
        <v>472</v>
      </c>
      <c r="E49" s="797"/>
      <c r="F49" s="797"/>
      <c r="G49" s="116">
        <v>94</v>
      </c>
      <c r="H49" s="776" t="s">
        <v>473</v>
      </c>
      <c r="I49" s="776"/>
      <c r="J49" s="776"/>
      <c r="K49" s="776"/>
      <c r="L49" s="112">
        <v>30</v>
      </c>
      <c r="O49"/>
      <c r="P49"/>
    </row>
    <row r="50" spans="1:16" ht="12.75">
      <c r="A50" s="797"/>
      <c r="B50" s="797"/>
      <c r="C50" s="115"/>
      <c r="D50" s="797" t="s">
        <v>474</v>
      </c>
      <c r="E50" s="797"/>
      <c r="F50" s="797"/>
      <c r="G50" s="116">
        <v>50</v>
      </c>
      <c r="H50" s="776"/>
      <c r="I50" s="776"/>
      <c r="J50" s="776"/>
      <c r="K50" s="776"/>
      <c r="L50" s="112"/>
      <c r="O50"/>
      <c r="P50"/>
    </row>
    <row r="51" spans="1:16" ht="12.75">
      <c r="A51" s="797"/>
      <c r="B51" s="797"/>
      <c r="C51" s="115"/>
      <c r="D51" s="797"/>
      <c r="E51" s="797"/>
      <c r="F51" s="797"/>
      <c r="G51" s="116"/>
      <c r="H51" s="776"/>
      <c r="I51" s="776"/>
      <c r="J51" s="776"/>
      <c r="K51" s="776"/>
      <c r="L51" s="112"/>
      <c r="O51"/>
      <c r="P51"/>
    </row>
    <row r="52" spans="1:16" ht="13.5" thickBot="1">
      <c r="A52" s="800"/>
      <c r="B52" s="800"/>
      <c r="C52" s="115"/>
      <c r="D52" s="801"/>
      <c r="E52" s="801"/>
      <c r="F52" s="801"/>
      <c r="G52" s="116"/>
      <c r="H52" s="802"/>
      <c r="I52" s="802"/>
      <c r="J52" s="802"/>
      <c r="K52" s="802"/>
      <c r="L52" s="112"/>
      <c r="O52"/>
      <c r="P52"/>
    </row>
    <row r="53" spans="1:16" ht="13.5" thickBot="1">
      <c r="A53" s="811"/>
      <c r="B53" s="811"/>
      <c r="C53" s="117">
        <f>SUM(C46:C52)</f>
        <v>341</v>
      </c>
      <c r="D53" s="812" t="s">
        <v>168</v>
      </c>
      <c r="E53" s="812"/>
      <c r="F53" s="812"/>
      <c r="G53" s="117">
        <f>SUM(G46:G52)</f>
        <v>736</v>
      </c>
      <c r="H53" s="778" t="s">
        <v>168</v>
      </c>
      <c r="I53" s="778"/>
      <c r="J53" s="778"/>
      <c r="K53" s="778"/>
      <c r="L53" s="117">
        <f>SUM(L46:L52)</f>
        <v>680</v>
      </c>
      <c r="M53" s="17"/>
      <c r="N53" s="17"/>
      <c r="O53"/>
      <c r="P53"/>
    </row>
    <row r="54" spans="1:16" s="1" customFormat="1" ht="13.5" customHeight="1" thickBot="1">
      <c r="A54" s="18"/>
      <c r="B54" s="5"/>
      <c r="C54" s="5"/>
      <c r="D54" s="5"/>
      <c r="E54" s="5"/>
      <c r="F54" s="5"/>
      <c r="G54" s="5"/>
      <c r="H54" s="6"/>
      <c r="I54" s="3"/>
      <c r="J54" s="3"/>
      <c r="K54" s="3"/>
      <c r="L54" s="3"/>
      <c r="M54" s="3"/>
      <c r="N54" s="3"/>
      <c r="O54" s="3"/>
      <c r="P54" s="3"/>
    </row>
    <row r="55" spans="1:16" ht="13.5" thickBot="1">
      <c r="A55" s="866" t="s">
        <v>429</v>
      </c>
      <c r="B55" s="867"/>
      <c r="C55" s="869" t="s">
        <v>203</v>
      </c>
      <c r="D55" s="806" t="s">
        <v>430</v>
      </c>
      <c r="E55" s="806"/>
      <c r="F55" s="806"/>
      <c r="G55" s="798" t="s">
        <v>203</v>
      </c>
      <c r="H55" s="785" t="s">
        <v>431</v>
      </c>
      <c r="I55" s="785"/>
      <c r="J55" s="785"/>
      <c r="K55" s="785"/>
      <c r="L55" s="799" t="s">
        <v>203</v>
      </c>
      <c r="O55"/>
      <c r="P55"/>
    </row>
    <row r="56" spans="1:16" ht="13.5" thickBot="1">
      <c r="A56" s="868"/>
      <c r="B56" s="805"/>
      <c r="C56" s="870"/>
      <c r="D56" s="806"/>
      <c r="E56" s="806"/>
      <c r="F56" s="806"/>
      <c r="G56" s="798"/>
      <c r="H56" s="785"/>
      <c r="I56" s="785"/>
      <c r="J56" s="785"/>
      <c r="K56" s="785"/>
      <c r="L56" s="799"/>
      <c r="O56"/>
      <c r="P56"/>
    </row>
    <row r="57" spans="1:16" ht="12.75">
      <c r="A57" s="871" t="s">
        <v>327</v>
      </c>
      <c r="B57" s="803"/>
      <c r="C57" s="201">
        <v>190</v>
      </c>
      <c r="D57" s="804" t="s">
        <v>327</v>
      </c>
      <c r="E57" s="804"/>
      <c r="F57" s="804"/>
      <c r="G57" s="118">
        <v>2016</v>
      </c>
      <c r="H57" s="802" t="s">
        <v>139</v>
      </c>
      <c r="I57" s="802"/>
      <c r="J57" s="802"/>
      <c r="K57" s="802"/>
      <c r="L57" s="112">
        <v>150</v>
      </c>
      <c r="O57"/>
      <c r="P57"/>
    </row>
    <row r="58" spans="1:16" ht="13.5" customHeight="1">
      <c r="A58" s="872" t="s">
        <v>395</v>
      </c>
      <c r="B58" s="781"/>
      <c r="C58" s="202">
        <v>85</v>
      </c>
      <c r="D58" s="782" t="s">
        <v>395</v>
      </c>
      <c r="E58" s="782"/>
      <c r="F58" s="782"/>
      <c r="G58" s="119">
        <v>98</v>
      </c>
      <c r="H58" s="776" t="s">
        <v>395</v>
      </c>
      <c r="I58" s="776"/>
      <c r="J58" s="776"/>
      <c r="K58" s="776"/>
      <c r="L58" s="120">
        <v>150</v>
      </c>
      <c r="O58"/>
      <c r="P58"/>
    </row>
    <row r="59" spans="1:16" ht="13.5" customHeight="1">
      <c r="A59" s="872" t="s">
        <v>328</v>
      </c>
      <c r="B59" s="781"/>
      <c r="C59" s="202">
        <v>58</v>
      </c>
      <c r="D59" s="782" t="s">
        <v>328</v>
      </c>
      <c r="E59" s="782"/>
      <c r="F59" s="782"/>
      <c r="G59" s="119">
        <v>180</v>
      </c>
      <c r="H59" s="776" t="s">
        <v>328</v>
      </c>
      <c r="I59" s="776"/>
      <c r="J59" s="776"/>
      <c r="K59" s="776"/>
      <c r="L59" s="120">
        <v>58</v>
      </c>
      <c r="O59"/>
      <c r="P59"/>
    </row>
    <row r="60" spans="1:16" ht="13.5" customHeight="1">
      <c r="A60" s="872" t="s">
        <v>329</v>
      </c>
      <c r="B60" s="781"/>
      <c r="C60" s="202"/>
      <c r="D60" s="782"/>
      <c r="E60" s="782"/>
      <c r="F60" s="782"/>
      <c r="G60" s="119"/>
      <c r="H60" s="776" t="s">
        <v>140</v>
      </c>
      <c r="I60" s="776"/>
      <c r="J60" s="776"/>
      <c r="K60" s="776"/>
      <c r="L60" s="120">
        <v>120</v>
      </c>
      <c r="O60"/>
      <c r="P60"/>
    </row>
    <row r="61" spans="1:16" ht="13.5" customHeight="1">
      <c r="A61" s="872"/>
      <c r="B61" s="781"/>
      <c r="C61" s="203"/>
      <c r="D61" s="782"/>
      <c r="E61" s="782"/>
      <c r="F61" s="782"/>
      <c r="G61" s="121"/>
      <c r="H61" s="776" t="s">
        <v>269</v>
      </c>
      <c r="I61" s="776"/>
      <c r="J61" s="776"/>
      <c r="K61" s="776"/>
      <c r="L61" s="122">
        <v>100</v>
      </c>
      <c r="O61"/>
      <c r="P61"/>
    </row>
    <row r="62" spans="1:16" ht="13.5" customHeight="1">
      <c r="A62" s="872"/>
      <c r="B62" s="781"/>
      <c r="C62" s="203"/>
      <c r="D62" s="782"/>
      <c r="E62" s="782"/>
      <c r="F62" s="782"/>
      <c r="G62" s="121"/>
      <c r="H62" s="776" t="s">
        <v>618</v>
      </c>
      <c r="I62" s="776"/>
      <c r="J62" s="776"/>
      <c r="K62" s="776"/>
      <c r="L62" s="122">
        <v>60</v>
      </c>
      <c r="O62"/>
      <c r="P62"/>
    </row>
    <row r="63" spans="1:16" ht="13.5" customHeight="1">
      <c r="A63" s="872"/>
      <c r="B63" s="873"/>
      <c r="C63" s="202"/>
      <c r="D63" s="782"/>
      <c r="E63" s="782"/>
      <c r="F63" s="782"/>
      <c r="G63" s="119"/>
      <c r="H63" s="776"/>
      <c r="I63" s="776"/>
      <c r="J63" s="776"/>
      <c r="K63" s="776"/>
      <c r="L63" s="120"/>
      <c r="O63"/>
      <c r="P63"/>
    </row>
    <row r="64" spans="1:16" ht="13.5" thickBot="1">
      <c r="A64" s="874"/>
      <c r="B64" s="780"/>
      <c r="C64" s="204"/>
      <c r="D64" s="783"/>
      <c r="E64" s="783"/>
      <c r="F64" s="783"/>
      <c r="G64" s="123"/>
      <c r="H64" s="777"/>
      <c r="I64" s="777"/>
      <c r="J64" s="777"/>
      <c r="K64" s="777"/>
      <c r="L64" s="124"/>
      <c r="O64"/>
      <c r="P64"/>
    </row>
    <row r="65" spans="1:16" ht="13.5" thickBot="1">
      <c r="A65" s="877" t="s">
        <v>168</v>
      </c>
      <c r="B65" s="878"/>
      <c r="C65" s="205">
        <f>SUM(C57:C64)</f>
        <v>333</v>
      </c>
      <c r="D65" s="784" t="s">
        <v>168</v>
      </c>
      <c r="E65" s="784"/>
      <c r="F65" s="784"/>
      <c r="G65" s="125">
        <f>SUM(G57:G64)</f>
        <v>2294</v>
      </c>
      <c r="H65" s="778" t="s">
        <v>168</v>
      </c>
      <c r="I65" s="778"/>
      <c r="J65" s="778"/>
      <c r="K65" s="778"/>
      <c r="L65" s="117">
        <f>SUM(L57:L64)</f>
        <v>638</v>
      </c>
      <c r="M65" s="17"/>
      <c r="N65" s="17"/>
      <c r="O65"/>
      <c r="P65"/>
    </row>
    <row r="66" spans="1:14" s="1" customFormat="1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s="1" customFormat="1" ht="13.5" thickBo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s="3" customFormat="1" ht="26.25" customHeight="1" thickBot="1">
      <c r="A68" s="833" t="s">
        <v>106</v>
      </c>
      <c r="B68" s="834"/>
      <c r="C68" s="834"/>
      <c r="D68" s="834"/>
      <c r="E68" s="835"/>
      <c r="F68" s="836" t="s">
        <v>107</v>
      </c>
      <c r="G68" s="914"/>
      <c r="H68" s="914"/>
      <c r="I68" s="914"/>
      <c r="J68" s="914"/>
      <c r="K68" s="914"/>
      <c r="L68" s="915"/>
      <c r="M68" s="19"/>
      <c r="N68" s="19"/>
    </row>
    <row r="69" spans="1:14" s="3" customFormat="1" ht="14.25" customHeight="1" thickBot="1">
      <c r="A69" s="417" t="s">
        <v>231</v>
      </c>
      <c r="B69" s="418" t="s">
        <v>96</v>
      </c>
      <c r="C69" s="908" t="s">
        <v>232</v>
      </c>
      <c r="D69" s="908"/>
      <c r="E69" s="419" t="s">
        <v>97</v>
      </c>
      <c r="F69" s="911" t="s">
        <v>231</v>
      </c>
      <c r="G69" s="912"/>
      <c r="H69" s="418" t="s">
        <v>96</v>
      </c>
      <c r="I69" s="908" t="s">
        <v>232</v>
      </c>
      <c r="J69" s="908"/>
      <c r="K69" s="908"/>
      <c r="L69" s="420" t="s">
        <v>97</v>
      </c>
      <c r="M69" s="19"/>
      <c r="N69" s="19"/>
    </row>
    <row r="70" spans="1:14" s="3" customFormat="1" ht="12.75">
      <c r="A70" s="401" t="s">
        <v>98</v>
      </c>
      <c r="B70" s="402">
        <v>86</v>
      </c>
      <c r="C70" s="842" t="s">
        <v>99</v>
      </c>
      <c r="D70" s="842"/>
      <c r="E70" s="403"/>
      <c r="F70" s="843" t="s">
        <v>98</v>
      </c>
      <c r="G70" s="909"/>
      <c r="H70" s="402">
        <v>54</v>
      </c>
      <c r="I70" s="842" t="s">
        <v>99</v>
      </c>
      <c r="J70" s="909"/>
      <c r="K70" s="909"/>
      <c r="L70" s="403"/>
      <c r="M70" s="19"/>
      <c r="N70" s="19"/>
    </row>
    <row r="71" spans="1:14" s="3" customFormat="1" ht="12.75">
      <c r="A71" s="404" t="s">
        <v>100</v>
      </c>
      <c r="B71" s="405">
        <v>8</v>
      </c>
      <c r="C71" s="845" t="s">
        <v>101</v>
      </c>
      <c r="D71" s="845"/>
      <c r="E71" s="406">
        <v>88</v>
      </c>
      <c r="F71" s="846" t="s">
        <v>102</v>
      </c>
      <c r="G71" s="901"/>
      <c r="H71" s="405">
        <v>40</v>
      </c>
      <c r="I71" s="845" t="s">
        <v>101</v>
      </c>
      <c r="J71" s="901"/>
      <c r="K71" s="901"/>
      <c r="L71" s="406">
        <v>20</v>
      </c>
      <c r="M71" s="19"/>
      <c r="N71" s="19"/>
    </row>
    <row r="72" spans="1:14" s="3" customFormat="1" ht="12.75">
      <c r="A72" s="404" t="s">
        <v>103</v>
      </c>
      <c r="B72" s="405">
        <v>48</v>
      </c>
      <c r="C72" s="845"/>
      <c r="D72" s="845"/>
      <c r="E72" s="406"/>
      <c r="F72" s="845" t="s">
        <v>103</v>
      </c>
      <c r="G72" s="845"/>
      <c r="H72" s="405">
        <v>20</v>
      </c>
      <c r="I72" s="845"/>
      <c r="J72" s="901"/>
      <c r="K72" s="901"/>
      <c r="L72" s="406"/>
      <c r="M72" s="19"/>
      <c r="N72" s="19"/>
    </row>
    <row r="73" spans="1:14" s="3" customFormat="1" ht="13.5" thickBot="1">
      <c r="A73" s="407"/>
      <c r="B73" s="408"/>
      <c r="C73" s="848"/>
      <c r="D73" s="848"/>
      <c r="E73" s="409"/>
      <c r="F73" s="849"/>
      <c r="G73" s="910"/>
      <c r="H73" s="408"/>
      <c r="I73" s="848"/>
      <c r="J73" s="910"/>
      <c r="K73" s="910"/>
      <c r="L73" s="409"/>
      <c r="M73" s="19"/>
      <c r="N73" s="19"/>
    </row>
    <row r="74" spans="1:14" s="3" customFormat="1" ht="13.5" thickBot="1">
      <c r="A74" s="410" t="s">
        <v>168</v>
      </c>
      <c r="B74" s="411">
        <f>SUM(B70:B73)</f>
        <v>142</v>
      </c>
      <c r="C74" s="851" t="s">
        <v>168</v>
      </c>
      <c r="D74" s="851"/>
      <c r="E74" s="413">
        <f>SUM(E70:E73)</f>
        <v>88</v>
      </c>
      <c r="F74" s="852" t="s">
        <v>168</v>
      </c>
      <c r="G74" s="913"/>
      <c r="H74" s="412">
        <f>SUM(H70:H73)</f>
        <v>114</v>
      </c>
      <c r="I74" s="851" t="s">
        <v>168</v>
      </c>
      <c r="J74" s="913"/>
      <c r="K74" s="913"/>
      <c r="L74" s="413">
        <f>SUM(L70:L73)</f>
        <v>20</v>
      </c>
      <c r="M74" s="19"/>
      <c r="N74" s="19"/>
    </row>
    <row r="75" spans="1:14" s="3" customFormat="1" ht="13.5" thickBot="1">
      <c r="A75" s="421" t="s">
        <v>105</v>
      </c>
      <c r="B75" s="413">
        <f>B74-E74</f>
        <v>54</v>
      </c>
      <c r="C75" s="19"/>
      <c r="D75" s="19"/>
      <c r="E75" s="19"/>
      <c r="F75" s="916" t="s">
        <v>105</v>
      </c>
      <c r="G75" s="917"/>
      <c r="H75" s="422">
        <f>H74-L74</f>
        <v>94</v>
      </c>
      <c r="I75" s="19"/>
      <c r="J75" s="19"/>
      <c r="K75" s="19"/>
      <c r="L75" s="19"/>
      <c r="M75" s="19"/>
      <c r="N75" s="19"/>
    </row>
    <row r="76" spans="1:14" s="1" customFormat="1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s="1" customFormat="1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2" s="1" customFormat="1" ht="12.75">
      <c r="A78" s="20"/>
      <c r="B78" s="21"/>
      <c r="C78" s="21"/>
      <c r="D78" s="21"/>
      <c r="E78" s="2"/>
      <c r="F78" s="4"/>
      <c r="G78" s="4"/>
      <c r="H78" s="20"/>
      <c r="I78" s="21"/>
      <c r="J78" s="21"/>
      <c r="K78" s="21"/>
      <c r="L78" s="2"/>
    </row>
    <row r="79" spans="1:12" s="1" customFormat="1" ht="13.5" thickBot="1">
      <c r="A79" s="20"/>
      <c r="B79" s="21"/>
      <c r="C79" s="21"/>
      <c r="D79" s="21"/>
      <c r="E79" s="2"/>
      <c r="F79" s="4"/>
      <c r="G79" s="4"/>
      <c r="H79" s="20"/>
      <c r="I79" s="21"/>
      <c r="J79" s="21" t="s">
        <v>307</v>
      </c>
      <c r="K79" s="21"/>
      <c r="L79" s="2"/>
    </row>
    <row r="80" spans="1:15" s="1" customFormat="1" ht="12.75">
      <c r="A80" s="879" t="s">
        <v>227</v>
      </c>
      <c r="B80" s="882" t="s">
        <v>435</v>
      </c>
      <c r="C80" s="885" t="s">
        <v>436</v>
      </c>
      <c r="D80" s="886"/>
      <c r="E80" s="886"/>
      <c r="F80" s="886"/>
      <c r="G80" s="886"/>
      <c r="H80" s="886"/>
      <c r="I80" s="887"/>
      <c r="J80" s="888" t="s">
        <v>437</v>
      </c>
      <c r="K80" s="7"/>
      <c r="L80" s="864" t="s">
        <v>205</v>
      </c>
      <c r="M80" s="865"/>
      <c r="N80" s="59">
        <v>2006</v>
      </c>
      <c r="O80" s="60">
        <v>2007</v>
      </c>
    </row>
    <row r="81" spans="1:15" s="1" customFormat="1" ht="12.75">
      <c r="A81" s="880"/>
      <c r="B81" s="883"/>
      <c r="C81" s="891" t="s">
        <v>228</v>
      </c>
      <c r="D81" s="893" t="s">
        <v>229</v>
      </c>
      <c r="E81" s="894"/>
      <c r="F81" s="894"/>
      <c r="G81" s="894"/>
      <c r="H81" s="894"/>
      <c r="I81" s="895"/>
      <c r="J81" s="889"/>
      <c r="K81" s="7"/>
      <c r="L81" s="63" t="s">
        <v>273</v>
      </c>
      <c r="M81" s="62"/>
      <c r="N81" s="58">
        <v>0</v>
      </c>
      <c r="O81" s="61">
        <v>0</v>
      </c>
    </row>
    <row r="82" spans="1:15" s="1" customFormat="1" ht="13.5" thickBot="1">
      <c r="A82" s="881"/>
      <c r="B82" s="884"/>
      <c r="C82" s="892"/>
      <c r="D82" s="25">
        <v>1</v>
      </c>
      <c r="E82" s="25">
        <v>2</v>
      </c>
      <c r="F82" s="25">
        <v>3</v>
      </c>
      <c r="G82" s="25">
        <v>4</v>
      </c>
      <c r="H82" s="25">
        <v>5</v>
      </c>
      <c r="I82" s="56">
        <v>6</v>
      </c>
      <c r="J82" s="890"/>
      <c r="K82" s="7"/>
      <c r="L82" s="62" t="s">
        <v>206</v>
      </c>
      <c r="M82" s="63"/>
      <c r="N82" s="22">
        <v>0</v>
      </c>
      <c r="O82" s="23">
        <v>0</v>
      </c>
    </row>
    <row r="83" spans="1:15" s="1" customFormat="1" ht="13.5" thickBot="1">
      <c r="A83" s="26">
        <v>7458</v>
      </c>
      <c r="B83" s="27">
        <v>2464</v>
      </c>
      <c r="C83" s="54">
        <f>SUM(D83:I83)</f>
        <v>586</v>
      </c>
      <c r="D83" s="55">
        <v>219</v>
      </c>
      <c r="E83" s="55">
        <v>208</v>
      </c>
      <c r="F83" s="55">
        <v>0</v>
      </c>
      <c r="G83" s="55">
        <v>0</v>
      </c>
      <c r="H83" s="54">
        <v>0</v>
      </c>
      <c r="I83" s="57">
        <v>159</v>
      </c>
      <c r="J83" s="28">
        <f>SUM(A83-B83-C83)</f>
        <v>4408</v>
      </c>
      <c r="K83" s="7"/>
      <c r="L83" s="64" t="s">
        <v>207</v>
      </c>
      <c r="M83" s="65"/>
      <c r="N83" s="52">
        <v>0</v>
      </c>
      <c r="O83" s="53">
        <v>0</v>
      </c>
    </row>
    <row r="84" spans="1:12" s="1" customFormat="1" ht="12.75">
      <c r="A84" s="20"/>
      <c r="B84" s="21"/>
      <c r="C84" s="21"/>
      <c r="D84" s="21"/>
      <c r="E84" s="2"/>
      <c r="F84" s="200"/>
      <c r="G84" s="4"/>
      <c r="H84" s="20"/>
      <c r="I84" s="21"/>
      <c r="J84" s="21"/>
      <c r="K84" s="21"/>
      <c r="L84" s="2"/>
    </row>
    <row r="85" spans="1:12" s="1" customFormat="1" ht="13.5" thickBot="1">
      <c r="A85" s="20"/>
      <c r="B85" s="21"/>
      <c r="C85" s="21"/>
      <c r="D85" s="21"/>
      <c r="E85" s="2"/>
      <c r="F85" s="200"/>
      <c r="G85" s="4"/>
      <c r="H85" s="20"/>
      <c r="I85" s="21"/>
      <c r="J85" s="21"/>
      <c r="K85" s="21"/>
      <c r="L85" s="21" t="s">
        <v>307</v>
      </c>
    </row>
    <row r="86" spans="1:12" s="1" customFormat="1" ht="12.75">
      <c r="A86" s="855" t="s">
        <v>255</v>
      </c>
      <c r="B86" s="857" t="s">
        <v>438</v>
      </c>
      <c r="C86" s="859" t="s">
        <v>439</v>
      </c>
      <c r="D86" s="860"/>
      <c r="E86" s="860"/>
      <c r="F86" s="861"/>
      <c r="G86" s="862" t="s">
        <v>440</v>
      </c>
      <c r="H86" s="896" t="s">
        <v>230</v>
      </c>
      <c r="I86" s="898" t="s">
        <v>441</v>
      </c>
      <c r="J86" s="899"/>
      <c r="K86" s="899"/>
      <c r="L86" s="900"/>
    </row>
    <row r="87" spans="1:12" s="1" customFormat="1" ht="18.75" thickBot="1">
      <c r="A87" s="856"/>
      <c r="B87" s="858"/>
      <c r="C87" s="29" t="s">
        <v>321</v>
      </c>
      <c r="D87" s="30" t="s">
        <v>231</v>
      </c>
      <c r="E87" s="30" t="s">
        <v>232</v>
      </c>
      <c r="F87" s="31" t="s">
        <v>322</v>
      </c>
      <c r="G87" s="863"/>
      <c r="H87" s="897"/>
      <c r="I87" s="174" t="s">
        <v>442</v>
      </c>
      <c r="J87" s="175" t="s">
        <v>231</v>
      </c>
      <c r="K87" s="175" t="s">
        <v>232</v>
      </c>
      <c r="L87" s="176" t="s">
        <v>443</v>
      </c>
    </row>
    <row r="88" spans="1:12" s="1" customFormat="1" ht="12.75">
      <c r="A88" s="32" t="s">
        <v>233</v>
      </c>
      <c r="B88" s="33">
        <v>2046</v>
      </c>
      <c r="C88" s="34" t="s">
        <v>234</v>
      </c>
      <c r="D88" s="35" t="s">
        <v>234</v>
      </c>
      <c r="E88" s="35" t="s">
        <v>234</v>
      </c>
      <c r="F88" s="36"/>
      <c r="G88" s="37">
        <v>1338</v>
      </c>
      <c r="H88" s="171" t="s">
        <v>234</v>
      </c>
      <c r="I88" s="177" t="s">
        <v>234</v>
      </c>
      <c r="J88" s="178" t="s">
        <v>234</v>
      </c>
      <c r="K88" s="178" t="s">
        <v>234</v>
      </c>
      <c r="L88" s="179" t="s">
        <v>234</v>
      </c>
    </row>
    <row r="89" spans="1:12" s="1" customFormat="1" ht="12.75">
      <c r="A89" s="38" t="s">
        <v>235</v>
      </c>
      <c r="B89" s="39">
        <v>17</v>
      </c>
      <c r="C89" s="40">
        <v>17</v>
      </c>
      <c r="D89" s="41">
        <v>0</v>
      </c>
      <c r="E89" s="41">
        <v>0</v>
      </c>
      <c r="F89" s="42">
        <f>C89+D89-E89</f>
        <v>17</v>
      </c>
      <c r="G89" s="43">
        <v>17</v>
      </c>
      <c r="H89" s="172">
        <f>+G89-F89</f>
        <v>0</v>
      </c>
      <c r="I89" s="40">
        <v>17</v>
      </c>
      <c r="J89" s="41">
        <v>3</v>
      </c>
      <c r="K89" s="41">
        <v>0</v>
      </c>
      <c r="L89" s="42">
        <f>I89+J89-K89</f>
        <v>20</v>
      </c>
    </row>
    <row r="90" spans="1:12" s="1" customFormat="1" ht="12.75">
      <c r="A90" s="38" t="s">
        <v>236</v>
      </c>
      <c r="B90" s="39">
        <v>86</v>
      </c>
      <c r="C90" s="40">
        <v>86</v>
      </c>
      <c r="D90" s="41">
        <v>56</v>
      </c>
      <c r="E90" s="41">
        <v>88</v>
      </c>
      <c r="F90" s="42">
        <f>C90+D90-E90</f>
        <v>54</v>
      </c>
      <c r="G90" s="43">
        <v>54</v>
      </c>
      <c r="H90" s="172">
        <f>+G90-F90</f>
        <v>0</v>
      </c>
      <c r="I90" s="40">
        <v>54</v>
      </c>
      <c r="J90" s="41">
        <v>60</v>
      </c>
      <c r="K90" s="41">
        <v>20</v>
      </c>
      <c r="L90" s="42">
        <f>I90+J90-K90</f>
        <v>94</v>
      </c>
    </row>
    <row r="91" spans="1:12" s="1" customFormat="1" ht="12.75">
      <c r="A91" s="38" t="s">
        <v>256</v>
      </c>
      <c r="B91" s="39">
        <v>348</v>
      </c>
      <c r="C91" s="40">
        <v>348</v>
      </c>
      <c r="D91" s="41">
        <v>529</v>
      </c>
      <c r="E91" s="41">
        <v>737</v>
      </c>
      <c r="F91" s="42">
        <f>C91+D91-E91</f>
        <v>140</v>
      </c>
      <c r="G91" s="43">
        <v>140</v>
      </c>
      <c r="H91" s="172">
        <f>+G91-F91</f>
        <v>0</v>
      </c>
      <c r="I91" s="180">
        <v>140</v>
      </c>
      <c r="J91" s="170">
        <v>586</v>
      </c>
      <c r="K91" s="170">
        <v>680</v>
      </c>
      <c r="L91" s="42">
        <f>I91+J91-K91</f>
        <v>46</v>
      </c>
    </row>
    <row r="92" spans="1:12" s="1" customFormat="1" ht="12.75">
      <c r="A92" s="38" t="s">
        <v>237</v>
      </c>
      <c r="B92" s="39">
        <v>1595</v>
      </c>
      <c r="C92" s="50" t="s">
        <v>234</v>
      </c>
      <c r="D92" s="35" t="s">
        <v>234</v>
      </c>
      <c r="E92" s="51" t="s">
        <v>234</v>
      </c>
      <c r="F92" s="42"/>
      <c r="G92" s="43">
        <v>1127</v>
      </c>
      <c r="H92" s="50" t="s">
        <v>234</v>
      </c>
      <c r="I92" s="34"/>
      <c r="J92" s="35"/>
      <c r="K92" s="35"/>
      <c r="L92" s="181">
        <v>0</v>
      </c>
    </row>
    <row r="93" spans="1:12" s="1" customFormat="1" ht="13.5" thickBot="1">
      <c r="A93" s="44" t="s">
        <v>238</v>
      </c>
      <c r="B93" s="45">
        <v>20</v>
      </c>
      <c r="C93" s="46">
        <v>14</v>
      </c>
      <c r="D93" s="47">
        <v>131</v>
      </c>
      <c r="E93" s="47">
        <v>116</v>
      </c>
      <c r="F93" s="48">
        <f>C93+D93-E93</f>
        <v>29</v>
      </c>
      <c r="G93" s="49">
        <v>28</v>
      </c>
      <c r="H93" s="173">
        <f>+G93-F93</f>
        <v>-1</v>
      </c>
      <c r="I93" s="46">
        <v>29</v>
      </c>
      <c r="J93" s="47">
        <v>158</v>
      </c>
      <c r="K93" s="47">
        <v>147</v>
      </c>
      <c r="L93" s="48">
        <f>I93+J93-K93</f>
        <v>40</v>
      </c>
    </row>
    <row r="94" spans="1:12" s="1" customFormat="1" ht="12.75">
      <c r="A94" s="20"/>
      <c r="B94" s="21"/>
      <c r="C94" s="21"/>
      <c r="D94" s="21"/>
      <c r="E94" s="2"/>
      <c r="F94" s="200"/>
      <c r="G94" s="4"/>
      <c r="H94" s="20"/>
      <c r="I94" s="21"/>
      <c r="J94" s="21"/>
      <c r="K94" s="21"/>
      <c r="L94" s="2"/>
    </row>
    <row r="95" spans="1:12" s="1" customFormat="1" ht="12.75">
      <c r="A95" s="20"/>
      <c r="B95" s="21"/>
      <c r="C95" s="21"/>
      <c r="D95" s="21"/>
      <c r="E95" s="2"/>
      <c r="F95" s="200"/>
      <c r="G95" s="4"/>
      <c r="H95" s="20"/>
      <c r="I95" s="21"/>
      <c r="J95" s="21"/>
      <c r="K95" s="21"/>
      <c r="L95" s="2"/>
    </row>
    <row r="96" spans="1:12" s="1" customFormat="1" ht="12.75">
      <c r="A96" s="20"/>
      <c r="B96" s="21"/>
      <c r="C96" s="21"/>
      <c r="D96" s="21"/>
      <c r="E96" s="2"/>
      <c r="F96" s="200"/>
      <c r="G96" s="4"/>
      <c r="H96" s="20"/>
      <c r="I96" s="21"/>
      <c r="J96" s="21"/>
      <c r="K96" s="21"/>
      <c r="L96" s="2"/>
    </row>
    <row r="97" spans="1:12" s="1" customFormat="1" ht="12.75">
      <c r="A97" s="20"/>
      <c r="B97" s="21"/>
      <c r="C97" s="21"/>
      <c r="D97" s="21"/>
      <c r="E97" s="2"/>
      <c r="F97" s="4"/>
      <c r="G97" s="4"/>
      <c r="H97" s="20"/>
      <c r="I97" s="21"/>
      <c r="J97" s="21"/>
      <c r="K97" s="21"/>
      <c r="L97" s="2"/>
    </row>
    <row r="98" spans="1:12" s="1" customFormat="1" ht="12.75">
      <c r="A98" s="20"/>
      <c r="B98" s="21"/>
      <c r="C98" s="21"/>
      <c r="D98" s="21"/>
      <c r="E98" s="2"/>
      <c r="F98" s="4"/>
      <c r="G98" s="4"/>
      <c r="H98" s="20"/>
      <c r="I98" s="21"/>
      <c r="J98" s="21"/>
      <c r="K98" s="21"/>
      <c r="L98" s="2"/>
    </row>
    <row r="99" spans="8:12" ht="13.5" thickBot="1">
      <c r="H99" s="21" t="s">
        <v>307</v>
      </c>
      <c r="L99" s="21" t="s">
        <v>307</v>
      </c>
    </row>
    <row r="100" spans="1:12" ht="13.5" thickBot="1">
      <c r="A100" s="823" t="s">
        <v>444</v>
      </c>
      <c r="B100" s="824" t="s">
        <v>168</v>
      </c>
      <c r="C100" s="810" t="s">
        <v>239</v>
      </c>
      <c r="D100" s="810"/>
      <c r="E100" s="810"/>
      <c r="F100" s="810"/>
      <c r="G100" s="810"/>
      <c r="H100" s="810"/>
      <c r="I100" s="24"/>
      <c r="J100" s="825" t="s">
        <v>208</v>
      </c>
      <c r="K100" s="825"/>
      <c r="L100" s="825"/>
    </row>
    <row r="101" spans="1:12" ht="13.5" thickBot="1">
      <c r="A101" s="823"/>
      <c r="B101" s="824"/>
      <c r="C101" s="126" t="s">
        <v>240</v>
      </c>
      <c r="D101" s="127" t="s">
        <v>241</v>
      </c>
      <c r="E101" s="127" t="s">
        <v>242</v>
      </c>
      <c r="F101" s="127" t="s">
        <v>243</v>
      </c>
      <c r="G101" s="128" t="s">
        <v>244</v>
      </c>
      <c r="H101" s="129" t="s">
        <v>228</v>
      </c>
      <c r="I101" s="24"/>
      <c r="J101" s="130"/>
      <c r="K101" s="131" t="s">
        <v>209</v>
      </c>
      <c r="L101" s="132" t="s">
        <v>210</v>
      </c>
    </row>
    <row r="102" spans="1:12" ht="12.75">
      <c r="A102" s="133" t="s">
        <v>245</v>
      </c>
      <c r="B102" s="134">
        <v>204</v>
      </c>
      <c r="C102" s="135">
        <v>0</v>
      </c>
      <c r="D102" s="135">
        <v>0</v>
      </c>
      <c r="E102" s="135">
        <v>0</v>
      </c>
      <c r="F102" s="135">
        <v>0</v>
      </c>
      <c r="G102" s="134">
        <v>0</v>
      </c>
      <c r="H102" s="136">
        <f>SUM(C102:G102)</f>
        <v>0</v>
      </c>
      <c r="I102" s="24"/>
      <c r="J102" s="137">
        <v>2007</v>
      </c>
      <c r="K102" s="138">
        <v>6620</v>
      </c>
      <c r="L102" s="139">
        <f>+G30</f>
        <v>6612</v>
      </c>
    </row>
    <row r="103" spans="1:12" ht="13.5" thickBot="1">
      <c r="A103" s="140" t="s">
        <v>246</v>
      </c>
      <c r="B103" s="141">
        <v>1534</v>
      </c>
      <c r="C103" s="142">
        <v>0</v>
      </c>
      <c r="D103" s="142">
        <v>0</v>
      </c>
      <c r="E103" s="142">
        <v>0</v>
      </c>
      <c r="F103" s="142">
        <v>0</v>
      </c>
      <c r="G103" s="141">
        <v>0</v>
      </c>
      <c r="H103" s="143">
        <f>SUM(C103:G103)</f>
        <v>0</v>
      </c>
      <c r="I103" s="24"/>
      <c r="J103" s="144">
        <v>2008</v>
      </c>
      <c r="K103" s="145">
        <f>L30</f>
        <v>7923</v>
      </c>
      <c r="L103" s="146"/>
    </row>
    <row r="104" ht="12.75" customHeight="1"/>
    <row r="105" ht="13.5" thickBot="1">
      <c r="J105" s="208" t="s">
        <v>323</v>
      </c>
    </row>
    <row r="106" spans="1:10" ht="21" customHeight="1" thickBot="1">
      <c r="A106" s="823" t="s">
        <v>211</v>
      </c>
      <c r="B106" s="826" t="s">
        <v>212</v>
      </c>
      <c r="C106" s="826"/>
      <c r="D106" s="826"/>
      <c r="E106" s="827" t="s">
        <v>274</v>
      </c>
      <c r="F106" s="827"/>
      <c r="G106" s="827"/>
      <c r="H106" s="828" t="s">
        <v>213</v>
      </c>
      <c r="I106" s="828"/>
      <c r="J106" s="828"/>
    </row>
    <row r="107" spans="1:10" ht="12.75">
      <c r="A107" s="823"/>
      <c r="B107" s="147">
        <v>2006</v>
      </c>
      <c r="C107" s="147">
        <v>2007</v>
      </c>
      <c r="D107" s="147" t="s">
        <v>214</v>
      </c>
      <c r="E107" s="147">
        <v>2006</v>
      </c>
      <c r="F107" s="147">
        <v>2007</v>
      </c>
      <c r="G107" s="148" t="s">
        <v>214</v>
      </c>
      <c r="H107" s="149">
        <v>2006</v>
      </c>
      <c r="I107" s="147">
        <v>2007</v>
      </c>
      <c r="J107" s="148" t="s">
        <v>214</v>
      </c>
    </row>
    <row r="108" spans="1:10" ht="18.75">
      <c r="A108" s="150" t="s">
        <v>215</v>
      </c>
      <c r="B108" s="151">
        <v>3</v>
      </c>
      <c r="C108" s="151">
        <v>3.8</v>
      </c>
      <c r="D108" s="151">
        <f aca="true" t="shared" si="14" ref="D108:D118">+C108-B108</f>
        <v>0.7999999999999998</v>
      </c>
      <c r="E108" s="151">
        <v>3</v>
      </c>
      <c r="F108" s="151">
        <v>3.8</v>
      </c>
      <c r="G108" s="152">
        <f aca="true" t="shared" si="15" ref="G108:G118">+F108-E108</f>
        <v>0.7999999999999998</v>
      </c>
      <c r="H108" s="153">
        <v>28351</v>
      </c>
      <c r="I108" s="154">
        <v>25243</v>
      </c>
      <c r="J108" s="155">
        <f aca="true" t="shared" si="16" ref="J108:J118">+I108-H108</f>
        <v>-3108</v>
      </c>
    </row>
    <row r="109" spans="1:10" ht="12.75">
      <c r="A109" s="150" t="s">
        <v>248</v>
      </c>
      <c r="B109" s="151">
        <v>6.6</v>
      </c>
      <c r="C109" s="151">
        <v>6.3</v>
      </c>
      <c r="D109" s="151">
        <f t="shared" si="14"/>
        <v>-0.2999999999999998</v>
      </c>
      <c r="E109" s="151">
        <v>5.8</v>
      </c>
      <c r="F109" s="151">
        <v>7</v>
      </c>
      <c r="G109" s="152">
        <f t="shared" si="15"/>
        <v>1.2000000000000002</v>
      </c>
      <c r="H109" s="153">
        <v>23036</v>
      </c>
      <c r="I109" s="156">
        <v>23320</v>
      </c>
      <c r="J109" s="155">
        <f t="shared" si="16"/>
        <v>284</v>
      </c>
    </row>
    <row r="110" spans="1:10" ht="12.75">
      <c r="A110" s="150" t="s">
        <v>216</v>
      </c>
      <c r="B110" s="151">
        <v>1</v>
      </c>
      <c r="C110" s="151">
        <v>0</v>
      </c>
      <c r="D110" s="151">
        <f t="shared" si="14"/>
        <v>-1</v>
      </c>
      <c r="E110" s="151">
        <v>1</v>
      </c>
      <c r="F110" s="151">
        <v>0</v>
      </c>
      <c r="G110" s="152">
        <f t="shared" si="15"/>
        <v>-1</v>
      </c>
      <c r="H110" s="153">
        <v>15536</v>
      </c>
      <c r="I110" s="156">
        <v>0</v>
      </c>
      <c r="J110" s="155">
        <f t="shared" si="16"/>
        <v>-15536</v>
      </c>
    </row>
    <row r="111" spans="1:10" ht="12.75">
      <c r="A111" s="150" t="s">
        <v>217</v>
      </c>
      <c r="B111" s="151">
        <v>1</v>
      </c>
      <c r="C111" s="151">
        <v>2.9</v>
      </c>
      <c r="D111" s="151">
        <f t="shared" si="14"/>
        <v>1.9</v>
      </c>
      <c r="E111" s="151">
        <v>1</v>
      </c>
      <c r="F111" s="151">
        <v>2</v>
      </c>
      <c r="G111" s="152">
        <f t="shared" si="15"/>
        <v>1</v>
      </c>
      <c r="H111" s="153">
        <v>16114</v>
      </c>
      <c r="I111" s="156">
        <v>12922</v>
      </c>
      <c r="J111" s="155">
        <f t="shared" si="16"/>
        <v>-3192</v>
      </c>
    </row>
    <row r="112" spans="1:10" ht="12.75">
      <c r="A112" s="150" t="s">
        <v>299</v>
      </c>
      <c r="B112" s="151">
        <v>0</v>
      </c>
      <c r="C112" s="151">
        <v>0</v>
      </c>
      <c r="D112" s="151">
        <f t="shared" si="14"/>
        <v>0</v>
      </c>
      <c r="E112" s="151">
        <v>0</v>
      </c>
      <c r="F112" s="151">
        <v>0</v>
      </c>
      <c r="G112" s="152">
        <f t="shared" si="15"/>
        <v>0</v>
      </c>
      <c r="H112" s="153">
        <v>0</v>
      </c>
      <c r="I112" s="156">
        <v>0</v>
      </c>
      <c r="J112" s="155">
        <f t="shared" si="16"/>
        <v>0</v>
      </c>
    </row>
    <row r="113" spans="1:10" ht="12.75">
      <c r="A113" s="150" t="s">
        <v>297</v>
      </c>
      <c r="B113" s="151">
        <v>0</v>
      </c>
      <c r="C113" s="151">
        <v>0</v>
      </c>
      <c r="D113" s="151">
        <f t="shared" si="14"/>
        <v>0</v>
      </c>
      <c r="E113" s="151">
        <v>0</v>
      </c>
      <c r="F113" s="151">
        <v>0</v>
      </c>
      <c r="G113" s="152">
        <f t="shared" si="15"/>
        <v>0</v>
      </c>
      <c r="H113" s="153">
        <v>0</v>
      </c>
      <c r="I113" s="156">
        <v>0</v>
      </c>
      <c r="J113" s="155">
        <f t="shared" si="16"/>
        <v>0</v>
      </c>
    </row>
    <row r="114" spans="1:10" ht="12.75">
      <c r="A114" s="150" t="s">
        <v>325</v>
      </c>
      <c r="B114" s="151">
        <v>4.8</v>
      </c>
      <c r="C114" s="151">
        <v>4.6</v>
      </c>
      <c r="D114" s="151">
        <f t="shared" si="14"/>
        <v>-0.20000000000000018</v>
      </c>
      <c r="E114" s="151">
        <v>4.8</v>
      </c>
      <c r="F114" s="151">
        <v>4.6</v>
      </c>
      <c r="G114" s="152">
        <f t="shared" si="15"/>
        <v>-0.20000000000000018</v>
      </c>
      <c r="H114" s="153">
        <v>10125</v>
      </c>
      <c r="I114" s="156">
        <v>10545</v>
      </c>
      <c r="J114" s="155">
        <f t="shared" si="16"/>
        <v>420</v>
      </c>
    </row>
    <row r="115" spans="1:10" ht="12.75">
      <c r="A115" s="150" t="s">
        <v>219</v>
      </c>
      <c r="B115" s="151">
        <v>9.7</v>
      </c>
      <c r="C115" s="151">
        <v>9.9</v>
      </c>
      <c r="D115" s="151">
        <f t="shared" si="14"/>
        <v>0.20000000000000107</v>
      </c>
      <c r="E115" s="151">
        <v>9</v>
      </c>
      <c r="F115" s="151">
        <v>10.7</v>
      </c>
      <c r="G115" s="152">
        <f t="shared" si="15"/>
        <v>1.6999999999999993</v>
      </c>
      <c r="H115" s="153">
        <v>11887</v>
      </c>
      <c r="I115" s="156">
        <v>12031</v>
      </c>
      <c r="J115" s="155">
        <f t="shared" si="16"/>
        <v>144</v>
      </c>
    </row>
    <row r="116" spans="1:10" ht="12.75">
      <c r="A116" s="150" t="s">
        <v>220</v>
      </c>
      <c r="B116" s="151">
        <v>1</v>
      </c>
      <c r="C116" s="151">
        <v>1</v>
      </c>
      <c r="D116" s="151">
        <f t="shared" si="14"/>
        <v>0</v>
      </c>
      <c r="E116" s="151">
        <v>1</v>
      </c>
      <c r="F116" s="151">
        <v>1</v>
      </c>
      <c r="G116" s="152">
        <f t="shared" si="15"/>
        <v>0</v>
      </c>
      <c r="H116" s="153">
        <v>13547</v>
      </c>
      <c r="I116" s="156">
        <v>21608</v>
      </c>
      <c r="J116" s="155">
        <f t="shared" si="16"/>
        <v>8061</v>
      </c>
    </row>
    <row r="117" spans="1:10" ht="12.75">
      <c r="A117" s="150" t="s">
        <v>221</v>
      </c>
      <c r="B117" s="151">
        <v>7.8</v>
      </c>
      <c r="C117" s="151">
        <v>8</v>
      </c>
      <c r="D117" s="151">
        <f t="shared" si="14"/>
        <v>0.20000000000000018</v>
      </c>
      <c r="E117" s="151">
        <v>7.5</v>
      </c>
      <c r="F117" s="151">
        <v>8</v>
      </c>
      <c r="G117" s="152">
        <f t="shared" si="15"/>
        <v>0.5</v>
      </c>
      <c r="H117" s="153">
        <v>10713</v>
      </c>
      <c r="I117" s="156">
        <v>10115</v>
      </c>
      <c r="J117" s="155">
        <f t="shared" si="16"/>
        <v>-598</v>
      </c>
    </row>
    <row r="118" spans="1:10" ht="13.5" thickBot="1">
      <c r="A118" s="157" t="s">
        <v>168</v>
      </c>
      <c r="B118" s="158">
        <v>34.9</v>
      </c>
      <c r="C118" s="158">
        <v>36.5</v>
      </c>
      <c r="D118" s="158">
        <f t="shared" si="14"/>
        <v>1.6000000000000014</v>
      </c>
      <c r="E118" s="158">
        <v>33.1</v>
      </c>
      <c r="F118" s="158">
        <v>37.1</v>
      </c>
      <c r="G118" s="159">
        <f t="shared" si="15"/>
        <v>4</v>
      </c>
      <c r="H118" s="160"/>
      <c r="I118" s="161"/>
      <c r="J118" s="162">
        <f t="shared" si="16"/>
        <v>0</v>
      </c>
    </row>
    <row r="119" ht="13.5" thickBot="1"/>
    <row r="120" spans="1:16" ht="12.75">
      <c r="A120" s="829" t="s">
        <v>222</v>
      </c>
      <c r="B120" s="829"/>
      <c r="C120" s="829"/>
      <c r="D120" s="24"/>
      <c r="E120" s="829" t="s">
        <v>223</v>
      </c>
      <c r="F120" s="829"/>
      <c r="G120" s="829"/>
      <c r="H120"/>
      <c r="I120"/>
      <c r="J120"/>
      <c r="K120"/>
      <c r="L120"/>
      <c r="M120"/>
      <c r="N120"/>
      <c r="O120"/>
      <c r="P120"/>
    </row>
    <row r="121" spans="1:16" ht="13.5" thickBot="1">
      <c r="A121" s="130" t="s">
        <v>224</v>
      </c>
      <c r="B121" s="131" t="s">
        <v>225</v>
      </c>
      <c r="C121" s="132" t="s">
        <v>210</v>
      </c>
      <c r="D121" s="24"/>
      <c r="E121" s="130"/>
      <c r="F121" s="832" t="s">
        <v>226</v>
      </c>
      <c r="G121" s="832"/>
      <c r="H121"/>
      <c r="I121"/>
      <c r="J121"/>
      <c r="K121"/>
      <c r="L121"/>
      <c r="M121"/>
      <c r="N121"/>
      <c r="O121"/>
      <c r="P121"/>
    </row>
    <row r="122" spans="1:16" ht="12.75">
      <c r="A122" s="137">
        <v>2007</v>
      </c>
      <c r="B122" s="138">
        <v>36</v>
      </c>
      <c r="C122" s="139">
        <v>37.2</v>
      </c>
      <c r="D122" s="24"/>
      <c r="E122" s="137">
        <v>2007</v>
      </c>
      <c r="F122" s="830">
        <v>69</v>
      </c>
      <c r="G122" s="830"/>
      <c r="H122"/>
      <c r="I122"/>
      <c r="J122"/>
      <c r="K122"/>
      <c r="L122"/>
      <c r="M122"/>
      <c r="N122"/>
      <c r="O122"/>
      <c r="P122"/>
    </row>
    <row r="123" spans="1:16" ht="13.5" thickBot="1">
      <c r="A123" s="144">
        <v>2008</v>
      </c>
      <c r="B123" s="145">
        <v>39</v>
      </c>
      <c r="C123" s="146"/>
      <c r="D123" s="24"/>
      <c r="E123" s="144">
        <v>2008</v>
      </c>
      <c r="F123" s="831">
        <v>69</v>
      </c>
      <c r="G123" s="831"/>
      <c r="H123"/>
      <c r="I123"/>
      <c r="J123"/>
      <c r="K123"/>
      <c r="L123"/>
      <c r="M123"/>
      <c r="N123"/>
      <c r="O123"/>
      <c r="P123"/>
    </row>
  </sheetData>
  <mergeCells count="123">
    <mergeCell ref="C74:D74"/>
    <mergeCell ref="F74:G74"/>
    <mergeCell ref="I74:K74"/>
    <mergeCell ref="F75:G75"/>
    <mergeCell ref="C72:D72"/>
    <mergeCell ref="F72:G72"/>
    <mergeCell ref="I72:K72"/>
    <mergeCell ref="C73:D73"/>
    <mergeCell ref="F73:G73"/>
    <mergeCell ref="I73:K73"/>
    <mergeCell ref="C70:D70"/>
    <mergeCell ref="F70:G70"/>
    <mergeCell ref="I70:K70"/>
    <mergeCell ref="C71:D71"/>
    <mergeCell ref="F71:G71"/>
    <mergeCell ref="I71:K71"/>
    <mergeCell ref="A68:E68"/>
    <mergeCell ref="F68:L68"/>
    <mergeCell ref="C69:D69"/>
    <mergeCell ref="F69:G69"/>
    <mergeCell ref="I69:K69"/>
    <mergeCell ref="F123:G123"/>
    <mergeCell ref="A120:C120"/>
    <mergeCell ref="E120:G120"/>
    <mergeCell ref="F121:G121"/>
    <mergeCell ref="F122:G122"/>
    <mergeCell ref="J100:L100"/>
    <mergeCell ref="A106:A107"/>
    <mergeCell ref="B106:D106"/>
    <mergeCell ref="E106:G106"/>
    <mergeCell ref="H106:J106"/>
    <mergeCell ref="L80:M80"/>
    <mergeCell ref="C81:C82"/>
    <mergeCell ref="D81:I81"/>
    <mergeCell ref="A86:A87"/>
    <mergeCell ref="B86:B87"/>
    <mergeCell ref="C86:F86"/>
    <mergeCell ref="G86:G87"/>
    <mergeCell ref="H86:H87"/>
    <mergeCell ref="I86:L86"/>
    <mergeCell ref="A80:A82"/>
    <mergeCell ref="D64:F64"/>
    <mergeCell ref="H64:K64"/>
    <mergeCell ref="A65:B65"/>
    <mergeCell ref="D65:F65"/>
    <mergeCell ref="H65:K65"/>
    <mergeCell ref="H55:K56"/>
    <mergeCell ref="L55:L56"/>
    <mergeCell ref="A63:B63"/>
    <mergeCell ref="D63:F63"/>
    <mergeCell ref="H63:K63"/>
    <mergeCell ref="A55:B56"/>
    <mergeCell ref="C55:C56"/>
    <mergeCell ref="D55:F56"/>
    <mergeCell ref="G55:G56"/>
    <mergeCell ref="A57:B57"/>
    <mergeCell ref="H52:K52"/>
    <mergeCell ref="A53:B53"/>
    <mergeCell ref="D53:F53"/>
    <mergeCell ref="H53:K53"/>
    <mergeCell ref="A52:B52"/>
    <mergeCell ref="D52:F52"/>
    <mergeCell ref="H44:K45"/>
    <mergeCell ref="L44:L45"/>
    <mergeCell ref="A51:B51"/>
    <mergeCell ref="D51:F51"/>
    <mergeCell ref="H51:K51"/>
    <mergeCell ref="A44:B45"/>
    <mergeCell ref="C44:C45"/>
    <mergeCell ref="D44:F45"/>
    <mergeCell ref="G44:G45"/>
    <mergeCell ref="D46:F46"/>
    <mergeCell ref="A1:N1"/>
    <mergeCell ref="J39:L39"/>
    <mergeCell ref="B40:D40"/>
    <mergeCell ref="E40:G40"/>
    <mergeCell ref="A3:A6"/>
    <mergeCell ref="B3:N3"/>
    <mergeCell ref="H4:I4"/>
    <mergeCell ref="M4:N4"/>
    <mergeCell ref="B4:D4"/>
    <mergeCell ref="E4:G4"/>
    <mergeCell ref="D57:F57"/>
    <mergeCell ref="A60:B60"/>
    <mergeCell ref="D60:F60"/>
    <mergeCell ref="H57:K57"/>
    <mergeCell ref="A58:B58"/>
    <mergeCell ref="D58:F58"/>
    <mergeCell ref="H58:K58"/>
    <mergeCell ref="A59:B59"/>
    <mergeCell ref="D59:F59"/>
    <mergeCell ref="H59:K59"/>
    <mergeCell ref="H46:K46"/>
    <mergeCell ref="A50:B50"/>
    <mergeCell ref="D50:F50"/>
    <mergeCell ref="H50:K50"/>
    <mergeCell ref="A48:B48"/>
    <mergeCell ref="D48:F48"/>
    <mergeCell ref="H48:K48"/>
    <mergeCell ref="J4:L4"/>
    <mergeCell ref="B39:D39"/>
    <mergeCell ref="E39:G39"/>
    <mergeCell ref="A49:B49"/>
    <mergeCell ref="D49:F49"/>
    <mergeCell ref="H49:K49"/>
    <mergeCell ref="A47:B47"/>
    <mergeCell ref="D47:F47"/>
    <mergeCell ref="H47:K47"/>
    <mergeCell ref="A46:B46"/>
    <mergeCell ref="H60:K60"/>
    <mergeCell ref="A61:B61"/>
    <mergeCell ref="D61:F61"/>
    <mergeCell ref="H61:K61"/>
    <mergeCell ref="A62:B62"/>
    <mergeCell ref="D62:F62"/>
    <mergeCell ref="H62:K62"/>
    <mergeCell ref="A100:A101"/>
    <mergeCell ref="B100:B101"/>
    <mergeCell ref="C100:H100"/>
    <mergeCell ref="B80:B82"/>
    <mergeCell ref="C80:I80"/>
    <mergeCell ref="J80:J82"/>
    <mergeCell ref="A64:B64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2" r:id="rId1"/>
  <headerFooter alignWithMargins="0">
    <oddFooter>&amp;C&amp;P</oddFooter>
  </headerFooter>
  <rowBreaks count="1" manualBreakCount="1">
    <brk id="75" max="1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SheetLayoutView="100" workbookViewId="0" topLeftCell="A1">
      <selection activeCell="K14" sqref="K14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875"/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307</v>
      </c>
    </row>
    <row r="3" spans="1:14" ht="24" customHeight="1" thickBot="1">
      <c r="A3" s="876" t="s">
        <v>165</v>
      </c>
      <c r="B3" s="792" t="s">
        <v>400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4" ht="14.25" thickBot="1" thickTop="1">
      <c r="A4" s="876"/>
      <c r="B4" s="790" t="s">
        <v>308</v>
      </c>
      <c r="C4" s="790"/>
      <c r="D4" s="790"/>
      <c r="E4" s="790" t="s">
        <v>417</v>
      </c>
      <c r="F4" s="790"/>
      <c r="G4" s="790"/>
      <c r="H4" s="793" t="s">
        <v>309</v>
      </c>
      <c r="I4" s="793"/>
      <c r="J4" s="790" t="s">
        <v>418</v>
      </c>
      <c r="K4" s="790"/>
      <c r="L4" s="790"/>
      <c r="M4" s="790" t="s">
        <v>419</v>
      </c>
      <c r="N4" s="790"/>
    </row>
    <row r="5" spans="1:14" ht="14.25" thickBot="1" thickTop="1">
      <c r="A5" s="876"/>
      <c r="B5" s="66" t="s">
        <v>166</v>
      </c>
      <c r="C5" s="67" t="s">
        <v>167</v>
      </c>
      <c r="D5" s="68" t="s">
        <v>168</v>
      </c>
      <c r="E5" s="66" t="s">
        <v>166</v>
      </c>
      <c r="F5" s="67" t="s">
        <v>167</v>
      </c>
      <c r="G5" s="68" t="s">
        <v>168</v>
      </c>
      <c r="H5" s="69" t="s">
        <v>168</v>
      </c>
      <c r="I5" s="69" t="s">
        <v>169</v>
      </c>
      <c r="J5" s="70" t="s">
        <v>166</v>
      </c>
      <c r="K5" s="67" t="s">
        <v>167</v>
      </c>
      <c r="L5" s="68" t="s">
        <v>168</v>
      </c>
      <c r="M5" s="69" t="s">
        <v>168</v>
      </c>
      <c r="N5" s="68" t="s">
        <v>169</v>
      </c>
    </row>
    <row r="6" spans="1:14" ht="14.25" thickBot="1" thickTop="1">
      <c r="A6" s="791"/>
      <c r="B6" s="183" t="s">
        <v>170</v>
      </c>
      <c r="C6" s="184" t="s">
        <v>170</v>
      </c>
      <c r="D6" s="185"/>
      <c r="E6" s="183" t="s">
        <v>170</v>
      </c>
      <c r="F6" s="184" t="s">
        <v>170</v>
      </c>
      <c r="G6" s="185"/>
      <c r="H6" s="189" t="s">
        <v>171</v>
      </c>
      <c r="I6" s="189" t="s">
        <v>172</v>
      </c>
      <c r="J6" s="197" t="s">
        <v>170</v>
      </c>
      <c r="K6" s="184" t="s">
        <v>170</v>
      </c>
      <c r="L6" s="185"/>
      <c r="M6" s="189" t="s">
        <v>171</v>
      </c>
      <c r="N6" s="185" t="s">
        <v>172</v>
      </c>
    </row>
    <row r="7" spans="1:14" ht="13.5" customHeight="1">
      <c r="A7" s="274" t="s">
        <v>173</v>
      </c>
      <c r="B7" s="163"/>
      <c r="C7" s="164"/>
      <c r="D7" s="167">
        <f aca="true" t="shared" si="0" ref="D7:D18">SUM(B7:C7)</f>
        <v>0</v>
      </c>
      <c r="E7" s="163"/>
      <c r="F7" s="164"/>
      <c r="G7" s="167">
        <f aca="true" t="shared" si="1" ref="G7:G18">SUM(E7:F7)</f>
        <v>0</v>
      </c>
      <c r="H7" s="191">
        <f aca="true" t="shared" si="2" ref="H7:H38">+G7-D7</f>
        <v>0</v>
      </c>
      <c r="I7" s="195"/>
      <c r="J7" s="163"/>
      <c r="K7" s="164"/>
      <c r="L7" s="167">
        <f aca="true" t="shared" si="3" ref="L7:L18">SUM(J7:K7)</f>
        <v>0</v>
      </c>
      <c r="M7" s="191">
        <f aca="true" t="shared" si="4" ref="M7:M38">+L7-G7</f>
        <v>0</v>
      </c>
      <c r="N7" s="192"/>
    </row>
    <row r="8" spans="1:14" ht="13.5" customHeight="1">
      <c r="A8" s="275" t="s">
        <v>174</v>
      </c>
      <c r="B8" s="14">
        <v>3251</v>
      </c>
      <c r="C8" s="13"/>
      <c r="D8" s="168">
        <f t="shared" si="0"/>
        <v>3251</v>
      </c>
      <c r="E8" s="14">
        <v>5437</v>
      </c>
      <c r="F8" s="13"/>
      <c r="G8" s="168">
        <f t="shared" si="1"/>
        <v>5437</v>
      </c>
      <c r="H8" s="193">
        <f t="shared" si="2"/>
        <v>2186</v>
      </c>
      <c r="I8" s="196">
        <f aca="true" t="shared" si="5" ref="I8:I22">+G8/D8</f>
        <v>1.6724084896954783</v>
      </c>
      <c r="J8" s="14">
        <v>5900</v>
      </c>
      <c r="K8" s="13"/>
      <c r="L8" s="168">
        <f t="shared" si="3"/>
        <v>5900</v>
      </c>
      <c r="M8" s="193">
        <f t="shared" si="4"/>
        <v>463</v>
      </c>
      <c r="N8" s="194">
        <f aca="true" t="shared" si="6" ref="N8:N22">+L8/G8</f>
        <v>1.0851572558396174</v>
      </c>
    </row>
    <row r="9" spans="1:14" ht="13.5" customHeight="1">
      <c r="A9" s="275" t="s">
        <v>175</v>
      </c>
      <c r="B9" s="14"/>
      <c r="C9" s="13"/>
      <c r="D9" s="168">
        <f t="shared" si="0"/>
        <v>0</v>
      </c>
      <c r="E9" s="14"/>
      <c r="F9" s="13"/>
      <c r="G9" s="168">
        <f t="shared" si="1"/>
        <v>0</v>
      </c>
      <c r="H9" s="193">
        <f t="shared" si="2"/>
        <v>0</v>
      </c>
      <c r="I9" s="196"/>
      <c r="J9" s="14"/>
      <c r="K9" s="13"/>
      <c r="L9" s="168">
        <f t="shared" si="3"/>
        <v>0</v>
      </c>
      <c r="M9" s="193">
        <f t="shared" si="4"/>
        <v>0</v>
      </c>
      <c r="N9" s="194"/>
    </row>
    <row r="10" spans="1:14" ht="13.5" customHeight="1">
      <c r="A10" s="275" t="s">
        <v>176</v>
      </c>
      <c r="B10" s="14"/>
      <c r="C10" s="13"/>
      <c r="D10" s="168">
        <f t="shared" si="0"/>
        <v>0</v>
      </c>
      <c r="E10" s="14"/>
      <c r="F10" s="13"/>
      <c r="G10" s="168">
        <f t="shared" si="1"/>
        <v>0</v>
      </c>
      <c r="H10" s="193">
        <f t="shared" si="2"/>
        <v>0</v>
      </c>
      <c r="I10" s="196"/>
      <c r="J10" s="14"/>
      <c r="K10" s="13"/>
      <c r="L10" s="168">
        <f t="shared" si="3"/>
        <v>0</v>
      </c>
      <c r="M10" s="193">
        <f t="shared" si="4"/>
        <v>0</v>
      </c>
      <c r="N10" s="194"/>
    </row>
    <row r="11" spans="1:14" ht="13.5" customHeight="1">
      <c r="A11" s="275" t="s">
        <v>177</v>
      </c>
      <c r="B11" s="14"/>
      <c r="C11" s="13"/>
      <c r="D11" s="168">
        <f t="shared" si="0"/>
        <v>0</v>
      </c>
      <c r="E11" s="14"/>
      <c r="F11" s="13"/>
      <c r="G11" s="168">
        <f t="shared" si="1"/>
        <v>0</v>
      </c>
      <c r="H11" s="193">
        <f t="shared" si="2"/>
        <v>0</v>
      </c>
      <c r="I11" s="196"/>
      <c r="J11" s="14"/>
      <c r="K11" s="13"/>
      <c r="L11" s="168">
        <f t="shared" si="3"/>
        <v>0</v>
      </c>
      <c r="M11" s="193">
        <f t="shared" si="4"/>
        <v>0</v>
      </c>
      <c r="N11" s="194"/>
    </row>
    <row r="12" spans="1:14" ht="13.5" customHeight="1">
      <c r="A12" s="276" t="s">
        <v>178</v>
      </c>
      <c r="B12" s="14"/>
      <c r="C12" s="13"/>
      <c r="D12" s="168">
        <f t="shared" si="0"/>
        <v>0</v>
      </c>
      <c r="E12" s="14"/>
      <c r="F12" s="13"/>
      <c r="G12" s="168">
        <f t="shared" si="1"/>
        <v>0</v>
      </c>
      <c r="H12" s="193">
        <f t="shared" si="2"/>
        <v>0</v>
      </c>
      <c r="I12" s="196"/>
      <c r="J12" s="14"/>
      <c r="K12" s="13"/>
      <c r="L12" s="168">
        <f t="shared" si="3"/>
        <v>0</v>
      </c>
      <c r="M12" s="193">
        <f t="shared" si="4"/>
        <v>0</v>
      </c>
      <c r="N12" s="194"/>
    </row>
    <row r="13" spans="1:14" ht="13.5" customHeight="1">
      <c r="A13" s="276" t="s">
        <v>179</v>
      </c>
      <c r="B13" s="14"/>
      <c r="C13" s="13"/>
      <c r="D13" s="168">
        <f t="shared" si="0"/>
        <v>0</v>
      </c>
      <c r="E13" s="14"/>
      <c r="F13" s="13"/>
      <c r="G13" s="168">
        <f t="shared" si="1"/>
        <v>0</v>
      </c>
      <c r="H13" s="193">
        <f t="shared" si="2"/>
        <v>0</v>
      </c>
      <c r="I13" s="196"/>
      <c r="J13" s="14"/>
      <c r="K13" s="13"/>
      <c r="L13" s="168">
        <f t="shared" si="3"/>
        <v>0</v>
      </c>
      <c r="M13" s="193">
        <f t="shared" si="4"/>
        <v>0</v>
      </c>
      <c r="N13" s="194"/>
    </row>
    <row r="14" spans="1:14" ht="23.25" customHeight="1">
      <c r="A14" s="276" t="s">
        <v>180</v>
      </c>
      <c r="B14" s="14"/>
      <c r="C14" s="13"/>
      <c r="D14" s="168">
        <f t="shared" si="0"/>
        <v>0</v>
      </c>
      <c r="E14" s="14"/>
      <c r="F14" s="13"/>
      <c r="G14" s="168">
        <f t="shared" si="1"/>
        <v>0</v>
      </c>
      <c r="H14" s="193">
        <f t="shared" si="2"/>
        <v>0</v>
      </c>
      <c r="I14" s="196"/>
      <c r="J14" s="14"/>
      <c r="K14" s="13"/>
      <c r="L14" s="168">
        <f t="shared" si="3"/>
        <v>0</v>
      </c>
      <c r="M14" s="193">
        <f t="shared" si="4"/>
        <v>0</v>
      </c>
      <c r="N14" s="194"/>
    </row>
    <row r="15" spans="1:14" ht="13.5" customHeight="1">
      <c r="A15" s="275" t="s">
        <v>181</v>
      </c>
      <c r="B15" s="14">
        <v>4503</v>
      </c>
      <c r="C15" s="13"/>
      <c r="D15" s="168">
        <f t="shared" si="0"/>
        <v>4503</v>
      </c>
      <c r="E15" s="14">
        <v>3875</v>
      </c>
      <c r="F15" s="13"/>
      <c r="G15" s="168">
        <f t="shared" si="1"/>
        <v>3875</v>
      </c>
      <c r="H15" s="193">
        <f t="shared" si="2"/>
        <v>-628</v>
      </c>
      <c r="I15" s="196">
        <f t="shared" si="5"/>
        <v>0.8605374194981124</v>
      </c>
      <c r="J15" s="15">
        <v>2441</v>
      </c>
      <c r="K15" s="279"/>
      <c r="L15" s="168">
        <f t="shared" si="3"/>
        <v>2441</v>
      </c>
      <c r="M15" s="193">
        <f t="shared" si="4"/>
        <v>-1434</v>
      </c>
      <c r="N15" s="194">
        <f t="shared" si="6"/>
        <v>0.6299354838709678</v>
      </c>
    </row>
    <row r="16" spans="1:14" ht="13.5" customHeight="1">
      <c r="A16" s="277" t="s">
        <v>310</v>
      </c>
      <c r="B16" s="14">
        <f>B15</f>
        <v>4503</v>
      </c>
      <c r="C16" s="13"/>
      <c r="D16" s="168">
        <f t="shared" si="0"/>
        <v>4503</v>
      </c>
      <c r="E16" s="14">
        <v>854</v>
      </c>
      <c r="F16" s="13"/>
      <c r="G16" s="168">
        <f t="shared" si="1"/>
        <v>854</v>
      </c>
      <c r="H16" s="193">
        <f t="shared" si="2"/>
        <v>-3649</v>
      </c>
      <c r="I16" s="196">
        <f t="shared" si="5"/>
        <v>0.18965134354874527</v>
      </c>
      <c r="J16" s="15">
        <v>190</v>
      </c>
      <c r="K16" s="13"/>
      <c r="L16" s="168">
        <v>190</v>
      </c>
      <c r="M16" s="193">
        <f t="shared" si="4"/>
        <v>-664</v>
      </c>
      <c r="N16" s="194">
        <f t="shared" si="6"/>
        <v>0.2224824355971897</v>
      </c>
    </row>
    <row r="17" spans="1:14" ht="13.5" customHeight="1">
      <c r="A17" s="277" t="s">
        <v>311</v>
      </c>
      <c r="B17" s="14"/>
      <c r="C17" s="13"/>
      <c r="D17" s="168">
        <f t="shared" si="0"/>
        <v>0</v>
      </c>
      <c r="E17" s="14">
        <v>3021</v>
      </c>
      <c r="F17" s="13"/>
      <c r="G17" s="168">
        <f t="shared" si="1"/>
        <v>3021</v>
      </c>
      <c r="H17" s="193">
        <f t="shared" si="2"/>
        <v>3021</v>
      </c>
      <c r="I17" s="196"/>
      <c r="J17" s="15">
        <v>2251</v>
      </c>
      <c r="K17" s="13"/>
      <c r="L17" s="168">
        <f t="shared" si="3"/>
        <v>2251</v>
      </c>
      <c r="M17" s="193">
        <f t="shared" si="4"/>
        <v>-770</v>
      </c>
      <c r="N17" s="194">
        <f t="shared" si="6"/>
        <v>0.7451175107580271</v>
      </c>
    </row>
    <row r="18" spans="1:14" ht="13.5" customHeight="1" thickBot="1">
      <c r="A18" s="278" t="s">
        <v>416</v>
      </c>
      <c r="B18" s="165"/>
      <c r="C18" s="166"/>
      <c r="D18" s="168">
        <f t="shared" si="0"/>
        <v>0</v>
      </c>
      <c r="E18" s="165"/>
      <c r="F18" s="166"/>
      <c r="G18" s="168">
        <f t="shared" si="1"/>
        <v>0</v>
      </c>
      <c r="H18" s="271"/>
      <c r="I18" s="273"/>
      <c r="J18" s="169"/>
      <c r="K18" s="166"/>
      <c r="L18" s="168">
        <f t="shared" si="3"/>
        <v>0</v>
      </c>
      <c r="M18" s="271"/>
      <c r="N18" s="272"/>
    </row>
    <row r="19" spans="1:14" ht="13.5" customHeight="1" thickBot="1">
      <c r="A19" s="182" t="s">
        <v>182</v>
      </c>
      <c r="B19" s="186">
        <f aca="true" t="shared" si="7" ref="B19:G19">SUM(B7+B8+B9+B10+B11+B13+B15)</f>
        <v>7754</v>
      </c>
      <c r="C19" s="187">
        <f t="shared" si="7"/>
        <v>0</v>
      </c>
      <c r="D19" s="188">
        <f t="shared" si="7"/>
        <v>7754</v>
      </c>
      <c r="E19" s="186">
        <f t="shared" si="7"/>
        <v>9312</v>
      </c>
      <c r="F19" s="187">
        <f t="shared" si="7"/>
        <v>0</v>
      </c>
      <c r="G19" s="188">
        <f t="shared" si="7"/>
        <v>9312</v>
      </c>
      <c r="H19" s="190">
        <f t="shared" si="2"/>
        <v>1558</v>
      </c>
      <c r="I19" s="108">
        <f t="shared" si="5"/>
        <v>1.2009285530049008</v>
      </c>
      <c r="J19" s="198">
        <f>SUM(J7+J8+J9+J10+J11+J13+J15)</f>
        <v>8341</v>
      </c>
      <c r="K19" s="187">
        <f>SUM(K7+K8+K9+K10+K11+K13+K15)</f>
        <v>0</v>
      </c>
      <c r="L19" s="188">
        <f>SUM(L7+L8+L9+L10+L11+L13+L15)</f>
        <v>8341</v>
      </c>
      <c r="M19" s="190">
        <f t="shared" si="4"/>
        <v>-971</v>
      </c>
      <c r="N19" s="199">
        <f t="shared" si="6"/>
        <v>0.8957259450171822</v>
      </c>
    </row>
    <row r="20" spans="1:14" ht="13.5" customHeight="1">
      <c r="A20" s="96" t="s">
        <v>183</v>
      </c>
      <c r="B20" s="71">
        <v>1479</v>
      </c>
      <c r="C20" s="72"/>
      <c r="D20" s="73">
        <f aca="true" t="shared" si="8" ref="D20:D37">SUM(B20:C20)</f>
        <v>1479</v>
      </c>
      <c r="E20" s="71">
        <v>2809</v>
      </c>
      <c r="F20" s="72"/>
      <c r="G20" s="97">
        <f aca="true" t="shared" si="9" ref="G20:G37">SUM(E20:F20)</f>
        <v>2809</v>
      </c>
      <c r="H20" s="98">
        <f t="shared" si="2"/>
        <v>1330</v>
      </c>
      <c r="I20" s="99">
        <f t="shared" si="5"/>
        <v>1.8992562542258282</v>
      </c>
      <c r="J20" s="76">
        <v>1420</v>
      </c>
      <c r="K20" s="72"/>
      <c r="L20" s="100">
        <f aca="true" t="shared" si="10" ref="L20:L37">SUM(J20:K20)</f>
        <v>1420</v>
      </c>
      <c r="M20" s="98">
        <f t="shared" si="4"/>
        <v>-1389</v>
      </c>
      <c r="N20" s="101">
        <f t="shared" si="6"/>
        <v>0.5055179779280883</v>
      </c>
    </row>
    <row r="21" spans="1:14" ht="21" customHeight="1">
      <c r="A21" s="82" t="s">
        <v>184</v>
      </c>
      <c r="B21" s="71">
        <v>147</v>
      </c>
      <c r="C21" s="72"/>
      <c r="D21" s="73">
        <f t="shared" si="8"/>
        <v>147</v>
      </c>
      <c r="E21" s="71">
        <v>1303</v>
      </c>
      <c r="F21" s="72"/>
      <c r="G21" s="97">
        <f t="shared" si="9"/>
        <v>1303</v>
      </c>
      <c r="H21" s="74">
        <f t="shared" si="2"/>
        <v>1156</v>
      </c>
      <c r="I21" s="75">
        <f t="shared" si="5"/>
        <v>8.863945578231293</v>
      </c>
      <c r="J21" s="76">
        <v>300</v>
      </c>
      <c r="K21" s="72"/>
      <c r="L21" s="100">
        <f t="shared" si="10"/>
        <v>300</v>
      </c>
      <c r="M21" s="74">
        <f t="shared" si="4"/>
        <v>-1003</v>
      </c>
      <c r="N21" s="77">
        <f t="shared" si="6"/>
        <v>0.23023791250959325</v>
      </c>
    </row>
    <row r="22" spans="1:14" ht="13.5" customHeight="1">
      <c r="A22" s="78" t="s">
        <v>185</v>
      </c>
      <c r="B22" s="79">
        <v>869</v>
      </c>
      <c r="C22" s="80"/>
      <c r="D22" s="73">
        <f t="shared" si="8"/>
        <v>869</v>
      </c>
      <c r="E22" s="79">
        <v>189</v>
      </c>
      <c r="F22" s="80"/>
      <c r="G22" s="97">
        <f t="shared" si="9"/>
        <v>189</v>
      </c>
      <c r="H22" s="74">
        <f t="shared" si="2"/>
        <v>-680</v>
      </c>
      <c r="I22" s="75">
        <f t="shared" si="5"/>
        <v>0.21749136939010358</v>
      </c>
      <c r="J22" s="81">
        <v>719</v>
      </c>
      <c r="K22" s="80"/>
      <c r="L22" s="100">
        <f t="shared" si="10"/>
        <v>719</v>
      </c>
      <c r="M22" s="74">
        <f t="shared" si="4"/>
        <v>530</v>
      </c>
      <c r="N22" s="77">
        <f t="shared" si="6"/>
        <v>3.804232804232804</v>
      </c>
    </row>
    <row r="23" spans="1:14" ht="13.5" customHeight="1">
      <c r="A23" s="82" t="s">
        <v>186</v>
      </c>
      <c r="B23" s="79"/>
      <c r="C23" s="80"/>
      <c r="D23" s="73">
        <f t="shared" si="8"/>
        <v>0</v>
      </c>
      <c r="E23" s="79"/>
      <c r="F23" s="80"/>
      <c r="G23" s="97">
        <f t="shared" si="9"/>
        <v>0</v>
      </c>
      <c r="H23" s="74">
        <f t="shared" si="2"/>
        <v>0</v>
      </c>
      <c r="I23" s="75"/>
      <c r="J23" s="81"/>
      <c r="K23" s="80"/>
      <c r="L23" s="100">
        <f t="shared" si="10"/>
        <v>0</v>
      </c>
      <c r="M23" s="74">
        <f t="shared" si="4"/>
        <v>0</v>
      </c>
      <c r="N23" s="77"/>
    </row>
    <row r="24" spans="1:14" ht="13.5" customHeight="1">
      <c r="A24" s="78" t="s">
        <v>298</v>
      </c>
      <c r="B24" s="79"/>
      <c r="C24" s="80"/>
      <c r="D24" s="73">
        <f t="shared" si="8"/>
        <v>0</v>
      </c>
      <c r="E24" s="79">
        <v>3</v>
      </c>
      <c r="F24" s="80"/>
      <c r="G24" s="97">
        <f t="shared" si="9"/>
        <v>3</v>
      </c>
      <c r="H24" s="74">
        <f t="shared" si="2"/>
        <v>3</v>
      </c>
      <c r="I24" s="75"/>
      <c r="J24" s="81">
        <v>10</v>
      </c>
      <c r="K24" s="80"/>
      <c r="L24" s="100">
        <f t="shared" si="10"/>
        <v>10</v>
      </c>
      <c r="M24" s="74">
        <f t="shared" si="4"/>
        <v>7</v>
      </c>
      <c r="N24" s="77">
        <f aca="true" t="shared" si="11" ref="N24:N38">+L24/G24</f>
        <v>3.3333333333333335</v>
      </c>
    </row>
    <row r="25" spans="1:14" ht="13.5" customHeight="1">
      <c r="A25" s="78" t="s">
        <v>187</v>
      </c>
      <c r="B25" s="81">
        <v>605</v>
      </c>
      <c r="C25" s="80"/>
      <c r="D25" s="73">
        <f t="shared" si="8"/>
        <v>605</v>
      </c>
      <c r="E25" s="81">
        <v>950</v>
      </c>
      <c r="F25" s="80"/>
      <c r="G25" s="97">
        <f t="shared" si="9"/>
        <v>950</v>
      </c>
      <c r="H25" s="74">
        <f t="shared" si="2"/>
        <v>345</v>
      </c>
      <c r="I25" s="75">
        <f aca="true" t="shared" si="12" ref="I25:I38">+G25/D25</f>
        <v>1.5702479338842976</v>
      </c>
      <c r="J25" s="81">
        <v>944</v>
      </c>
      <c r="K25" s="80"/>
      <c r="L25" s="100">
        <f t="shared" si="10"/>
        <v>944</v>
      </c>
      <c r="M25" s="74">
        <f t="shared" si="4"/>
        <v>-6</v>
      </c>
      <c r="N25" s="77">
        <f t="shared" si="11"/>
        <v>0.9936842105263158</v>
      </c>
    </row>
    <row r="26" spans="1:14" ht="13.5" customHeight="1">
      <c r="A26" s="82" t="s">
        <v>188</v>
      </c>
      <c r="B26" s="79">
        <v>221</v>
      </c>
      <c r="C26" s="80"/>
      <c r="D26" s="73">
        <f t="shared" si="8"/>
        <v>221</v>
      </c>
      <c r="E26" s="79">
        <v>575</v>
      </c>
      <c r="F26" s="80"/>
      <c r="G26" s="97">
        <f t="shared" si="9"/>
        <v>575</v>
      </c>
      <c r="H26" s="74">
        <f t="shared" si="2"/>
        <v>354</v>
      </c>
      <c r="I26" s="75">
        <f t="shared" si="12"/>
        <v>2.6018099547511313</v>
      </c>
      <c r="J26" s="102">
        <v>500</v>
      </c>
      <c r="K26" s="80"/>
      <c r="L26" s="100">
        <f t="shared" si="10"/>
        <v>500</v>
      </c>
      <c r="M26" s="74">
        <f t="shared" si="4"/>
        <v>-75</v>
      </c>
      <c r="N26" s="77">
        <f t="shared" si="11"/>
        <v>0.8695652173913043</v>
      </c>
    </row>
    <row r="27" spans="1:14" ht="13.5" customHeight="1">
      <c r="A27" s="78" t="s">
        <v>189</v>
      </c>
      <c r="B27" s="79">
        <v>361</v>
      </c>
      <c r="C27" s="80"/>
      <c r="D27" s="73">
        <f t="shared" si="8"/>
        <v>361</v>
      </c>
      <c r="E27" s="79">
        <v>375</v>
      </c>
      <c r="F27" s="80"/>
      <c r="G27" s="97">
        <f t="shared" si="9"/>
        <v>375</v>
      </c>
      <c r="H27" s="74">
        <f t="shared" si="2"/>
        <v>14</v>
      </c>
      <c r="I27" s="75">
        <f t="shared" si="12"/>
        <v>1.0387811634349031</v>
      </c>
      <c r="J27" s="102">
        <v>394</v>
      </c>
      <c r="K27" s="80"/>
      <c r="L27" s="100">
        <f t="shared" si="10"/>
        <v>394</v>
      </c>
      <c r="M27" s="74">
        <f t="shared" si="4"/>
        <v>19</v>
      </c>
      <c r="N27" s="77">
        <f t="shared" si="11"/>
        <v>1.0506666666666666</v>
      </c>
    </row>
    <row r="28" spans="1:14" ht="13.5" customHeight="1">
      <c r="A28" s="103" t="s">
        <v>190</v>
      </c>
      <c r="B28" s="81">
        <v>4488</v>
      </c>
      <c r="C28" s="80"/>
      <c r="D28" s="73">
        <f t="shared" si="8"/>
        <v>4488</v>
      </c>
      <c r="E28" s="81">
        <v>5051</v>
      </c>
      <c r="F28" s="80"/>
      <c r="G28" s="97">
        <f t="shared" si="9"/>
        <v>5051</v>
      </c>
      <c r="H28" s="74">
        <f t="shared" si="2"/>
        <v>563</v>
      </c>
      <c r="I28" s="75">
        <f t="shared" si="12"/>
        <v>1.125445632798574</v>
      </c>
      <c r="J28" s="81">
        <v>5378</v>
      </c>
      <c r="K28" s="80"/>
      <c r="L28" s="100">
        <f t="shared" si="10"/>
        <v>5378</v>
      </c>
      <c r="M28" s="74">
        <f t="shared" si="4"/>
        <v>327</v>
      </c>
      <c r="N28" s="77">
        <f t="shared" si="11"/>
        <v>1.0647396555137596</v>
      </c>
    </row>
    <row r="29" spans="1:14" ht="13.5" customHeight="1">
      <c r="A29" s="82" t="s">
        <v>191</v>
      </c>
      <c r="B29" s="79">
        <v>3280</v>
      </c>
      <c r="C29" s="80"/>
      <c r="D29" s="73">
        <f t="shared" si="8"/>
        <v>3280</v>
      </c>
      <c r="E29" s="79">
        <v>3697</v>
      </c>
      <c r="F29" s="80"/>
      <c r="G29" s="97">
        <f t="shared" si="9"/>
        <v>3697</v>
      </c>
      <c r="H29" s="74">
        <f t="shared" si="2"/>
        <v>417</v>
      </c>
      <c r="I29" s="75">
        <f t="shared" si="12"/>
        <v>1.1271341463414635</v>
      </c>
      <c r="J29" s="102">
        <v>3969</v>
      </c>
      <c r="K29" s="104"/>
      <c r="L29" s="100">
        <f t="shared" si="10"/>
        <v>3969</v>
      </c>
      <c r="M29" s="74">
        <f t="shared" si="4"/>
        <v>272</v>
      </c>
      <c r="N29" s="77">
        <f t="shared" si="11"/>
        <v>1.0735731674330538</v>
      </c>
    </row>
    <row r="30" spans="1:14" ht="13.5" customHeight="1">
      <c r="A30" s="103" t="s">
        <v>192</v>
      </c>
      <c r="B30" s="79">
        <v>3264</v>
      </c>
      <c r="C30" s="80"/>
      <c r="D30" s="73">
        <f t="shared" si="8"/>
        <v>3264</v>
      </c>
      <c r="E30" s="79">
        <v>3660</v>
      </c>
      <c r="F30" s="80"/>
      <c r="G30" s="97">
        <f t="shared" si="9"/>
        <v>3660</v>
      </c>
      <c r="H30" s="74">
        <f t="shared" si="2"/>
        <v>396</v>
      </c>
      <c r="I30" s="75">
        <f t="shared" si="12"/>
        <v>1.1213235294117647</v>
      </c>
      <c r="J30" s="81">
        <v>3929</v>
      </c>
      <c r="K30" s="80"/>
      <c r="L30" s="100">
        <f t="shared" si="10"/>
        <v>3929</v>
      </c>
      <c r="M30" s="74">
        <f t="shared" si="4"/>
        <v>269</v>
      </c>
      <c r="N30" s="77">
        <f t="shared" si="11"/>
        <v>1.073497267759563</v>
      </c>
    </row>
    <row r="31" spans="1:14" ht="13.5" customHeight="1">
      <c r="A31" s="82" t="s">
        <v>193</v>
      </c>
      <c r="B31" s="79">
        <v>16</v>
      </c>
      <c r="C31" s="80"/>
      <c r="D31" s="73">
        <f t="shared" si="8"/>
        <v>16</v>
      </c>
      <c r="E31" s="79">
        <v>37</v>
      </c>
      <c r="F31" s="80"/>
      <c r="G31" s="97">
        <f t="shared" si="9"/>
        <v>37</v>
      </c>
      <c r="H31" s="74">
        <f t="shared" si="2"/>
        <v>21</v>
      </c>
      <c r="I31" s="75">
        <f t="shared" si="12"/>
        <v>2.3125</v>
      </c>
      <c r="J31" s="81">
        <v>40</v>
      </c>
      <c r="K31" s="80"/>
      <c r="L31" s="100">
        <f t="shared" si="10"/>
        <v>40</v>
      </c>
      <c r="M31" s="74">
        <f t="shared" si="4"/>
        <v>3</v>
      </c>
      <c r="N31" s="77">
        <f t="shared" si="11"/>
        <v>1.0810810810810811</v>
      </c>
    </row>
    <row r="32" spans="1:14" ht="13.5" customHeight="1">
      <c r="A32" s="82" t="s">
        <v>194</v>
      </c>
      <c r="B32" s="79">
        <v>1208</v>
      </c>
      <c r="C32" s="80"/>
      <c r="D32" s="73">
        <f t="shared" si="8"/>
        <v>1208</v>
      </c>
      <c r="E32" s="79">
        <v>1354</v>
      </c>
      <c r="F32" s="80"/>
      <c r="G32" s="97">
        <f t="shared" si="9"/>
        <v>1354</v>
      </c>
      <c r="H32" s="74">
        <f t="shared" si="2"/>
        <v>146</v>
      </c>
      <c r="I32" s="75">
        <f t="shared" si="12"/>
        <v>1.1208609271523178</v>
      </c>
      <c r="J32" s="81">
        <v>1409</v>
      </c>
      <c r="K32" s="80"/>
      <c r="L32" s="100">
        <f t="shared" si="10"/>
        <v>1409</v>
      </c>
      <c r="M32" s="74">
        <f t="shared" si="4"/>
        <v>55</v>
      </c>
      <c r="N32" s="77">
        <f t="shared" si="11"/>
        <v>1.0406203840472674</v>
      </c>
    </row>
    <row r="33" spans="1:14" ht="13.5" customHeight="1">
      <c r="A33" s="103" t="s">
        <v>195</v>
      </c>
      <c r="B33" s="79"/>
      <c r="C33" s="80"/>
      <c r="D33" s="73">
        <f t="shared" si="8"/>
        <v>0</v>
      </c>
      <c r="E33" s="79"/>
      <c r="F33" s="80"/>
      <c r="G33" s="97">
        <f t="shared" si="9"/>
        <v>0</v>
      </c>
      <c r="H33" s="74">
        <f t="shared" si="2"/>
        <v>0</v>
      </c>
      <c r="I33" s="75"/>
      <c r="J33" s="81"/>
      <c r="K33" s="80"/>
      <c r="L33" s="100">
        <f t="shared" si="10"/>
        <v>0</v>
      </c>
      <c r="M33" s="74">
        <f t="shared" si="4"/>
        <v>0</v>
      </c>
      <c r="N33" s="77"/>
    </row>
    <row r="34" spans="1:14" ht="13.5" customHeight="1">
      <c r="A34" s="103" t="s">
        <v>196</v>
      </c>
      <c r="B34" s="79">
        <v>106</v>
      </c>
      <c r="C34" s="80"/>
      <c r="D34" s="73">
        <f t="shared" si="8"/>
        <v>106</v>
      </c>
      <c r="E34" s="79">
        <v>106</v>
      </c>
      <c r="F34" s="80"/>
      <c r="G34" s="97">
        <f t="shared" si="9"/>
        <v>106</v>
      </c>
      <c r="H34" s="74">
        <f t="shared" si="2"/>
        <v>0</v>
      </c>
      <c r="I34" s="75">
        <f t="shared" si="12"/>
        <v>1</v>
      </c>
      <c r="J34" s="81">
        <v>150</v>
      </c>
      <c r="K34" s="80"/>
      <c r="L34" s="100">
        <f t="shared" si="10"/>
        <v>150</v>
      </c>
      <c r="M34" s="74">
        <f t="shared" si="4"/>
        <v>44</v>
      </c>
      <c r="N34" s="77">
        <f t="shared" si="11"/>
        <v>1.4150943396226414</v>
      </c>
    </row>
    <row r="35" spans="1:14" ht="13.5" customHeight="1">
      <c r="A35" s="82" t="s">
        <v>197</v>
      </c>
      <c r="B35" s="79">
        <v>206</v>
      </c>
      <c r="C35" s="80"/>
      <c r="D35" s="73">
        <f t="shared" si="8"/>
        <v>206</v>
      </c>
      <c r="E35" s="79">
        <v>193</v>
      </c>
      <c r="F35" s="80"/>
      <c r="G35" s="97">
        <f t="shared" si="9"/>
        <v>193</v>
      </c>
      <c r="H35" s="74">
        <f t="shared" si="2"/>
        <v>-13</v>
      </c>
      <c r="I35" s="75">
        <f t="shared" si="12"/>
        <v>0.9368932038834952</v>
      </c>
      <c r="J35" s="102">
        <v>200</v>
      </c>
      <c r="K35" s="80"/>
      <c r="L35" s="100">
        <f t="shared" si="10"/>
        <v>200</v>
      </c>
      <c r="M35" s="74">
        <f t="shared" si="4"/>
        <v>7</v>
      </c>
      <c r="N35" s="77">
        <f t="shared" si="11"/>
        <v>1.0362694300518134</v>
      </c>
    </row>
    <row r="36" spans="1:14" ht="22.5" customHeight="1">
      <c r="A36" s="82" t="s">
        <v>198</v>
      </c>
      <c r="B36" s="79">
        <v>206</v>
      </c>
      <c r="C36" s="80"/>
      <c r="D36" s="73">
        <f t="shared" si="8"/>
        <v>206</v>
      </c>
      <c r="E36" s="79">
        <v>193</v>
      </c>
      <c r="F36" s="80"/>
      <c r="G36" s="97">
        <f t="shared" si="9"/>
        <v>193</v>
      </c>
      <c r="H36" s="74">
        <f t="shared" si="2"/>
        <v>-13</v>
      </c>
      <c r="I36" s="75">
        <f t="shared" si="12"/>
        <v>0.9368932038834952</v>
      </c>
      <c r="J36" s="102">
        <v>200</v>
      </c>
      <c r="K36" s="80"/>
      <c r="L36" s="100">
        <f t="shared" si="10"/>
        <v>200</v>
      </c>
      <c r="M36" s="74">
        <f t="shared" si="4"/>
        <v>7</v>
      </c>
      <c r="N36" s="77">
        <f t="shared" si="11"/>
        <v>1.0362694300518134</v>
      </c>
    </row>
    <row r="37" spans="1:14" ht="13.5" customHeight="1" thickBot="1">
      <c r="A37" s="105" t="s">
        <v>199</v>
      </c>
      <c r="B37" s="83"/>
      <c r="C37" s="84"/>
      <c r="D37" s="73">
        <f t="shared" si="8"/>
        <v>0</v>
      </c>
      <c r="E37" s="83"/>
      <c r="F37" s="84"/>
      <c r="G37" s="97">
        <f t="shared" si="9"/>
        <v>0</v>
      </c>
      <c r="H37" s="85">
        <f t="shared" si="2"/>
        <v>0</v>
      </c>
      <c r="I37" s="86"/>
      <c r="J37" s="106"/>
      <c r="K37" s="84"/>
      <c r="L37" s="100">
        <f t="shared" si="10"/>
        <v>0</v>
      </c>
      <c r="M37" s="85">
        <f t="shared" si="4"/>
        <v>0</v>
      </c>
      <c r="N37" s="87"/>
    </row>
    <row r="38" spans="1:14" ht="13.5" customHeight="1" thickBot="1">
      <c r="A38" s="88" t="s">
        <v>200</v>
      </c>
      <c r="B38" s="89">
        <f aca="true" t="shared" si="13" ref="B38:G38">SUM(B20+B22+B23+B24+B25+B28+B33+B34+B35+B37)</f>
        <v>7753</v>
      </c>
      <c r="C38" s="90">
        <f t="shared" si="13"/>
        <v>0</v>
      </c>
      <c r="D38" s="91">
        <f t="shared" si="13"/>
        <v>7753</v>
      </c>
      <c r="E38" s="89">
        <f t="shared" si="13"/>
        <v>9301</v>
      </c>
      <c r="F38" s="90">
        <f t="shared" si="13"/>
        <v>0</v>
      </c>
      <c r="G38" s="91">
        <f t="shared" si="13"/>
        <v>9301</v>
      </c>
      <c r="H38" s="92">
        <f t="shared" si="2"/>
        <v>1548</v>
      </c>
      <c r="I38" s="93">
        <f t="shared" si="12"/>
        <v>1.1996646459435056</v>
      </c>
      <c r="J38" s="94">
        <f>SUM(J20+J22+J23+J24+J25+J28+J33+J34+J35+J37)</f>
        <v>8821</v>
      </c>
      <c r="K38" s="90">
        <f>SUM(K20+K22+K23+K24+K25+K28+K33+K34+K35+K37)</f>
        <v>0</v>
      </c>
      <c r="L38" s="91">
        <f>SUM(L20+L22+L23+L24+L25+L28+L33+L34+L35+L37)</f>
        <v>8821</v>
      </c>
      <c r="M38" s="92">
        <f t="shared" si="4"/>
        <v>-480</v>
      </c>
      <c r="N38" s="95">
        <f t="shared" si="11"/>
        <v>0.9483926459520482</v>
      </c>
    </row>
    <row r="39" spans="1:14" ht="13.5" customHeight="1" thickBot="1">
      <c r="A39" s="88" t="s">
        <v>201</v>
      </c>
      <c r="B39" s="787">
        <f>+D19-D38</f>
        <v>1</v>
      </c>
      <c r="C39" s="787"/>
      <c r="D39" s="787"/>
      <c r="E39" s="787">
        <f>+G19-G38</f>
        <v>11</v>
      </c>
      <c r="F39" s="787"/>
      <c r="G39" s="787">
        <v>-50784</v>
      </c>
      <c r="H39" s="107"/>
      <c r="I39" s="108"/>
      <c r="J39" s="789">
        <f>+L19-L38</f>
        <v>-480</v>
      </c>
      <c r="K39" s="789"/>
      <c r="L39" s="789">
        <v>0</v>
      </c>
      <c r="M39" s="92"/>
      <c r="N39" s="95"/>
    </row>
    <row r="40" spans="1:16" ht="20.25" customHeight="1" thickBot="1">
      <c r="A40" s="109" t="s">
        <v>202</v>
      </c>
      <c r="B40" s="787"/>
      <c r="C40" s="787"/>
      <c r="D40" s="787"/>
      <c r="E40" s="787"/>
      <c r="F40" s="787"/>
      <c r="G40" s="787"/>
      <c r="H40"/>
      <c r="I40"/>
      <c r="J40"/>
      <c r="K40"/>
      <c r="L40"/>
      <c r="M40"/>
      <c r="N40"/>
      <c r="O40"/>
      <c r="P40"/>
    </row>
    <row r="41" spans="2:8" ht="14.25" customHeight="1" thickBot="1">
      <c r="B41" s="7"/>
      <c r="C41" s="7"/>
      <c r="D41" s="16"/>
      <c r="E41" s="7"/>
      <c r="F41" s="7"/>
      <c r="G41" s="7"/>
      <c r="H41" s="7"/>
    </row>
    <row r="42" spans="1:16" ht="13.5" thickBot="1">
      <c r="A42" s="805" t="s">
        <v>312</v>
      </c>
      <c r="B42" s="805"/>
      <c r="C42" s="799" t="s">
        <v>203</v>
      </c>
      <c r="D42" s="805" t="s">
        <v>420</v>
      </c>
      <c r="E42" s="805"/>
      <c r="F42" s="805"/>
      <c r="G42" s="799" t="s">
        <v>203</v>
      </c>
      <c r="H42" s="785" t="s">
        <v>421</v>
      </c>
      <c r="I42" s="785"/>
      <c r="J42" s="785"/>
      <c r="K42" s="785"/>
      <c r="L42" s="799" t="s">
        <v>203</v>
      </c>
      <c r="O42"/>
      <c r="P42"/>
    </row>
    <row r="43" spans="1:16" ht="13.5" thickBot="1">
      <c r="A43" s="805"/>
      <c r="B43" s="805"/>
      <c r="C43" s="799"/>
      <c r="D43" s="805"/>
      <c r="E43" s="805"/>
      <c r="F43" s="805"/>
      <c r="G43" s="799"/>
      <c r="H43" s="785"/>
      <c r="I43" s="785"/>
      <c r="J43" s="785"/>
      <c r="K43" s="785"/>
      <c r="L43" s="799"/>
      <c r="O43"/>
      <c r="P43"/>
    </row>
    <row r="44" spans="1:16" ht="12.75">
      <c r="A44" s="794"/>
      <c r="B44" s="794"/>
      <c r="C44" s="110"/>
      <c r="D44" s="795" t="s">
        <v>260</v>
      </c>
      <c r="E44" s="795"/>
      <c r="F44" s="795"/>
      <c r="G44" s="111">
        <v>137</v>
      </c>
      <c r="H44" s="802" t="s">
        <v>614</v>
      </c>
      <c r="I44" s="802"/>
      <c r="J44" s="802"/>
      <c r="K44" s="802"/>
      <c r="L44" s="112">
        <v>110</v>
      </c>
      <c r="O44"/>
      <c r="P44"/>
    </row>
    <row r="45" spans="1:16" ht="12.75">
      <c r="A45" s="797"/>
      <c r="B45" s="797"/>
      <c r="C45" s="113"/>
      <c r="D45" s="795" t="s">
        <v>615</v>
      </c>
      <c r="E45" s="795"/>
      <c r="F45" s="795"/>
      <c r="G45" s="114">
        <v>68</v>
      </c>
      <c r="H45" s="802" t="s">
        <v>291</v>
      </c>
      <c r="I45" s="802"/>
      <c r="J45" s="802"/>
      <c r="K45" s="802"/>
      <c r="L45" s="112">
        <v>90</v>
      </c>
      <c r="O45"/>
      <c r="P45"/>
    </row>
    <row r="46" spans="1:16" ht="12.75">
      <c r="A46" s="797"/>
      <c r="B46" s="797"/>
      <c r="C46" s="113"/>
      <c r="D46" s="795"/>
      <c r="E46" s="795"/>
      <c r="F46" s="795"/>
      <c r="G46" s="114"/>
      <c r="H46" s="802" t="s">
        <v>126</v>
      </c>
      <c r="I46" s="802"/>
      <c r="J46" s="802"/>
      <c r="K46" s="802"/>
      <c r="L46" s="112">
        <v>600</v>
      </c>
      <c r="O46"/>
      <c r="P46"/>
    </row>
    <row r="47" spans="1:16" ht="12.75">
      <c r="A47" s="797"/>
      <c r="B47" s="797"/>
      <c r="C47" s="115"/>
      <c r="D47" s="797"/>
      <c r="E47" s="797"/>
      <c r="F47" s="797"/>
      <c r="G47" s="116"/>
      <c r="H47" s="776"/>
      <c r="I47" s="776"/>
      <c r="J47" s="776"/>
      <c r="K47" s="776"/>
      <c r="L47" s="112"/>
      <c r="O47"/>
      <c r="P47"/>
    </row>
    <row r="48" spans="1:16" ht="12.75">
      <c r="A48" s="797"/>
      <c r="B48" s="797"/>
      <c r="C48" s="115"/>
      <c r="D48" s="797"/>
      <c r="E48" s="797"/>
      <c r="F48" s="797"/>
      <c r="G48" s="116"/>
      <c r="H48" s="776"/>
      <c r="I48" s="776"/>
      <c r="J48" s="776"/>
      <c r="K48" s="776"/>
      <c r="L48" s="112"/>
      <c r="O48"/>
      <c r="P48"/>
    </row>
    <row r="49" spans="1:16" ht="12.75">
      <c r="A49" s="797"/>
      <c r="B49" s="797"/>
      <c r="C49" s="115"/>
      <c r="D49" s="797"/>
      <c r="E49" s="797"/>
      <c r="F49" s="797"/>
      <c r="G49" s="116"/>
      <c r="H49" s="776"/>
      <c r="I49" s="776"/>
      <c r="J49" s="776"/>
      <c r="K49" s="776"/>
      <c r="L49" s="112"/>
      <c r="O49"/>
      <c r="P49"/>
    </row>
    <row r="50" spans="1:16" ht="13.5" thickBot="1">
      <c r="A50" s="800"/>
      <c r="B50" s="800"/>
      <c r="C50" s="115"/>
      <c r="D50" s="801"/>
      <c r="E50" s="801"/>
      <c r="F50" s="801"/>
      <c r="G50" s="116"/>
      <c r="H50" s="802"/>
      <c r="I50" s="802"/>
      <c r="J50" s="802"/>
      <c r="K50" s="802"/>
      <c r="L50" s="112"/>
      <c r="O50"/>
      <c r="P50"/>
    </row>
    <row r="51" spans="1:16" ht="13.5" thickBot="1">
      <c r="A51" s="811"/>
      <c r="B51" s="811"/>
      <c r="C51" s="117">
        <f>SUM(C44:C50)</f>
        <v>0</v>
      </c>
      <c r="D51" s="812" t="s">
        <v>168</v>
      </c>
      <c r="E51" s="812"/>
      <c r="F51" s="812"/>
      <c r="G51" s="117">
        <f>SUM(G44:G50)</f>
        <v>205</v>
      </c>
      <c r="H51" s="778" t="s">
        <v>168</v>
      </c>
      <c r="I51" s="778"/>
      <c r="J51" s="778"/>
      <c r="K51" s="778"/>
      <c r="L51" s="117">
        <f>SUM(L44:L50)</f>
        <v>800</v>
      </c>
      <c r="M51" s="17"/>
      <c r="N51" s="17"/>
      <c r="O51"/>
      <c r="P51"/>
    </row>
    <row r="52" spans="1:16" s="1" customFormat="1" ht="13.5" customHeight="1" thickBot="1">
      <c r="A52" s="18"/>
      <c r="B52" s="5"/>
      <c r="C52" s="5"/>
      <c r="D52" s="5"/>
      <c r="E52" s="5"/>
      <c r="F52" s="5"/>
      <c r="G52" s="5"/>
      <c r="H52" s="6"/>
      <c r="I52" s="3"/>
      <c r="J52" s="3"/>
      <c r="K52" s="3"/>
      <c r="L52" s="3"/>
      <c r="M52" s="3"/>
      <c r="N52" s="3"/>
      <c r="O52" s="3"/>
      <c r="P52" s="3"/>
    </row>
    <row r="53" spans="1:16" ht="13.5" thickBot="1">
      <c r="A53" s="866" t="s">
        <v>429</v>
      </c>
      <c r="B53" s="867"/>
      <c r="C53" s="869" t="s">
        <v>203</v>
      </c>
      <c r="D53" s="806" t="s">
        <v>430</v>
      </c>
      <c r="E53" s="806"/>
      <c r="F53" s="806"/>
      <c r="G53" s="798" t="s">
        <v>203</v>
      </c>
      <c r="H53" s="785" t="s">
        <v>431</v>
      </c>
      <c r="I53" s="785"/>
      <c r="J53" s="785"/>
      <c r="K53" s="785"/>
      <c r="L53" s="799" t="s">
        <v>203</v>
      </c>
      <c r="O53"/>
      <c r="P53"/>
    </row>
    <row r="54" spans="1:16" ht="13.5" thickBot="1">
      <c r="A54" s="868"/>
      <c r="B54" s="805"/>
      <c r="C54" s="870"/>
      <c r="D54" s="806"/>
      <c r="E54" s="806"/>
      <c r="F54" s="806"/>
      <c r="G54" s="798"/>
      <c r="H54" s="785"/>
      <c r="I54" s="785"/>
      <c r="J54" s="785"/>
      <c r="K54" s="785"/>
      <c r="L54" s="799"/>
      <c r="O54"/>
      <c r="P54"/>
    </row>
    <row r="55" spans="1:16" ht="12.75">
      <c r="A55" s="871" t="s">
        <v>616</v>
      </c>
      <c r="B55" s="803"/>
      <c r="C55" s="201">
        <v>105</v>
      </c>
      <c r="D55" s="804" t="s">
        <v>617</v>
      </c>
      <c r="E55" s="804"/>
      <c r="F55" s="804"/>
      <c r="G55" s="118">
        <v>117</v>
      </c>
      <c r="H55" s="802" t="s">
        <v>618</v>
      </c>
      <c r="I55" s="802"/>
      <c r="J55" s="802"/>
      <c r="K55" s="802"/>
      <c r="L55" s="112">
        <v>150</v>
      </c>
      <c r="O55"/>
      <c r="P55"/>
    </row>
    <row r="56" spans="1:16" ht="13.5" customHeight="1">
      <c r="A56" s="872" t="s">
        <v>617</v>
      </c>
      <c r="B56" s="781"/>
      <c r="C56" s="202">
        <v>22</v>
      </c>
      <c r="D56" s="782" t="s">
        <v>619</v>
      </c>
      <c r="E56" s="782"/>
      <c r="F56" s="782"/>
      <c r="G56" s="119">
        <v>63</v>
      </c>
      <c r="H56" s="776" t="s">
        <v>620</v>
      </c>
      <c r="I56" s="776"/>
      <c r="J56" s="776"/>
      <c r="K56" s="776"/>
      <c r="L56" s="120">
        <v>350</v>
      </c>
      <c r="O56"/>
      <c r="P56"/>
    </row>
    <row r="57" spans="1:16" ht="13.5" customHeight="1">
      <c r="A57" s="872" t="s">
        <v>269</v>
      </c>
      <c r="B57" s="781"/>
      <c r="C57" s="202">
        <v>25</v>
      </c>
      <c r="D57" s="782" t="s">
        <v>621</v>
      </c>
      <c r="E57" s="782"/>
      <c r="F57" s="782"/>
      <c r="G57" s="119">
        <v>175</v>
      </c>
      <c r="H57" s="776"/>
      <c r="I57" s="776"/>
      <c r="J57" s="776"/>
      <c r="K57" s="776"/>
      <c r="L57" s="120"/>
      <c r="O57"/>
      <c r="P57"/>
    </row>
    <row r="58" spans="1:16" ht="13.5" customHeight="1">
      <c r="A58" s="872" t="s">
        <v>622</v>
      </c>
      <c r="B58" s="781"/>
      <c r="C58" s="202">
        <v>69</v>
      </c>
      <c r="D58" s="782" t="s">
        <v>623</v>
      </c>
      <c r="E58" s="782"/>
      <c r="F58" s="782"/>
      <c r="G58" s="119">
        <v>219</v>
      </c>
      <c r="H58" s="776"/>
      <c r="I58" s="776"/>
      <c r="J58" s="776"/>
      <c r="K58" s="776"/>
      <c r="L58" s="120"/>
      <c r="O58"/>
      <c r="P58"/>
    </row>
    <row r="59" spans="1:16" ht="13.5" customHeight="1">
      <c r="A59" s="872"/>
      <c r="B59" s="781"/>
      <c r="C59" s="203"/>
      <c r="D59" s="782"/>
      <c r="E59" s="782"/>
      <c r="F59" s="782"/>
      <c r="G59" s="121"/>
      <c r="H59" s="776"/>
      <c r="I59" s="776"/>
      <c r="J59" s="776"/>
      <c r="K59" s="776"/>
      <c r="L59" s="122"/>
      <c r="O59"/>
      <c r="P59"/>
    </row>
    <row r="60" spans="1:16" ht="13.5" customHeight="1">
      <c r="A60" s="872"/>
      <c r="B60" s="781"/>
      <c r="C60" s="203"/>
      <c r="D60" s="782"/>
      <c r="E60" s="782"/>
      <c r="F60" s="782"/>
      <c r="G60" s="121"/>
      <c r="H60" s="776"/>
      <c r="I60" s="776"/>
      <c r="J60" s="776"/>
      <c r="K60" s="776"/>
      <c r="L60" s="122"/>
      <c r="O60"/>
      <c r="P60"/>
    </row>
    <row r="61" spans="1:16" ht="13.5" customHeight="1">
      <c r="A61" s="872"/>
      <c r="B61" s="873"/>
      <c r="C61" s="202"/>
      <c r="D61" s="782"/>
      <c r="E61" s="782"/>
      <c r="F61" s="782"/>
      <c r="G61" s="119"/>
      <c r="H61" s="776"/>
      <c r="I61" s="776"/>
      <c r="J61" s="776"/>
      <c r="K61" s="776"/>
      <c r="L61" s="120"/>
      <c r="O61"/>
      <c r="P61"/>
    </row>
    <row r="62" spans="1:16" ht="13.5" thickBot="1">
      <c r="A62" s="874"/>
      <c r="B62" s="780"/>
      <c r="C62" s="204"/>
      <c r="D62" s="783"/>
      <c r="E62" s="783"/>
      <c r="F62" s="783"/>
      <c r="G62" s="123"/>
      <c r="H62" s="777"/>
      <c r="I62" s="777"/>
      <c r="J62" s="777"/>
      <c r="K62" s="777"/>
      <c r="L62" s="124"/>
      <c r="O62"/>
      <c r="P62"/>
    </row>
    <row r="63" spans="1:16" ht="13.5" thickBot="1">
      <c r="A63" s="877" t="s">
        <v>168</v>
      </c>
      <c r="B63" s="878"/>
      <c r="C63" s="205">
        <f>SUM(C55:C62)</f>
        <v>221</v>
      </c>
      <c r="D63" s="784" t="s">
        <v>168</v>
      </c>
      <c r="E63" s="784"/>
      <c r="F63" s="784"/>
      <c r="G63" s="125">
        <f>SUM(G55:G62)</f>
        <v>574</v>
      </c>
      <c r="H63" s="778" t="s">
        <v>168</v>
      </c>
      <c r="I63" s="778"/>
      <c r="J63" s="778"/>
      <c r="K63" s="778"/>
      <c r="L63" s="117">
        <f>SUM(L55:L62)</f>
        <v>500</v>
      </c>
      <c r="M63" s="17"/>
      <c r="N63" s="17"/>
      <c r="O63"/>
      <c r="P63"/>
    </row>
    <row r="64" spans="1:14" s="1" customFormat="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1" customFormat="1" ht="13.5" thickBo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s="3" customFormat="1" ht="26.25" customHeight="1" thickBot="1">
      <c r="A66" s="833" t="s">
        <v>106</v>
      </c>
      <c r="B66" s="834"/>
      <c r="C66" s="834"/>
      <c r="D66" s="834"/>
      <c r="E66" s="835"/>
      <c r="F66" s="836" t="s">
        <v>107</v>
      </c>
      <c r="G66" s="914"/>
      <c r="H66" s="914"/>
      <c r="I66" s="914"/>
      <c r="J66" s="914"/>
      <c r="K66" s="914"/>
      <c r="L66" s="915"/>
      <c r="M66" s="19"/>
      <c r="N66" s="19"/>
    </row>
    <row r="67" spans="1:14" s="3" customFormat="1" ht="14.25" customHeight="1" thickBot="1">
      <c r="A67" s="417" t="s">
        <v>231</v>
      </c>
      <c r="B67" s="418" t="s">
        <v>96</v>
      </c>
      <c r="C67" s="908" t="s">
        <v>232</v>
      </c>
      <c r="D67" s="908"/>
      <c r="E67" s="419" t="s">
        <v>97</v>
      </c>
      <c r="F67" s="911" t="s">
        <v>231</v>
      </c>
      <c r="G67" s="912"/>
      <c r="H67" s="418" t="s">
        <v>96</v>
      </c>
      <c r="I67" s="908" t="s">
        <v>232</v>
      </c>
      <c r="J67" s="908"/>
      <c r="K67" s="908"/>
      <c r="L67" s="420" t="s">
        <v>97</v>
      </c>
      <c r="M67" s="19"/>
      <c r="N67" s="19"/>
    </row>
    <row r="68" spans="1:14" s="3" customFormat="1" ht="12.75">
      <c r="A68" s="401" t="s">
        <v>98</v>
      </c>
      <c r="B68" s="402">
        <v>104</v>
      </c>
      <c r="C68" s="842" t="s">
        <v>99</v>
      </c>
      <c r="D68" s="842"/>
      <c r="E68" s="403"/>
      <c r="F68" s="843" t="s">
        <v>98</v>
      </c>
      <c r="G68" s="909"/>
      <c r="H68" s="402">
        <v>104</v>
      </c>
      <c r="I68" s="842" t="s">
        <v>99</v>
      </c>
      <c r="J68" s="909"/>
      <c r="K68" s="909"/>
      <c r="L68" s="403"/>
      <c r="M68" s="19"/>
      <c r="N68" s="19"/>
    </row>
    <row r="69" spans="1:14" s="3" customFormat="1" ht="12.75">
      <c r="A69" s="404" t="s">
        <v>100</v>
      </c>
      <c r="B69" s="405"/>
      <c r="C69" s="845" t="s">
        <v>101</v>
      </c>
      <c r="D69" s="845"/>
      <c r="E69" s="406"/>
      <c r="F69" s="846" t="s">
        <v>102</v>
      </c>
      <c r="G69" s="901"/>
      <c r="H69" s="405">
        <v>11</v>
      </c>
      <c r="I69" s="845" t="s">
        <v>101</v>
      </c>
      <c r="J69" s="901"/>
      <c r="K69" s="901"/>
      <c r="L69" s="406"/>
      <c r="M69" s="19"/>
      <c r="N69" s="19"/>
    </row>
    <row r="70" spans="1:14" s="3" customFormat="1" ht="12.75">
      <c r="A70" s="404" t="s">
        <v>103</v>
      </c>
      <c r="B70" s="405"/>
      <c r="C70" s="845"/>
      <c r="D70" s="845"/>
      <c r="E70" s="406"/>
      <c r="F70" s="845" t="s">
        <v>104</v>
      </c>
      <c r="G70" s="845"/>
      <c r="H70" s="405"/>
      <c r="I70" s="845"/>
      <c r="J70" s="901"/>
      <c r="K70" s="901"/>
      <c r="L70" s="406"/>
      <c r="M70" s="19"/>
      <c r="N70" s="19"/>
    </row>
    <row r="71" spans="1:14" s="3" customFormat="1" ht="13.5" thickBot="1">
      <c r="A71" s="407"/>
      <c r="B71" s="408"/>
      <c r="C71" s="848"/>
      <c r="D71" s="848"/>
      <c r="E71" s="409"/>
      <c r="F71" s="849"/>
      <c r="G71" s="910"/>
      <c r="H71" s="408"/>
      <c r="I71" s="848"/>
      <c r="J71" s="910"/>
      <c r="K71" s="910"/>
      <c r="L71" s="409"/>
      <c r="M71" s="19"/>
      <c r="N71" s="19"/>
    </row>
    <row r="72" spans="1:14" s="3" customFormat="1" ht="13.5" thickBot="1">
      <c r="A72" s="410" t="s">
        <v>168</v>
      </c>
      <c r="B72" s="411">
        <f>SUM(B68:B71)</f>
        <v>104</v>
      </c>
      <c r="C72" s="851" t="s">
        <v>168</v>
      </c>
      <c r="D72" s="851"/>
      <c r="E72" s="413">
        <f>SUM(E68:E71)</f>
        <v>0</v>
      </c>
      <c r="F72" s="852" t="s">
        <v>168</v>
      </c>
      <c r="G72" s="913"/>
      <c r="H72" s="412">
        <f>SUM(H68:H71)</f>
        <v>115</v>
      </c>
      <c r="I72" s="851" t="s">
        <v>168</v>
      </c>
      <c r="J72" s="913"/>
      <c r="K72" s="913"/>
      <c r="L72" s="413">
        <f>SUM(L68:L71)</f>
        <v>0</v>
      </c>
      <c r="M72" s="19"/>
      <c r="N72" s="19"/>
    </row>
    <row r="73" spans="1:14" s="3" customFormat="1" ht="13.5" thickBot="1">
      <c r="A73" s="421" t="s">
        <v>105</v>
      </c>
      <c r="B73" s="413">
        <f>B72-E72</f>
        <v>104</v>
      </c>
      <c r="C73" s="19"/>
      <c r="D73" s="19"/>
      <c r="E73" s="19"/>
      <c r="F73" s="916" t="s">
        <v>105</v>
      </c>
      <c r="G73" s="917"/>
      <c r="H73" s="422">
        <f>H72-L72</f>
        <v>115</v>
      </c>
      <c r="I73" s="19"/>
      <c r="J73" s="19"/>
      <c r="K73" s="19"/>
      <c r="L73" s="19"/>
      <c r="M73" s="19"/>
      <c r="N73" s="19"/>
    </row>
    <row r="74" spans="1:14" s="1" customFormat="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s="1" customFormat="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2" s="1" customFormat="1" ht="12.75">
      <c r="A76" s="20"/>
      <c r="B76" s="21"/>
      <c r="C76" s="21"/>
      <c r="D76" s="21"/>
      <c r="E76" s="2"/>
      <c r="F76" s="4"/>
      <c r="G76" s="4"/>
      <c r="H76" s="20"/>
      <c r="I76" s="21"/>
      <c r="J76" s="21"/>
      <c r="K76" s="21"/>
      <c r="L76" s="2"/>
    </row>
    <row r="77" spans="1:12" s="1" customFormat="1" ht="13.5" thickBot="1">
      <c r="A77" s="20"/>
      <c r="B77" s="21"/>
      <c r="C77" s="21"/>
      <c r="D77" s="21"/>
      <c r="E77" s="2"/>
      <c r="F77" s="4"/>
      <c r="G77" s="4"/>
      <c r="H77" s="20"/>
      <c r="I77" s="21"/>
      <c r="J77" s="21" t="s">
        <v>307</v>
      </c>
      <c r="K77" s="21"/>
      <c r="L77" s="2"/>
    </row>
    <row r="78" spans="1:15" s="1" customFormat="1" ht="12.75">
      <c r="A78" s="879" t="s">
        <v>227</v>
      </c>
      <c r="B78" s="882" t="s">
        <v>435</v>
      </c>
      <c r="C78" s="885" t="s">
        <v>436</v>
      </c>
      <c r="D78" s="886"/>
      <c r="E78" s="886"/>
      <c r="F78" s="886"/>
      <c r="G78" s="886"/>
      <c r="H78" s="886"/>
      <c r="I78" s="887"/>
      <c r="J78" s="888" t="s">
        <v>437</v>
      </c>
      <c r="K78" s="7"/>
      <c r="L78" s="864" t="s">
        <v>205</v>
      </c>
      <c r="M78" s="865"/>
      <c r="N78" s="59">
        <v>2006</v>
      </c>
      <c r="O78" s="60">
        <v>2007</v>
      </c>
    </row>
    <row r="79" spans="1:15" s="1" customFormat="1" ht="12.75">
      <c r="A79" s="880"/>
      <c r="B79" s="883"/>
      <c r="C79" s="891" t="s">
        <v>228</v>
      </c>
      <c r="D79" s="893" t="s">
        <v>229</v>
      </c>
      <c r="E79" s="894"/>
      <c r="F79" s="894"/>
      <c r="G79" s="894"/>
      <c r="H79" s="894"/>
      <c r="I79" s="895"/>
      <c r="J79" s="889"/>
      <c r="K79" s="7"/>
      <c r="L79" s="63" t="s">
        <v>273</v>
      </c>
      <c r="M79" s="62"/>
      <c r="N79" s="58"/>
      <c r="O79" s="61"/>
    </row>
    <row r="80" spans="1:15" s="1" customFormat="1" ht="13.5" thickBot="1">
      <c r="A80" s="881"/>
      <c r="B80" s="884"/>
      <c r="C80" s="892"/>
      <c r="D80" s="25">
        <v>1</v>
      </c>
      <c r="E80" s="25">
        <v>2</v>
      </c>
      <c r="F80" s="25">
        <v>3</v>
      </c>
      <c r="G80" s="25">
        <v>4</v>
      </c>
      <c r="H80" s="25">
        <v>5</v>
      </c>
      <c r="I80" s="56">
        <v>6</v>
      </c>
      <c r="J80" s="890"/>
      <c r="K80" s="7"/>
      <c r="L80" s="62" t="s">
        <v>206</v>
      </c>
      <c r="M80" s="63"/>
      <c r="N80" s="22">
        <v>0</v>
      </c>
      <c r="O80" s="23">
        <v>0</v>
      </c>
    </row>
    <row r="81" spans="1:15" s="1" customFormat="1" ht="13.5" thickBot="1">
      <c r="A81" s="26">
        <v>2819</v>
      </c>
      <c r="B81" s="27">
        <v>1753</v>
      </c>
      <c r="C81" s="54">
        <f>SUM(D81:I81)</f>
        <v>200</v>
      </c>
      <c r="D81" s="55">
        <v>90</v>
      </c>
      <c r="E81" s="55">
        <v>98</v>
      </c>
      <c r="F81" s="55">
        <v>12</v>
      </c>
      <c r="G81" s="55"/>
      <c r="H81" s="54"/>
      <c r="I81" s="57"/>
      <c r="J81" s="28">
        <f>SUM(A81-B81-C81)</f>
        <v>866</v>
      </c>
      <c r="K81" s="7"/>
      <c r="L81" s="64" t="s">
        <v>207</v>
      </c>
      <c r="M81" s="65"/>
      <c r="N81" s="52">
        <v>0</v>
      </c>
      <c r="O81" s="53">
        <v>0</v>
      </c>
    </row>
    <row r="82" spans="1:12" s="1" customFormat="1" ht="12.75">
      <c r="A82" s="20"/>
      <c r="B82" s="21"/>
      <c r="C82" s="21"/>
      <c r="D82" s="21"/>
      <c r="E82" s="2"/>
      <c r="F82" s="200"/>
      <c r="G82" s="4"/>
      <c r="H82" s="20"/>
      <c r="I82" s="21"/>
      <c r="J82" s="21"/>
      <c r="K82" s="21"/>
      <c r="L82" s="2"/>
    </row>
    <row r="83" spans="1:12" s="1" customFormat="1" ht="13.5" thickBot="1">
      <c r="A83" s="20"/>
      <c r="B83" s="21"/>
      <c r="C83" s="21"/>
      <c r="D83" s="21"/>
      <c r="E83" s="2"/>
      <c r="F83" s="200"/>
      <c r="G83" s="4"/>
      <c r="H83" s="20"/>
      <c r="I83" s="21"/>
      <c r="J83" s="21"/>
      <c r="K83" s="21"/>
      <c r="L83" s="21" t="s">
        <v>307</v>
      </c>
    </row>
    <row r="84" spans="1:12" s="1" customFormat="1" ht="12.75">
      <c r="A84" s="855" t="s">
        <v>255</v>
      </c>
      <c r="B84" s="857" t="s">
        <v>438</v>
      </c>
      <c r="C84" s="859" t="s">
        <v>439</v>
      </c>
      <c r="D84" s="860"/>
      <c r="E84" s="860"/>
      <c r="F84" s="861"/>
      <c r="G84" s="862" t="s">
        <v>440</v>
      </c>
      <c r="H84" s="896" t="s">
        <v>230</v>
      </c>
      <c r="I84" s="898" t="s">
        <v>441</v>
      </c>
      <c r="J84" s="899"/>
      <c r="K84" s="899"/>
      <c r="L84" s="900"/>
    </row>
    <row r="85" spans="1:12" s="1" customFormat="1" ht="18.75" thickBot="1">
      <c r="A85" s="856"/>
      <c r="B85" s="858"/>
      <c r="C85" s="29" t="s">
        <v>321</v>
      </c>
      <c r="D85" s="30" t="s">
        <v>231</v>
      </c>
      <c r="E85" s="30" t="s">
        <v>232</v>
      </c>
      <c r="F85" s="31" t="s">
        <v>322</v>
      </c>
      <c r="G85" s="863"/>
      <c r="H85" s="897"/>
      <c r="I85" s="174" t="s">
        <v>442</v>
      </c>
      <c r="J85" s="175" t="s">
        <v>231</v>
      </c>
      <c r="K85" s="175" t="s">
        <v>232</v>
      </c>
      <c r="L85" s="176" t="s">
        <v>443</v>
      </c>
    </row>
    <row r="86" spans="1:12" s="1" customFormat="1" ht="12.75">
      <c r="A86" s="32" t="s">
        <v>233</v>
      </c>
      <c r="B86" s="33">
        <v>511</v>
      </c>
      <c r="C86" s="34"/>
      <c r="D86" s="35" t="s">
        <v>234</v>
      </c>
      <c r="E86" s="35" t="s">
        <v>234</v>
      </c>
      <c r="F86" s="36"/>
      <c r="G86" s="37">
        <v>983</v>
      </c>
      <c r="H86" s="171" t="s">
        <v>234</v>
      </c>
      <c r="I86" s="177"/>
      <c r="J86" s="178" t="s">
        <v>234</v>
      </c>
      <c r="K86" s="178" t="s">
        <v>234</v>
      </c>
      <c r="L86" s="179" t="s">
        <v>234</v>
      </c>
    </row>
    <row r="87" spans="1:12" s="1" customFormat="1" ht="12.75">
      <c r="A87" s="38" t="s">
        <v>235</v>
      </c>
      <c r="B87" s="39"/>
      <c r="C87" s="40">
        <v>16</v>
      </c>
      <c r="D87" s="41">
        <v>0</v>
      </c>
      <c r="E87" s="41">
        <v>0</v>
      </c>
      <c r="F87" s="42">
        <f>C87+D87-E87</f>
        <v>16</v>
      </c>
      <c r="G87" s="43"/>
      <c r="H87" s="172">
        <f>+G87-F87</f>
        <v>-16</v>
      </c>
      <c r="I87" s="40">
        <v>16</v>
      </c>
      <c r="J87" s="41">
        <v>0</v>
      </c>
      <c r="K87" s="41">
        <v>0</v>
      </c>
      <c r="L87" s="42">
        <f>I87+J87-K87</f>
        <v>16</v>
      </c>
    </row>
    <row r="88" spans="1:12" s="1" customFormat="1" ht="12.75">
      <c r="A88" s="38" t="s">
        <v>236</v>
      </c>
      <c r="B88" s="39"/>
      <c r="C88" s="40">
        <v>104</v>
      </c>
      <c r="D88" s="41">
        <v>0</v>
      </c>
      <c r="E88" s="41">
        <v>0</v>
      </c>
      <c r="F88" s="42">
        <f>C88+D88-E88</f>
        <v>104</v>
      </c>
      <c r="G88" s="43"/>
      <c r="H88" s="172">
        <f>+G88-F88</f>
        <v>-104</v>
      </c>
      <c r="I88" s="40">
        <v>104</v>
      </c>
      <c r="J88" s="41">
        <v>11</v>
      </c>
      <c r="K88" s="41">
        <v>0</v>
      </c>
      <c r="L88" s="42">
        <f>I88+J88-K88</f>
        <v>115</v>
      </c>
    </row>
    <row r="89" spans="1:12" s="1" customFormat="1" ht="12.75">
      <c r="A89" s="38" t="s">
        <v>256</v>
      </c>
      <c r="B89" s="39"/>
      <c r="C89" s="40">
        <v>312</v>
      </c>
      <c r="D89" s="41">
        <v>193</v>
      </c>
      <c r="E89" s="41">
        <v>205</v>
      </c>
      <c r="F89" s="42">
        <v>300</v>
      </c>
      <c r="G89" s="43"/>
      <c r="H89" s="172">
        <f>+G89-F89</f>
        <v>-300</v>
      </c>
      <c r="I89" s="180">
        <v>300</v>
      </c>
      <c r="J89" s="170">
        <v>800</v>
      </c>
      <c r="K89" s="170">
        <v>800</v>
      </c>
      <c r="L89" s="42">
        <f>I89+J89-K89</f>
        <v>300</v>
      </c>
    </row>
    <row r="90" spans="1:12" s="1" customFormat="1" ht="12.75">
      <c r="A90" s="38" t="s">
        <v>237</v>
      </c>
      <c r="B90" s="39">
        <v>511</v>
      </c>
      <c r="C90" s="50"/>
      <c r="D90" s="35" t="s">
        <v>234</v>
      </c>
      <c r="E90" s="51" t="s">
        <v>234</v>
      </c>
      <c r="F90" s="42"/>
      <c r="G90" s="43">
        <v>983</v>
      </c>
      <c r="H90" s="50" t="s">
        <v>234</v>
      </c>
      <c r="I90" s="34"/>
      <c r="J90" s="35"/>
      <c r="K90" s="35"/>
      <c r="L90" s="181"/>
    </row>
    <row r="91" spans="1:12" s="1" customFormat="1" ht="13.5" thickBot="1">
      <c r="A91" s="44" t="s">
        <v>238</v>
      </c>
      <c r="B91" s="45">
        <v>76</v>
      </c>
      <c r="C91" s="46">
        <v>102</v>
      </c>
      <c r="D91" s="47">
        <v>73</v>
      </c>
      <c r="E91" s="47">
        <v>53</v>
      </c>
      <c r="F91" s="48">
        <f>C91+D91-E91</f>
        <v>122</v>
      </c>
      <c r="G91" s="49"/>
      <c r="H91" s="173">
        <f>+G91-F91</f>
        <v>-122</v>
      </c>
      <c r="I91" s="46">
        <v>122</v>
      </c>
      <c r="J91" s="47">
        <v>80</v>
      </c>
      <c r="K91" s="47">
        <v>80</v>
      </c>
      <c r="L91" s="48">
        <f>I91+J91-K91</f>
        <v>122</v>
      </c>
    </row>
    <row r="92" spans="1:12" s="1" customFormat="1" ht="12.75">
      <c r="A92" s="20"/>
      <c r="B92" s="21"/>
      <c r="C92" s="21"/>
      <c r="D92" s="21"/>
      <c r="E92" s="2"/>
      <c r="F92" s="200"/>
      <c r="G92" s="4"/>
      <c r="H92" s="20"/>
      <c r="I92" s="21"/>
      <c r="J92" s="21"/>
      <c r="K92" s="21"/>
      <c r="L92" s="2"/>
    </row>
    <row r="93" spans="1:12" s="1" customFormat="1" ht="12.75">
      <c r="A93" s="20"/>
      <c r="B93" s="21"/>
      <c r="C93" s="21"/>
      <c r="D93" s="21"/>
      <c r="E93" s="2"/>
      <c r="F93" s="200"/>
      <c r="G93" s="4"/>
      <c r="H93" s="20"/>
      <c r="I93" s="21"/>
      <c r="J93" s="21"/>
      <c r="K93" s="21"/>
      <c r="L93" s="2"/>
    </row>
    <row r="94" spans="1:12" s="1" customFormat="1" ht="12.75">
      <c r="A94" s="20"/>
      <c r="B94" s="21"/>
      <c r="C94" s="21"/>
      <c r="D94" s="21"/>
      <c r="E94" s="2"/>
      <c r="F94" s="200"/>
      <c r="G94" s="4"/>
      <c r="H94" s="20"/>
      <c r="I94" s="21"/>
      <c r="J94" s="21"/>
      <c r="K94" s="21"/>
      <c r="L94" s="2"/>
    </row>
    <row r="95" spans="1:12" s="1" customFormat="1" ht="12.75">
      <c r="A95" s="20"/>
      <c r="B95" s="21"/>
      <c r="C95" s="21"/>
      <c r="D95" s="21"/>
      <c r="E95" s="2"/>
      <c r="F95" s="200"/>
      <c r="G95" s="4"/>
      <c r="H95" s="20"/>
      <c r="I95" s="21"/>
      <c r="J95" s="21"/>
      <c r="K95" s="21"/>
      <c r="L95" s="2"/>
    </row>
    <row r="96" spans="1:12" s="1" customFormat="1" ht="12.75">
      <c r="A96" s="20"/>
      <c r="B96" s="21"/>
      <c r="C96" s="21"/>
      <c r="D96" s="21"/>
      <c r="E96" s="2"/>
      <c r="F96" s="200"/>
      <c r="G96" s="4"/>
      <c r="H96" s="20"/>
      <c r="I96" s="21"/>
      <c r="J96" s="21"/>
      <c r="K96" s="21"/>
      <c r="L96" s="2"/>
    </row>
    <row r="97" spans="1:12" s="1" customFormat="1" ht="12.75">
      <c r="A97" s="20"/>
      <c r="B97" s="21"/>
      <c r="C97" s="21"/>
      <c r="D97" s="21"/>
      <c r="E97" s="2"/>
      <c r="F97" s="4"/>
      <c r="G97" s="4"/>
      <c r="H97" s="20"/>
      <c r="I97" s="21"/>
      <c r="J97" s="21"/>
      <c r="K97" s="21"/>
      <c r="L97" s="2"/>
    </row>
    <row r="98" spans="1:12" s="1" customFormat="1" ht="12.75">
      <c r="A98" s="20"/>
      <c r="B98" s="21"/>
      <c r="C98" s="21"/>
      <c r="D98" s="21"/>
      <c r="E98" s="2"/>
      <c r="F98" s="4"/>
      <c r="G98" s="4"/>
      <c r="H98" s="20"/>
      <c r="I98" s="21"/>
      <c r="J98" s="21"/>
      <c r="K98" s="21"/>
      <c r="L98" s="2"/>
    </row>
    <row r="99" spans="8:12" ht="13.5" thickBot="1">
      <c r="H99" s="21" t="s">
        <v>307</v>
      </c>
      <c r="L99" s="21" t="s">
        <v>307</v>
      </c>
    </row>
    <row r="100" spans="1:12" ht="13.5" thickBot="1">
      <c r="A100" s="823" t="s">
        <v>444</v>
      </c>
      <c r="B100" s="824" t="s">
        <v>168</v>
      </c>
      <c r="C100" s="810" t="s">
        <v>239</v>
      </c>
      <c r="D100" s="810"/>
      <c r="E100" s="810"/>
      <c r="F100" s="810"/>
      <c r="G100" s="810"/>
      <c r="H100" s="810"/>
      <c r="I100" s="24"/>
      <c r="J100" s="825" t="s">
        <v>208</v>
      </c>
      <c r="K100" s="825"/>
      <c r="L100" s="825"/>
    </row>
    <row r="101" spans="1:12" ht="13.5" thickBot="1">
      <c r="A101" s="823"/>
      <c r="B101" s="824"/>
      <c r="C101" s="126" t="s">
        <v>240</v>
      </c>
      <c r="D101" s="127" t="s">
        <v>241</v>
      </c>
      <c r="E101" s="127" t="s">
        <v>242</v>
      </c>
      <c r="F101" s="127" t="s">
        <v>243</v>
      </c>
      <c r="G101" s="128" t="s">
        <v>244</v>
      </c>
      <c r="H101" s="129" t="s">
        <v>228</v>
      </c>
      <c r="I101" s="24"/>
      <c r="J101" s="130"/>
      <c r="K101" s="131" t="s">
        <v>209</v>
      </c>
      <c r="L101" s="132" t="s">
        <v>210</v>
      </c>
    </row>
    <row r="102" spans="1:12" ht="12.75">
      <c r="A102" s="133" t="s">
        <v>245</v>
      </c>
      <c r="B102" s="134">
        <v>258</v>
      </c>
      <c r="C102" s="135">
        <v>114</v>
      </c>
      <c r="D102" s="135">
        <v>144</v>
      </c>
      <c r="E102" s="135"/>
      <c r="F102" s="135"/>
      <c r="G102" s="134"/>
      <c r="H102" s="136">
        <f>SUM(C102:G102)</f>
        <v>258</v>
      </c>
      <c r="I102" s="24"/>
      <c r="J102" s="137">
        <v>2007</v>
      </c>
      <c r="K102" s="138">
        <v>3680</v>
      </c>
      <c r="L102" s="139">
        <v>3660</v>
      </c>
    </row>
    <row r="103" spans="1:12" ht="13.5" thickBot="1">
      <c r="A103" s="140" t="s">
        <v>246</v>
      </c>
      <c r="B103" s="141">
        <v>895</v>
      </c>
      <c r="C103" s="142">
        <v>895</v>
      </c>
      <c r="D103" s="142"/>
      <c r="E103" s="142"/>
      <c r="F103" s="142"/>
      <c r="G103" s="141"/>
      <c r="H103" s="143">
        <f>SUM(C103:G103)</f>
        <v>895</v>
      </c>
      <c r="I103" s="24"/>
      <c r="J103" s="144">
        <v>2008</v>
      </c>
      <c r="K103" s="145">
        <v>3929</v>
      </c>
      <c r="L103" s="146"/>
    </row>
    <row r="104" ht="12.75" customHeight="1"/>
    <row r="105" ht="13.5" thickBot="1">
      <c r="J105" s="208" t="s">
        <v>323</v>
      </c>
    </row>
    <row r="106" spans="1:10" ht="21" customHeight="1" thickBot="1">
      <c r="A106" s="823" t="s">
        <v>211</v>
      </c>
      <c r="B106" s="826" t="s">
        <v>212</v>
      </c>
      <c r="C106" s="826"/>
      <c r="D106" s="826"/>
      <c r="E106" s="827" t="s">
        <v>274</v>
      </c>
      <c r="F106" s="827"/>
      <c r="G106" s="827"/>
      <c r="H106" s="828" t="s">
        <v>213</v>
      </c>
      <c r="I106" s="828"/>
      <c r="J106" s="828"/>
    </row>
    <row r="107" spans="1:10" ht="12.75">
      <c r="A107" s="823"/>
      <c r="B107" s="147">
        <v>2006</v>
      </c>
      <c r="C107" s="147">
        <v>2007</v>
      </c>
      <c r="D107" s="147" t="s">
        <v>214</v>
      </c>
      <c r="E107" s="147">
        <v>2006</v>
      </c>
      <c r="F107" s="147">
        <v>2007</v>
      </c>
      <c r="G107" s="148" t="s">
        <v>214</v>
      </c>
      <c r="H107" s="149">
        <v>2006</v>
      </c>
      <c r="I107" s="147">
        <v>2007</v>
      </c>
      <c r="J107" s="148" t="s">
        <v>214</v>
      </c>
    </row>
    <row r="108" spans="1:10" ht="18.75">
      <c r="A108" s="150" t="s">
        <v>215</v>
      </c>
      <c r="B108" s="151">
        <v>2.3</v>
      </c>
      <c r="C108" s="151">
        <v>2.4</v>
      </c>
      <c r="D108" s="151">
        <f aca="true" t="shared" si="14" ref="D108:D118">+C108-B108</f>
        <v>0.10000000000000009</v>
      </c>
      <c r="E108" s="151">
        <v>2.3</v>
      </c>
      <c r="F108" s="151">
        <v>2.3</v>
      </c>
      <c r="G108" s="152">
        <f aca="true" t="shared" si="15" ref="G108:G118">+F108-E108</f>
        <v>0</v>
      </c>
      <c r="H108" s="153">
        <v>27098</v>
      </c>
      <c r="I108" s="154">
        <v>27330</v>
      </c>
      <c r="J108" s="155">
        <f aca="true" t="shared" si="16" ref="J108:J118">+I108-H108</f>
        <v>232</v>
      </c>
    </row>
    <row r="109" spans="1:10" ht="12.75">
      <c r="A109" s="150" t="s">
        <v>248</v>
      </c>
      <c r="B109" s="151">
        <v>3.1</v>
      </c>
      <c r="C109" s="151">
        <v>3.3</v>
      </c>
      <c r="D109" s="151">
        <f t="shared" si="14"/>
        <v>0.19999999999999973</v>
      </c>
      <c r="E109" s="151">
        <v>3</v>
      </c>
      <c r="F109" s="151">
        <v>4.2</v>
      </c>
      <c r="G109" s="152">
        <f t="shared" si="15"/>
        <v>1.2000000000000002</v>
      </c>
      <c r="H109" s="153">
        <v>18196</v>
      </c>
      <c r="I109" s="156">
        <v>20083</v>
      </c>
      <c r="J109" s="155">
        <f t="shared" si="16"/>
        <v>1887</v>
      </c>
    </row>
    <row r="110" spans="1:10" ht="12.75">
      <c r="A110" s="150" t="s">
        <v>216</v>
      </c>
      <c r="B110" s="151"/>
      <c r="C110" s="151"/>
      <c r="D110" s="151">
        <f t="shared" si="14"/>
        <v>0</v>
      </c>
      <c r="E110" s="151"/>
      <c r="F110" s="151"/>
      <c r="G110" s="152">
        <f t="shared" si="15"/>
        <v>0</v>
      </c>
      <c r="H110" s="153"/>
      <c r="I110" s="156"/>
      <c r="J110" s="155">
        <f t="shared" si="16"/>
        <v>0</v>
      </c>
    </row>
    <row r="111" spans="1:10" ht="12.75">
      <c r="A111" s="150" t="s">
        <v>217</v>
      </c>
      <c r="B111" s="151">
        <v>6</v>
      </c>
      <c r="C111" s="151">
        <v>6.4</v>
      </c>
      <c r="D111" s="151">
        <f t="shared" si="14"/>
        <v>0.40000000000000036</v>
      </c>
      <c r="E111" s="151">
        <v>6</v>
      </c>
      <c r="F111" s="151">
        <v>6</v>
      </c>
      <c r="G111" s="152">
        <f t="shared" si="15"/>
        <v>0</v>
      </c>
      <c r="H111" s="153">
        <v>13415</v>
      </c>
      <c r="I111" s="156">
        <v>13958</v>
      </c>
      <c r="J111" s="155">
        <f t="shared" si="16"/>
        <v>543</v>
      </c>
    </row>
    <row r="112" spans="1:10" ht="12.75">
      <c r="A112" s="150" t="s">
        <v>299</v>
      </c>
      <c r="B112" s="151"/>
      <c r="C112" s="151"/>
      <c r="D112" s="151">
        <f t="shared" si="14"/>
        <v>0</v>
      </c>
      <c r="E112" s="151"/>
      <c r="F112" s="151"/>
      <c r="G112" s="152">
        <f t="shared" si="15"/>
        <v>0</v>
      </c>
      <c r="H112" s="153"/>
      <c r="I112" s="156"/>
      <c r="J112" s="155">
        <f t="shared" si="16"/>
        <v>0</v>
      </c>
    </row>
    <row r="113" spans="1:10" ht="12.75">
      <c r="A113" s="150" t="s">
        <v>297</v>
      </c>
      <c r="B113" s="151"/>
      <c r="C113" s="151"/>
      <c r="D113" s="151">
        <f t="shared" si="14"/>
        <v>0</v>
      </c>
      <c r="E113" s="151"/>
      <c r="F113" s="151"/>
      <c r="G113" s="152">
        <f t="shared" si="15"/>
        <v>0</v>
      </c>
      <c r="H113" s="153"/>
      <c r="I113" s="156"/>
      <c r="J113" s="155">
        <f t="shared" si="16"/>
        <v>0</v>
      </c>
    </row>
    <row r="114" spans="1:10" ht="12.75">
      <c r="A114" s="150" t="s">
        <v>325</v>
      </c>
      <c r="B114" s="151"/>
      <c r="C114" s="151"/>
      <c r="D114" s="151">
        <f t="shared" si="14"/>
        <v>0</v>
      </c>
      <c r="E114" s="151"/>
      <c r="F114" s="151"/>
      <c r="G114" s="152">
        <f t="shared" si="15"/>
        <v>0</v>
      </c>
      <c r="H114" s="153"/>
      <c r="I114" s="156"/>
      <c r="J114" s="155">
        <f t="shared" si="16"/>
        <v>0</v>
      </c>
    </row>
    <row r="115" spans="1:10" ht="12.75">
      <c r="A115" s="150" t="s">
        <v>219</v>
      </c>
      <c r="B115" s="151"/>
      <c r="C115" s="151"/>
      <c r="D115" s="151">
        <f t="shared" si="14"/>
        <v>0</v>
      </c>
      <c r="E115" s="151"/>
      <c r="F115" s="151"/>
      <c r="G115" s="152">
        <f t="shared" si="15"/>
        <v>0</v>
      </c>
      <c r="H115" s="153"/>
      <c r="I115" s="156"/>
      <c r="J115" s="155">
        <f t="shared" si="16"/>
        <v>0</v>
      </c>
    </row>
    <row r="116" spans="1:10" ht="12.75">
      <c r="A116" s="150" t="s">
        <v>220</v>
      </c>
      <c r="B116" s="151">
        <v>1.1</v>
      </c>
      <c r="C116" s="151">
        <v>1</v>
      </c>
      <c r="D116" s="151">
        <f t="shared" si="14"/>
        <v>-0.10000000000000009</v>
      </c>
      <c r="E116" s="151">
        <v>1</v>
      </c>
      <c r="F116" s="151">
        <v>1</v>
      </c>
      <c r="G116" s="152">
        <f t="shared" si="15"/>
        <v>0</v>
      </c>
      <c r="H116" s="153">
        <v>9492</v>
      </c>
      <c r="I116" s="156">
        <v>13692</v>
      </c>
      <c r="J116" s="155">
        <f t="shared" si="16"/>
        <v>4200</v>
      </c>
    </row>
    <row r="117" spans="1:10" ht="12.75">
      <c r="A117" s="150" t="s">
        <v>221</v>
      </c>
      <c r="B117" s="151">
        <v>5.7</v>
      </c>
      <c r="C117" s="151">
        <v>5.7</v>
      </c>
      <c r="D117" s="151">
        <f t="shared" si="14"/>
        <v>0</v>
      </c>
      <c r="E117" s="151">
        <v>5.5</v>
      </c>
      <c r="F117" s="151">
        <v>6.9</v>
      </c>
      <c r="G117" s="152">
        <f t="shared" si="15"/>
        <v>1.4000000000000004</v>
      </c>
      <c r="H117" s="153">
        <v>10930</v>
      </c>
      <c r="I117" s="156">
        <v>12295</v>
      </c>
      <c r="J117" s="155">
        <f t="shared" si="16"/>
        <v>1365</v>
      </c>
    </row>
    <row r="118" spans="1:10" ht="13.5" thickBot="1">
      <c r="A118" s="157" t="s">
        <v>168</v>
      </c>
      <c r="B118" s="158">
        <v>18.2</v>
      </c>
      <c r="C118" s="158">
        <v>18.8</v>
      </c>
      <c r="D118" s="158">
        <f t="shared" si="14"/>
        <v>0.6000000000000014</v>
      </c>
      <c r="E118" s="158">
        <v>17.8</v>
      </c>
      <c r="F118" s="158">
        <v>20.4</v>
      </c>
      <c r="G118" s="159">
        <f t="shared" si="15"/>
        <v>2.599999999999998</v>
      </c>
      <c r="H118" s="160"/>
      <c r="I118" s="161"/>
      <c r="J118" s="162">
        <f t="shared" si="16"/>
        <v>0</v>
      </c>
    </row>
    <row r="119" ht="13.5" thickBot="1"/>
    <row r="120" spans="1:16" ht="12.75">
      <c r="A120" s="829" t="s">
        <v>222</v>
      </c>
      <c r="B120" s="829"/>
      <c r="C120" s="829"/>
      <c r="D120" s="24"/>
      <c r="E120" s="829" t="s">
        <v>223</v>
      </c>
      <c r="F120" s="829"/>
      <c r="G120" s="829"/>
      <c r="H120"/>
      <c r="I120"/>
      <c r="J120"/>
      <c r="K120"/>
      <c r="L120"/>
      <c r="M120"/>
      <c r="N120"/>
      <c r="O120"/>
      <c r="P120"/>
    </row>
    <row r="121" spans="1:16" ht="13.5" thickBot="1">
      <c r="A121" s="130" t="s">
        <v>224</v>
      </c>
      <c r="B121" s="131" t="s">
        <v>225</v>
      </c>
      <c r="C121" s="132" t="s">
        <v>210</v>
      </c>
      <c r="D121" s="24"/>
      <c r="E121" s="130"/>
      <c r="F121" s="832" t="s">
        <v>226</v>
      </c>
      <c r="G121" s="832"/>
      <c r="H121"/>
      <c r="I121"/>
      <c r="J121"/>
      <c r="K121"/>
      <c r="L121"/>
      <c r="M121"/>
      <c r="N121"/>
      <c r="O121"/>
      <c r="P121"/>
    </row>
    <row r="122" spans="1:16" ht="12.75">
      <c r="A122" s="137">
        <v>2007</v>
      </c>
      <c r="B122" s="138">
        <v>19.4</v>
      </c>
      <c r="C122" s="139">
        <v>18.8</v>
      </c>
      <c r="D122" s="24"/>
      <c r="E122" s="137">
        <v>2007</v>
      </c>
      <c r="F122" s="830">
        <v>41</v>
      </c>
      <c r="G122" s="830"/>
      <c r="H122"/>
      <c r="I122"/>
      <c r="J122"/>
      <c r="K122"/>
      <c r="L122"/>
      <c r="M122"/>
      <c r="N122"/>
      <c r="O122"/>
      <c r="P122"/>
    </row>
    <row r="123" spans="1:16" ht="13.5" thickBot="1">
      <c r="A123" s="144">
        <v>2008</v>
      </c>
      <c r="B123" s="145">
        <v>20</v>
      </c>
      <c r="C123" s="146"/>
      <c r="D123" s="24"/>
      <c r="E123" s="144">
        <v>2008</v>
      </c>
      <c r="F123" s="831">
        <v>45</v>
      </c>
      <c r="G123" s="831"/>
      <c r="H123"/>
      <c r="I123"/>
      <c r="J123"/>
      <c r="K123"/>
      <c r="L123"/>
      <c r="M123"/>
      <c r="N123"/>
      <c r="O123"/>
      <c r="P123"/>
    </row>
  </sheetData>
  <mergeCells count="123">
    <mergeCell ref="C72:D72"/>
    <mergeCell ref="F72:G72"/>
    <mergeCell ref="I72:K72"/>
    <mergeCell ref="F73:G73"/>
    <mergeCell ref="C70:D70"/>
    <mergeCell ref="F70:G70"/>
    <mergeCell ref="I70:K70"/>
    <mergeCell ref="C71:D71"/>
    <mergeCell ref="F71:G71"/>
    <mergeCell ref="I71:K71"/>
    <mergeCell ref="C68:D68"/>
    <mergeCell ref="F68:G68"/>
    <mergeCell ref="I68:K68"/>
    <mergeCell ref="C69:D69"/>
    <mergeCell ref="F69:G69"/>
    <mergeCell ref="I69:K69"/>
    <mergeCell ref="A66:E66"/>
    <mergeCell ref="F66:L66"/>
    <mergeCell ref="C67:D67"/>
    <mergeCell ref="F67:G67"/>
    <mergeCell ref="I67:K67"/>
    <mergeCell ref="H42:K43"/>
    <mergeCell ref="L42:L43"/>
    <mergeCell ref="A42:B43"/>
    <mergeCell ref="C42:C43"/>
    <mergeCell ref="B39:D39"/>
    <mergeCell ref="E39:G39"/>
    <mergeCell ref="D42:F43"/>
    <mergeCell ref="G42:G43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5:B55"/>
    <mergeCell ref="D55:F55"/>
    <mergeCell ref="H55:K55"/>
    <mergeCell ref="A50:B50"/>
    <mergeCell ref="D50:F50"/>
    <mergeCell ref="H50:K50"/>
    <mergeCell ref="A51:B51"/>
    <mergeCell ref="D51:F51"/>
    <mergeCell ref="H51:K51"/>
    <mergeCell ref="A53:B54"/>
    <mergeCell ref="A59:B59"/>
    <mergeCell ref="D59:F59"/>
    <mergeCell ref="H59:K59"/>
    <mergeCell ref="A56:B56"/>
    <mergeCell ref="D56:F56"/>
    <mergeCell ref="H56:K56"/>
    <mergeCell ref="A57:B57"/>
    <mergeCell ref="D57:F57"/>
    <mergeCell ref="H57:K57"/>
    <mergeCell ref="M4:N4"/>
    <mergeCell ref="A62:B62"/>
    <mergeCell ref="D62:F62"/>
    <mergeCell ref="H62:K62"/>
    <mergeCell ref="A60:B60"/>
    <mergeCell ref="D60:F60"/>
    <mergeCell ref="H60:K60"/>
    <mergeCell ref="A61:B61"/>
    <mergeCell ref="D61:F61"/>
    <mergeCell ref="H61:K61"/>
    <mergeCell ref="A1:N1"/>
    <mergeCell ref="J39:L39"/>
    <mergeCell ref="B40:D40"/>
    <mergeCell ref="E40:G40"/>
    <mergeCell ref="B4:D4"/>
    <mergeCell ref="E4:G4"/>
    <mergeCell ref="J4:L4"/>
    <mergeCell ref="A3:A6"/>
    <mergeCell ref="B3:N3"/>
    <mergeCell ref="H4:I4"/>
    <mergeCell ref="C53:C54"/>
    <mergeCell ref="D53:F54"/>
    <mergeCell ref="G53:G54"/>
    <mergeCell ref="H53:K54"/>
    <mergeCell ref="B78:B80"/>
    <mergeCell ref="C78:I78"/>
    <mergeCell ref="J78:J80"/>
    <mergeCell ref="L53:L54"/>
    <mergeCell ref="A63:B63"/>
    <mergeCell ref="D63:F63"/>
    <mergeCell ref="H63:K63"/>
    <mergeCell ref="A58:B58"/>
    <mergeCell ref="D58:F58"/>
    <mergeCell ref="H58:K58"/>
    <mergeCell ref="L78:M78"/>
    <mergeCell ref="C79:C80"/>
    <mergeCell ref="D79:I79"/>
    <mergeCell ref="A84:A85"/>
    <mergeCell ref="B84:B85"/>
    <mergeCell ref="C84:F84"/>
    <mergeCell ref="G84:G85"/>
    <mergeCell ref="H84:H85"/>
    <mergeCell ref="I84:L84"/>
    <mergeCell ref="A78:A80"/>
    <mergeCell ref="J100:L100"/>
    <mergeCell ref="A106:A107"/>
    <mergeCell ref="B106:D106"/>
    <mergeCell ref="E106:G106"/>
    <mergeCell ref="H106:J106"/>
    <mergeCell ref="A100:A101"/>
    <mergeCell ref="B100:B101"/>
    <mergeCell ref="C100:H100"/>
    <mergeCell ref="F123:G123"/>
    <mergeCell ref="A120:C120"/>
    <mergeCell ref="E120:G120"/>
    <mergeCell ref="F121:G121"/>
    <mergeCell ref="F122:G122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4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SheetLayoutView="100" workbookViewId="0" topLeftCell="A1">
      <selection activeCell="O51" sqref="O51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875"/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307</v>
      </c>
    </row>
    <row r="3" spans="1:14" ht="24" customHeight="1" thickBot="1">
      <c r="A3" s="876" t="s">
        <v>165</v>
      </c>
      <c r="B3" s="792" t="s">
        <v>56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4" ht="14.25" thickBot="1" thickTop="1">
      <c r="A4" s="876"/>
      <c r="B4" s="790" t="s">
        <v>308</v>
      </c>
      <c r="C4" s="790"/>
      <c r="D4" s="790"/>
      <c r="E4" s="790" t="s">
        <v>417</v>
      </c>
      <c r="F4" s="790"/>
      <c r="G4" s="790"/>
      <c r="H4" s="793" t="s">
        <v>309</v>
      </c>
      <c r="I4" s="793"/>
      <c r="J4" s="790" t="s">
        <v>418</v>
      </c>
      <c r="K4" s="790"/>
      <c r="L4" s="790"/>
      <c r="M4" s="790" t="s">
        <v>419</v>
      </c>
      <c r="N4" s="790"/>
    </row>
    <row r="5" spans="1:14" ht="14.25" thickBot="1" thickTop="1">
      <c r="A5" s="876"/>
      <c r="B5" s="66" t="s">
        <v>166</v>
      </c>
      <c r="C5" s="67" t="s">
        <v>167</v>
      </c>
      <c r="D5" s="68" t="s">
        <v>168</v>
      </c>
      <c r="E5" s="66" t="s">
        <v>166</v>
      </c>
      <c r="F5" s="67" t="s">
        <v>167</v>
      </c>
      <c r="G5" s="68" t="s">
        <v>168</v>
      </c>
      <c r="H5" s="69" t="s">
        <v>168</v>
      </c>
      <c r="I5" s="69" t="s">
        <v>169</v>
      </c>
      <c r="J5" s="70" t="s">
        <v>166</v>
      </c>
      <c r="K5" s="67" t="s">
        <v>167</v>
      </c>
      <c r="L5" s="68" t="s">
        <v>168</v>
      </c>
      <c r="M5" s="69" t="s">
        <v>168</v>
      </c>
      <c r="N5" s="68" t="s">
        <v>169</v>
      </c>
    </row>
    <row r="6" spans="1:14" ht="14.25" thickBot="1" thickTop="1">
      <c r="A6" s="791"/>
      <c r="B6" s="183" t="s">
        <v>170</v>
      </c>
      <c r="C6" s="184" t="s">
        <v>170</v>
      </c>
      <c r="D6" s="185"/>
      <c r="E6" s="183" t="s">
        <v>170</v>
      </c>
      <c r="F6" s="184" t="s">
        <v>170</v>
      </c>
      <c r="G6" s="185"/>
      <c r="H6" s="189" t="s">
        <v>171</v>
      </c>
      <c r="I6" s="189" t="s">
        <v>172</v>
      </c>
      <c r="J6" s="197" t="s">
        <v>170</v>
      </c>
      <c r="K6" s="184" t="s">
        <v>170</v>
      </c>
      <c r="L6" s="185"/>
      <c r="M6" s="189" t="s">
        <v>171</v>
      </c>
      <c r="N6" s="185" t="s">
        <v>172</v>
      </c>
    </row>
    <row r="7" spans="1:14" ht="13.5" customHeight="1">
      <c r="A7" s="274" t="s">
        <v>173</v>
      </c>
      <c r="B7" s="163">
        <v>0</v>
      </c>
      <c r="C7" s="164"/>
      <c r="D7" s="167">
        <f aca="true" t="shared" si="0" ref="D7:D18">SUM(B7:C7)</f>
        <v>0</v>
      </c>
      <c r="E7" s="163">
        <v>0</v>
      </c>
      <c r="F7" s="164"/>
      <c r="G7" s="167">
        <f aca="true" t="shared" si="1" ref="G7:G18">SUM(E7:F7)</f>
        <v>0</v>
      </c>
      <c r="H7" s="191">
        <f aca="true" t="shared" si="2" ref="H7:H38">+G7-D7</f>
        <v>0</v>
      </c>
      <c r="I7" s="195"/>
      <c r="J7" s="163">
        <v>0</v>
      </c>
      <c r="K7" s="164"/>
      <c r="L7" s="167">
        <f aca="true" t="shared" si="3" ref="L7:L18">SUM(J7:K7)</f>
        <v>0</v>
      </c>
      <c r="M7" s="191">
        <f aca="true" t="shared" si="4" ref="M7:M38">+L7-G7</f>
        <v>0</v>
      </c>
      <c r="N7" s="192"/>
    </row>
    <row r="8" spans="1:14" ht="13.5" customHeight="1">
      <c r="A8" s="275" t="s">
        <v>174</v>
      </c>
      <c r="B8" s="14">
        <v>5658</v>
      </c>
      <c r="C8" s="13"/>
      <c r="D8" s="168">
        <f t="shared" si="0"/>
        <v>5658</v>
      </c>
      <c r="E8" s="14">
        <v>8927</v>
      </c>
      <c r="F8" s="13"/>
      <c r="G8" s="168">
        <f t="shared" si="1"/>
        <v>8927</v>
      </c>
      <c r="H8" s="193">
        <f t="shared" si="2"/>
        <v>3269</v>
      </c>
      <c r="I8" s="196">
        <f aca="true" t="shared" si="5" ref="I8:I22">+G8/D8</f>
        <v>1.5777659950512548</v>
      </c>
      <c r="J8" s="14">
        <v>9176</v>
      </c>
      <c r="K8" s="13"/>
      <c r="L8" s="168">
        <f t="shared" si="3"/>
        <v>9176</v>
      </c>
      <c r="M8" s="193">
        <f t="shared" si="4"/>
        <v>249</v>
      </c>
      <c r="N8" s="194">
        <f aca="true" t="shared" si="6" ref="N8:N22">+L8/G8</f>
        <v>1.0278929091520108</v>
      </c>
    </row>
    <row r="9" spans="1:14" ht="13.5" customHeight="1">
      <c r="A9" s="275" t="s">
        <v>175</v>
      </c>
      <c r="B9" s="14">
        <v>0</v>
      </c>
      <c r="C9" s="13"/>
      <c r="D9" s="168">
        <f t="shared" si="0"/>
        <v>0</v>
      </c>
      <c r="E9" s="14">
        <v>0</v>
      </c>
      <c r="F9" s="13"/>
      <c r="G9" s="168">
        <f t="shared" si="1"/>
        <v>0</v>
      </c>
      <c r="H9" s="193">
        <f t="shared" si="2"/>
        <v>0</v>
      </c>
      <c r="I9" s="196"/>
      <c r="J9" s="14">
        <v>0</v>
      </c>
      <c r="K9" s="13"/>
      <c r="L9" s="168">
        <f t="shared" si="3"/>
        <v>0</v>
      </c>
      <c r="M9" s="193">
        <f t="shared" si="4"/>
        <v>0</v>
      </c>
      <c r="N9" s="194"/>
    </row>
    <row r="10" spans="1:14" ht="13.5" customHeight="1">
      <c r="A10" s="275" t="s">
        <v>176</v>
      </c>
      <c r="B10" s="14">
        <v>0</v>
      </c>
      <c r="C10" s="13"/>
      <c r="D10" s="168">
        <f t="shared" si="0"/>
        <v>0</v>
      </c>
      <c r="E10" s="14">
        <v>0</v>
      </c>
      <c r="F10" s="13"/>
      <c r="G10" s="168">
        <f t="shared" si="1"/>
        <v>0</v>
      </c>
      <c r="H10" s="193">
        <f t="shared" si="2"/>
        <v>0</v>
      </c>
      <c r="I10" s="196"/>
      <c r="J10" s="14">
        <v>0</v>
      </c>
      <c r="K10" s="13"/>
      <c r="L10" s="168">
        <f t="shared" si="3"/>
        <v>0</v>
      </c>
      <c r="M10" s="193">
        <f t="shared" si="4"/>
        <v>0</v>
      </c>
      <c r="N10" s="194"/>
    </row>
    <row r="11" spans="1:14" ht="13.5" customHeight="1">
      <c r="A11" s="275" t="s">
        <v>177</v>
      </c>
      <c r="B11" s="14">
        <v>246</v>
      </c>
      <c r="C11" s="13"/>
      <c r="D11" s="168">
        <f t="shared" si="0"/>
        <v>246</v>
      </c>
      <c r="E11" s="14">
        <v>68</v>
      </c>
      <c r="F11" s="13"/>
      <c r="G11" s="168">
        <f t="shared" si="1"/>
        <v>68</v>
      </c>
      <c r="H11" s="193">
        <f t="shared" si="2"/>
        <v>-178</v>
      </c>
      <c r="I11" s="196">
        <f t="shared" si="5"/>
        <v>0.2764227642276423</v>
      </c>
      <c r="J11" s="14">
        <v>30</v>
      </c>
      <c r="K11" s="13"/>
      <c r="L11" s="168">
        <f t="shared" si="3"/>
        <v>30</v>
      </c>
      <c r="M11" s="193">
        <f t="shared" si="4"/>
        <v>-38</v>
      </c>
      <c r="N11" s="194">
        <f t="shared" si="6"/>
        <v>0.4411764705882353</v>
      </c>
    </row>
    <row r="12" spans="1:14" ht="13.5" customHeight="1">
      <c r="A12" s="276" t="s">
        <v>178</v>
      </c>
      <c r="B12" s="14">
        <v>169</v>
      </c>
      <c r="C12" s="13"/>
      <c r="D12" s="168">
        <f t="shared" si="0"/>
        <v>169</v>
      </c>
      <c r="E12" s="14">
        <v>0</v>
      </c>
      <c r="F12" s="13"/>
      <c r="G12" s="168">
        <f t="shared" si="1"/>
        <v>0</v>
      </c>
      <c r="H12" s="193">
        <f t="shared" si="2"/>
        <v>-169</v>
      </c>
      <c r="I12" s="196">
        <f t="shared" si="5"/>
        <v>0</v>
      </c>
      <c r="J12" s="14">
        <v>0</v>
      </c>
      <c r="K12" s="13"/>
      <c r="L12" s="168">
        <f t="shared" si="3"/>
        <v>0</v>
      </c>
      <c r="M12" s="193">
        <f t="shared" si="4"/>
        <v>0</v>
      </c>
      <c r="N12" s="194"/>
    </row>
    <row r="13" spans="1:14" ht="13.5" customHeight="1">
      <c r="A13" s="276" t="s">
        <v>179</v>
      </c>
      <c r="B13" s="14">
        <v>0</v>
      </c>
      <c r="C13" s="13"/>
      <c r="D13" s="168">
        <f t="shared" si="0"/>
        <v>0</v>
      </c>
      <c r="E13" s="14">
        <v>0</v>
      </c>
      <c r="F13" s="13"/>
      <c r="G13" s="168">
        <f t="shared" si="1"/>
        <v>0</v>
      </c>
      <c r="H13" s="193">
        <f t="shared" si="2"/>
        <v>0</v>
      </c>
      <c r="I13" s="196"/>
      <c r="J13" s="14">
        <v>0</v>
      </c>
      <c r="K13" s="13"/>
      <c r="L13" s="168">
        <f t="shared" si="3"/>
        <v>0</v>
      </c>
      <c r="M13" s="193">
        <f t="shared" si="4"/>
        <v>0</v>
      </c>
      <c r="N13" s="194"/>
    </row>
    <row r="14" spans="1:14" ht="23.25" customHeight="1">
      <c r="A14" s="276" t="s">
        <v>180</v>
      </c>
      <c r="B14" s="14">
        <v>0</v>
      </c>
      <c r="C14" s="13"/>
      <c r="D14" s="168">
        <f t="shared" si="0"/>
        <v>0</v>
      </c>
      <c r="E14" s="14">
        <v>0</v>
      </c>
      <c r="F14" s="13"/>
      <c r="G14" s="168">
        <f t="shared" si="1"/>
        <v>0</v>
      </c>
      <c r="H14" s="193">
        <f t="shared" si="2"/>
        <v>0</v>
      </c>
      <c r="I14" s="196"/>
      <c r="J14" s="14">
        <v>0</v>
      </c>
      <c r="K14" s="13"/>
      <c r="L14" s="168">
        <f t="shared" si="3"/>
        <v>0</v>
      </c>
      <c r="M14" s="193">
        <f t="shared" si="4"/>
        <v>0</v>
      </c>
      <c r="N14" s="194"/>
    </row>
    <row r="15" spans="1:14" ht="13.5" customHeight="1">
      <c r="A15" s="275" t="s">
        <v>181</v>
      </c>
      <c r="B15" s="14">
        <v>7573</v>
      </c>
      <c r="C15" s="13"/>
      <c r="D15" s="168">
        <f t="shared" si="0"/>
        <v>7573</v>
      </c>
      <c r="E15" s="14">
        <v>6606</v>
      </c>
      <c r="F15" s="13"/>
      <c r="G15" s="168">
        <f t="shared" si="1"/>
        <v>6606</v>
      </c>
      <c r="H15" s="193">
        <f t="shared" si="2"/>
        <v>-967</v>
      </c>
      <c r="I15" s="196">
        <f t="shared" si="5"/>
        <v>0.8723095206655223</v>
      </c>
      <c r="J15" s="15">
        <v>5116</v>
      </c>
      <c r="K15" s="279"/>
      <c r="L15" s="168">
        <f t="shared" si="3"/>
        <v>5116</v>
      </c>
      <c r="M15" s="193">
        <f t="shared" si="4"/>
        <v>-1490</v>
      </c>
      <c r="N15" s="194">
        <f t="shared" si="6"/>
        <v>0.774447471995156</v>
      </c>
    </row>
    <row r="16" spans="1:14" ht="13.5" customHeight="1">
      <c r="A16" s="277" t="s">
        <v>310</v>
      </c>
      <c r="B16" s="14">
        <v>7537</v>
      </c>
      <c r="C16" s="13"/>
      <c r="D16" s="168">
        <f t="shared" si="0"/>
        <v>7537</v>
      </c>
      <c r="E16" s="14">
        <v>547</v>
      </c>
      <c r="F16" s="13"/>
      <c r="G16" s="168">
        <f t="shared" si="1"/>
        <v>547</v>
      </c>
      <c r="H16" s="193">
        <f t="shared" si="2"/>
        <v>-6990</v>
      </c>
      <c r="I16" s="196">
        <f t="shared" si="5"/>
        <v>0.07257529521029588</v>
      </c>
      <c r="J16" s="15">
        <v>325</v>
      </c>
      <c r="K16" s="13"/>
      <c r="L16" s="168">
        <f t="shared" si="3"/>
        <v>325</v>
      </c>
      <c r="M16" s="193">
        <f t="shared" si="4"/>
        <v>-222</v>
      </c>
      <c r="N16" s="194">
        <f t="shared" si="6"/>
        <v>0.5941499085923218</v>
      </c>
    </row>
    <row r="17" spans="1:14" ht="13.5" customHeight="1">
      <c r="A17" s="277" t="s">
        <v>311</v>
      </c>
      <c r="B17" s="14">
        <v>0</v>
      </c>
      <c r="C17" s="13"/>
      <c r="D17" s="168">
        <f t="shared" si="0"/>
        <v>0</v>
      </c>
      <c r="E17" s="14">
        <v>5963</v>
      </c>
      <c r="F17" s="13"/>
      <c r="G17" s="168">
        <f t="shared" si="1"/>
        <v>5963</v>
      </c>
      <c r="H17" s="193">
        <f t="shared" si="2"/>
        <v>5963</v>
      </c>
      <c r="I17" s="196"/>
      <c r="J17" s="15">
        <v>4631</v>
      </c>
      <c r="K17" s="13"/>
      <c r="L17" s="168">
        <f t="shared" si="3"/>
        <v>4631</v>
      </c>
      <c r="M17" s="193">
        <f t="shared" si="4"/>
        <v>-1332</v>
      </c>
      <c r="N17" s="194">
        <f t="shared" si="6"/>
        <v>0.7766225054502767</v>
      </c>
    </row>
    <row r="18" spans="1:14" ht="13.5" customHeight="1" thickBot="1">
      <c r="A18" s="278" t="s">
        <v>416</v>
      </c>
      <c r="B18" s="165">
        <v>36</v>
      </c>
      <c r="C18" s="166"/>
      <c r="D18" s="168">
        <f t="shared" si="0"/>
        <v>36</v>
      </c>
      <c r="E18" s="165">
        <v>96</v>
      </c>
      <c r="F18" s="166"/>
      <c r="G18" s="168">
        <f t="shared" si="1"/>
        <v>96</v>
      </c>
      <c r="H18" s="271"/>
      <c r="I18" s="273"/>
      <c r="J18" s="169">
        <v>160</v>
      </c>
      <c r="K18" s="166"/>
      <c r="L18" s="168">
        <f t="shared" si="3"/>
        <v>160</v>
      </c>
      <c r="M18" s="271"/>
      <c r="N18" s="272"/>
    </row>
    <row r="19" spans="1:14" ht="13.5" customHeight="1" thickBot="1">
      <c r="A19" s="182" t="s">
        <v>182</v>
      </c>
      <c r="B19" s="186">
        <f aca="true" t="shared" si="7" ref="B19:G19">SUM(B7+B8+B9+B10+B11+B13+B15)</f>
        <v>13477</v>
      </c>
      <c r="C19" s="187">
        <f t="shared" si="7"/>
        <v>0</v>
      </c>
      <c r="D19" s="188">
        <f t="shared" si="7"/>
        <v>13477</v>
      </c>
      <c r="E19" s="186">
        <f t="shared" si="7"/>
        <v>15601</v>
      </c>
      <c r="F19" s="187">
        <f t="shared" si="7"/>
        <v>0</v>
      </c>
      <c r="G19" s="188">
        <f t="shared" si="7"/>
        <v>15601</v>
      </c>
      <c r="H19" s="190">
        <f t="shared" si="2"/>
        <v>2124</v>
      </c>
      <c r="I19" s="108">
        <f t="shared" si="5"/>
        <v>1.157601840172145</v>
      </c>
      <c r="J19" s="198">
        <f>SUM(J7+J8+J9+J10+J11+J13+J15)</f>
        <v>14322</v>
      </c>
      <c r="K19" s="187">
        <f>SUM(K7+K8+K9+K10+K11+K13+K15)</f>
        <v>0</v>
      </c>
      <c r="L19" s="188">
        <f>SUM(L7+L8+L9+L10+L11+L13+L15)</f>
        <v>14322</v>
      </c>
      <c r="M19" s="190">
        <f t="shared" si="4"/>
        <v>-1279</v>
      </c>
      <c r="N19" s="199">
        <f t="shared" si="6"/>
        <v>0.9180180757643741</v>
      </c>
    </row>
    <row r="20" spans="1:14" ht="13.5" customHeight="1">
      <c r="A20" s="96" t="s">
        <v>183</v>
      </c>
      <c r="B20" s="71">
        <v>3395</v>
      </c>
      <c r="C20" s="72"/>
      <c r="D20" s="73">
        <f aca="true" t="shared" si="8" ref="D20:D37">SUM(B20:C20)</f>
        <v>3395</v>
      </c>
      <c r="E20" s="71">
        <v>3116</v>
      </c>
      <c r="F20" s="72"/>
      <c r="G20" s="97">
        <f aca="true" t="shared" si="9" ref="G20:G37">SUM(E20:F20)</f>
        <v>3116</v>
      </c>
      <c r="H20" s="98">
        <f t="shared" si="2"/>
        <v>-279</v>
      </c>
      <c r="I20" s="99">
        <f t="shared" si="5"/>
        <v>0.917820324005891</v>
      </c>
      <c r="J20" s="76">
        <v>2605</v>
      </c>
      <c r="K20" s="72"/>
      <c r="L20" s="100">
        <f aca="true" t="shared" si="10" ref="L20:L37">SUM(J20:K20)</f>
        <v>2605</v>
      </c>
      <c r="M20" s="98">
        <f t="shared" si="4"/>
        <v>-511</v>
      </c>
      <c r="N20" s="101">
        <f t="shared" si="6"/>
        <v>0.8360077021822849</v>
      </c>
    </row>
    <row r="21" spans="1:14" ht="21" customHeight="1">
      <c r="A21" s="82" t="s">
        <v>184</v>
      </c>
      <c r="B21" s="71">
        <v>1160</v>
      </c>
      <c r="C21" s="72"/>
      <c r="D21" s="73">
        <f t="shared" si="8"/>
        <v>1160</v>
      </c>
      <c r="E21" s="71">
        <v>814</v>
      </c>
      <c r="F21" s="72"/>
      <c r="G21" s="97">
        <f t="shared" si="9"/>
        <v>814</v>
      </c>
      <c r="H21" s="74">
        <f t="shared" si="2"/>
        <v>-346</v>
      </c>
      <c r="I21" s="75">
        <f t="shared" si="5"/>
        <v>0.7017241379310345</v>
      </c>
      <c r="J21" s="76">
        <v>300</v>
      </c>
      <c r="K21" s="72"/>
      <c r="L21" s="100">
        <f t="shared" si="10"/>
        <v>300</v>
      </c>
      <c r="M21" s="74">
        <f t="shared" si="4"/>
        <v>-514</v>
      </c>
      <c r="N21" s="77">
        <f t="shared" si="6"/>
        <v>0.36855036855036855</v>
      </c>
    </row>
    <row r="22" spans="1:14" ht="13.5" customHeight="1">
      <c r="A22" s="78" t="s">
        <v>185</v>
      </c>
      <c r="B22" s="79">
        <v>863</v>
      </c>
      <c r="C22" s="80"/>
      <c r="D22" s="73">
        <f t="shared" si="8"/>
        <v>863</v>
      </c>
      <c r="E22" s="79">
        <v>1260</v>
      </c>
      <c r="F22" s="80"/>
      <c r="G22" s="97">
        <f t="shared" si="9"/>
        <v>1260</v>
      </c>
      <c r="H22" s="74">
        <f t="shared" si="2"/>
        <v>397</v>
      </c>
      <c r="I22" s="75">
        <f t="shared" si="5"/>
        <v>1.4600231749710313</v>
      </c>
      <c r="J22" s="81">
        <v>1300</v>
      </c>
      <c r="K22" s="80"/>
      <c r="L22" s="100">
        <f t="shared" si="10"/>
        <v>1300</v>
      </c>
      <c r="M22" s="74">
        <f t="shared" si="4"/>
        <v>40</v>
      </c>
      <c r="N22" s="77">
        <f t="shared" si="6"/>
        <v>1.0317460317460319</v>
      </c>
    </row>
    <row r="23" spans="1:14" ht="13.5" customHeight="1">
      <c r="A23" s="82" t="s">
        <v>186</v>
      </c>
      <c r="B23" s="79">
        <v>50</v>
      </c>
      <c r="C23" s="80"/>
      <c r="D23" s="73">
        <f t="shared" si="8"/>
        <v>50</v>
      </c>
      <c r="E23" s="79">
        <v>66</v>
      </c>
      <c r="F23" s="80"/>
      <c r="G23" s="97">
        <f t="shared" si="9"/>
        <v>66</v>
      </c>
      <c r="H23" s="74">
        <f t="shared" si="2"/>
        <v>16</v>
      </c>
      <c r="I23" s="75">
        <f aca="true" t="shared" si="11" ref="I23:I38">+G23/D23</f>
        <v>1.32</v>
      </c>
      <c r="J23" s="81">
        <v>65</v>
      </c>
      <c r="K23" s="80"/>
      <c r="L23" s="100">
        <f t="shared" si="10"/>
        <v>65</v>
      </c>
      <c r="M23" s="74">
        <f t="shared" si="4"/>
        <v>-1</v>
      </c>
      <c r="N23" s="77">
        <f aca="true" t="shared" si="12" ref="N23:N38">+L23/G23</f>
        <v>0.9848484848484849</v>
      </c>
    </row>
    <row r="24" spans="1:14" ht="13.5" customHeight="1">
      <c r="A24" s="78" t="s">
        <v>298</v>
      </c>
      <c r="B24" s="79">
        <v>19</v>
      </c>
      <c r="C24" s="80"/>
      <c r="D24" s="73">
        <f t="shared" si="8"/>
        <v>19</v>
      </c>
      <c r="E24" s="79">
        <v>18</v>
      </c>
      <c r="F24" s="80"/>
      <c r="G24" s="97">
        <f t="shared" si="9"/>
        <v>18</v>
      </c>
      <c r="H24" s="74">
        <f t="shared" si="2"/>
        <v>-1</v>
      </c>
      <c r="I24" s="75">
        <f t="shared" si="11"/>
        <v>0.9473684210526315</v>
      </c>
      <c r="J24" s="81">
        <v>20</v>
      </c>
      <c r="K24" s="80"/>
      <c r="L24" s="100">
        <f t="shared" si="10"/>
        <v>20</v>
      </c>
      <c r="M24" s="74">
        <f t="shared" si="4"/>
        <v>2</v>
      </c>
      <c r="N24" s="77">
        <f t="shared" si="12"/>
        <v>1.1111111111111112</v>
      </c>
    </row>
    <row r="25" spans="1:14" ht="13.5" customHeight="1">
      <c r="A25" s="78" t="s">
        <v>187</v>
      </c>
      <c r="B25" s="81">
        <v>899</v>
      </c>
      <c r="C25" s="80"/>
      <c r="D25" s="73">
        <f t="shared" si="8"/>
        <v>899</v>
      </c>
      <c r="E25" s="81">
        <v>1615</v>
      </c>
      <c r="F25" s="80"/>
      <c r="G25" s="97">
        <f t="shared" si="9"/>
        <v>1615</v>
      </c>
      <c r="H25" s="74">
        <f t="shared" si="2"/>
        <v>716</v>
      </c>
      <c r="I25" s="75">
        <f t="shared" si="11"/>
        <v>1.796440489432703</v>
      </c>
      <c r="J25" s="81">
        <v>900</v>
      </c>
      <c r="K25" s="80"/>
      <c r="L25" s="100">
        <f t="shared" si="10"/>
        <v>900</v>
      </c>
      <c r="M25" s="74">
        <f t="shared" si="4"/>
        <v>-715</v>
      </c>
      <c r="N25" s="77">
        <f t="shared" si="12"/>
        <v>0.5572755417956656</v>
      </c>
    </row>
    <row r="26" spans="1:14" ht="13.5" customHeight="1">
      <c r="A26" s="82" t="s">
        <v>188</v>
      </c>
      <c r="B26" s="79">
        <v>583</v>
      </c>
      <c r="C26" s="80"/>
      <c r="D26" s="73">
        <f t="shared" si="8"/>
        <v>583</v>
      </c>
      <c r="E26" s="79">
        <v>1038</v>
      </c>
      <c r="F26" s="80"/>
      <c r="G26" s="97">
        <f t="shared" si="9"/>
        <v>1038</v>
      </c>
      <c r="H26" s="74">
        <f t="shared" si="2"/>
        <v>455</v>
      </c>
      <c r="I26" s="75">
        <f t="shared" si="11"/>
        <v>1.7804459691252144</v>
      </c>
      <c r="J26" s="102">
        <v>400</v>
      </c>
      <c r="K26" s="80"/>
      <c r="L26" s="100">
        <f t="shared" si="10"/>
        <v>400</v>
      </c>
      <c r="M26" s="74">
        <f t="shared" si="4"/>
        <v>-638</v>
      </c>
      <c r="N26" s="77">
        <f t="shared" si="12"/>
        <v>0.3853564547206166</v>
      </c>
    </row>
    <row r="27" spans="1:14" ht="13.5" customHeight="1">
      <c r="A27" s="78" t="s">
        <v>189</v>
      </c>
      <c r="B27" s="79">
        <v>295</v>
      </c>
      <c r="C27" s="80"/>
      <c r="D27" s="73">
        <f t="shared" si="8"/>
        <v>295</v>
      </c>
      <c r="E27" s="79">
        <v>551</v>
      </c>
      <c r="F27" s="80"/>
      <c r="G27" s="97">
        <f t="shared" si="9"/>
        <v>551</v>
      </c>
      <c r="H27" s="74">
        <f t="shared" si="2"/>
        <v>256</v>
      </c>
      <c r="I27" s="75">
        <f t="shared" si="11"/>
        <v>1.8677966101694916</v>
      </c>
      <c r="J27" s="102">
        <v>500</v>
      </c>
      <c r="K27" s="80"/>
      <c r="L27" s="100">
        <f t="shared" si="10"/>
        <v>500</v>
      </c>
      <c r="M27" s="74">
        <f t="shared" si="4"/>
        <v>-51</v>
      </c>
      <c r="N27" s="77">
        <f t="shared" si="12"/>
        <v>0.9074410163339383</v>
      </c>
    </row>
    <row r="28" spans="1:14" ht="13.5" customHeight="1">
      <c r="A28" s="103" t="s">
        <v>190</v>
      </c>
      <c r="B28" s="81">
        <v>7499</v>
      </c>
      <c r="C28" s="80"/>
      <c r="D28" s="73">
        <f t="shared" si="8"/>
        <v>7499</v>
      </c>
      <c r="E28" s="81">
        <v>8751</v>
      </c>
      <c r="F28" s="80"/>
      <c r="G28" s="97">
        <f t="shared" si="9"/>
        <v>8751</v>
      </c>
      <c r="H28" s="74">
        <f t="shared" si="2"/>
        <v>1252</v>
      </c>
      <c r="I28" s="75">
        <f t="shared" si="11"/>
        <v>1.1669555940792105</v>
      </c>
      <c r="J28" s="81">
        <v>8945</v>
      </c>
      <c r="K28" s="80"/>
      <c r="L28" s="100">
        <f t="shared" si="10"/>
        <v>8945</v>
      </c>
      <c r="M28" s="74">
        <f t="shared" si="4"/>
        <v>194</v>
      </c>
      <c r="N28" s="77">
        <f t="shared" si="12"/>
        <v>1.0221688949834304</v>
      </c>
    </row>
    <row r="29" spans="1:14" ht="13.5" customHeight="1">
      <c r="A29" s="82" t="s">
        <v>191</v>
      </c>
      <c r="B29" s="79">
        <v>5484</v>
      </c>
      <c r="C29" s="80"/>
      <c r="D29" s="73">
        <f t="shared" si="8"/>
        <v>5484</v>
      </c>
      <c r="E29" s="79">
        <v>6397</v>
      </c>
      <c r="F29" s="80"/>
      <c r="G29" s="97">
        <f t="shared" si="9"/>
        <v>6397</v>
      </c>
      <c r="H29" s="74">
        <f t="shared" si="2"/>
        <v>913</v>
      </c>
      <c r="I29" s="75">
        <f t="shared" si="11"/>
        <v>1.1664843180160467</v>
      </c>
      <c r="J29" s="102">
        <v>6545</v>
      </c>
      <c r="K29" s="104"/>
      <c r="L29" s="100">
        <f t="shared" si="10"/>
        <v>6545</v>
      </c>
      <c r="M29" s="74">
        <f t="shared" si="4"/>
        <v>148</v>
      </c>
      <c r="N29" s="77">
        <f t="shared" si="12"/>
        <v>1.0231358449273096</v>
      </c>
    </row>
    <row r="30" spans="1:14" ht="13.5" customHeight="1">
      <c r="A30" s="103" t="s">
        <v>192</v>
      </c>
      <c r="B30" s="79">
        <v>5454</v>
      </c>
      <c r="C30" s="80"/>
      <c r="D30" s="73">
        <f t="shared" si="8"/>
        <v>5454</v>
      </c>
      <c r="E30" s="79">
        <v>6366</v>
      </c>
      <c r="F30" s="80"/>
      <c r="G30" s="97">
        <f t="shared" si="9"/>
        <v>6366</v>
      </c>
      <c r="H30" s="74">
        <f t="shared" si="2"/>
        <v>912</v>
      </c>
      <c r="I30" s="75">
        <f t="shared" si="11"/>
        <v>1.1672167216721672</v>
      </c>
      <c r="J30" s="81">
        <v>6500</v>
      </c>
      <c r="K30" s="80"/>
      <c r="L30" s="100">
        <f t="shared" si="10"/>
        <v>6500</v>
      </c>
      <c r="M30" s="74">
        <f t="shared" si="4"/>
        <v>134</v>
      </c>
      <c r="N30" s="77">
        <f t="shared" si="12"/>
        <v>1.0210493245366008</v>
      </c>
    </row>
    <row r="31" spans="1:14" ht="13.5" customHeight="1">
      <c r="A31" s="82" t="s">
        <v>193</v>
      </c>
      <c r="B31" s="79">
        <v>30</v>
      </c>
      <c r="C31" s="80"/>
      <c r="D31" s="73">
        <f t="shared" si="8"/>
        <v>30</v>
      </c>
      <c r="E31" s="79">
        <v>31</v>
      </c>
      <c r="F31" s="80"/>
      <c r="G31" s="97">
        <f t="shared" si="9"/>
        <v>31</v>
      </c>
      <c r="H31" s="74">
        <f t="shared" si="2"/>
        <v>1</v>
      </c>
      <c r="I31" s="75">
        <f t="shared" si="11"/>
        <v>1.0333333333333334</v>
      </c>
      <c r="J31" s="81">
        <v>45</v>
      </c>
      <c r="K31" s="80"/>
      <c r="L31" s="100">
        <f t="shared" si="10"/>
        <v>45</v>
      </c>
      <c r="M31" s="74">
        <f t="shared" si="4"/>
        <v>14</v>
      </c>
      <c r="N31" s="77">
        <f t="shared" si="12"/>
        <v>1.4516129032258065</v>
      </c>
    </row>
    <row r="32" spans="1:14" ht="13.5" customHeight="1">
      <c r="A32" s="82" t="s">
        <v>194</v>
      </c>
      <c r="B32" s="79">
        <v>2015</v>
      </c>
      <c r="C32" s="80"/>
      <c r="D32" s="73">
        <f t="shared" si="8"/>
        <v>2015</v>
      </c>
      <c r="E32" s="79">
        <v>2354</v>
      </c>
      <c r="F32" s="80"/>
      <c r="G32" s="97">
        <f t="shared" si="9"/>
        <v>2354</v>
      </c>
      <c r="H32" s="74">
        <f t="shared" si="2"/>
        <v>339</v>
      </c>
      <c r="I32" s="75">
        <f t="shared" si="11"/>
        <v>1.1682382133995037</v>
      </c>
      <c r="J32" s="81">
        <v>2400</v>
      </c>
      <c r="K32" s="80"/>
      <c r="L32" s="100">
        <f t="shared" si="10"/>
        <v>2400</v>
      </c>
      <c r="M32" s="74">
        <f t="shared" si="4"/>
        <v>46</v>
      </c>
      <c r="N32" s="77">
        <f t="shared" si="12"/>
        <v>1.0195412064570943</v>
      </c>
    </row>
    <row r="33" spans="1:14" ht="13.5" customHeight="1">
      <c r="A33" s="103" t="s">
        <v>195</v>
      </c>
      <c r="B33" s="79">
        <v>0</v>
      </c>
      <c r="C33" s="80"/>
      <c r="D33" s="73">
        <f t="shared" si="8"/>
        <v>0</v>
      </c>
      <c r="E33" s="79">
        <v>0</v>
      </c>
      <c r="F33" s="80"/>
      <c r="G33" s="97">
        <f t="shared" si="9"/>
        <v>0</v>
      </c>
      <c r="H33" s="74">
        <f t="shared" si="2"/>
        <v>0</v>
      </c>
      <c r="I33" s="75"/>
      <c r="J33" s="81">
        <v>0</v>
      </c>
      <c r="K33" s="80"/>
      <c r="L33" s="100">
        <f t="shared" si="10"/>
        <v>0</v>
      </c>
      <c r="M33" s="74">
        <f t="shared" si="4"/>
        <v>0</v>
      </c>
      <c r="N33" s="77"/>
    </row>
    <row r="34" spans="1:14" ht="13.5" customHeight="1">
      <c r="A34" s="103" t="s">
        <v>196</v>
      </c>
      <c r="B34" s="79">
        <v>263</v>
      </c>
      <c r="C34" s="80"/>
      <c r="D34" s="73">
        <f t="shared" si="8"/>
        <v>263</v>
      </c>
      <c r="E34" s="79">
        <v>281</v>
      </c>
      <c r="F34" s="80"/>
      <c r="G34" s="97">
        <f t="shared" si="9"/>
        <v>281</v>
      </c>
      <c r="H34" s="74">
        <f t="shared" si="2"/>
        <v>18</v>
      </c>
      <c r="I34" s="75">
        <f t="shared" si="11"/>
        <v>1.0684410646387832</v>
      </c>
      <c r="J34" s="81">
        <v>200</v>
      </c>
      <c r="K34" s="80"/>
      <c r="L34" s="100">
        <f t="shared" si="10"/>
        <v>200</v>
      </c>
      <c r="M34" s="74">
        <f t="shared" si="4"/>
        <v>-81</v>
      </c>
      <c r="N34" s="77">
        <f t="shared" si="12"/>
        <v>0.7117437722419929</v>
      </c>
    </row>
    <row r="35" spans="1:14" ht="13.5" customHeight="1">
      <c r="A35" s="82" t="s">
        <v>197</v>
      </c>
      <c r="B35" s="79">
        <v>508</v>
      </c>
      <c r="C35" s="80"/>
      <c r="D35" s="73">
        <f t="shared" si="8"/>
        <v>508</v>
      </c>
      <c r="E35" s="79">
        <v>521</v>
      </c>
      <c r="F35" s="80"/>
      <c r="G35" s="97">
        <f t="shared" si="9"/>
        <v>521</v>
      </c>
      <c r="H35" s="74">
        <f t="shared" si="2"/>
        <v>13</v>
      </c>
      <c r="I35" s="75">
        <f t="shared" si="11"/>
        <v>1.0255905511811023</v>
      </c>
      <c r="J35" s="102">
        <v>568</v>
      </c>
      <c r="K35" s="80"/>
      <c r="L35" s="100">
        <f t="shared" si="10"/>
        <v>568</v>
      </c>
      <c r="M35" s="74">
        <f t="shared" si="4"/>
        <v>47</v>
      </c>
      <c r="N35" s="77">
        <f t="shared" si="12"/>
        <v>1.09021113243762</v>
      </c>
    </row>
    <row r="36" spans="1:14" ht="22.5" customHeight="1">
      <c r="A36" s="82" t="s">
        <v>198</v>
      </c>
      <c r="B36" s="79">
        <v>508</v>
      </c>
      <c r="C36" s="80"/>
      <c r="D36" s="73">
        <f t="shared" si="8"/>
        <v>508</v>
      </c>
      <c r="E36" s="79">
        <v>521</v>
      </c>
      <c r="F36" s="80"/>
      <c r="G36" s="97">
        <f t="shared" si="9"/>
        <v>521</v>
      </c>
      <c r="H36" s="74">
        <f t="shared" si="2"/>
        <v>13</v>
      </c>
      <c r="I36" s="75">
        <f t="shared" si="11"/>
        <v>1.0255905511811023</v>
      </c>
      <c r="J36" s="102">
        <v>568</v>
      </c>
      <c r="K36" s="80"/>
      <c r="L36" s="100">
        <f t="shared" si="10"/>
        <v>568</v>
      </c>
      <c r="M36" s="74">
        <f t="shared" si="4"/>
        <v>47</v>
      </c>
      <c r="N36" s="77">
        <f t="shared" si="12"/>
        <v>1.09021113243762</v>
      </c>
    </row>
    <row r="37" spans="1:14" ht="13.5" customHeight="1" thickBot="1">
      <c r="A37" s="105" t="s">
        <v>199</v>
      </c>
      <c r="B37" s="83">
        <v>0</v>
      </c>
      <c r="C37" s="84"/>
      <c r="D37" s="73">
        <f t="shared" si="8"/>
        <v>0</v>
      </c>
      <c r="E37" s="83">
        <v>0</v>
      </c>
      <c r="F37" s="84"/>
      <c r="G37" s="97">
        <f t="shared" si="9"/>
        <v>0</v>
      </c>
      <c r="H37" s="85">
        <f t="shared" si="2"/>
        <v>0</v>
      </c>
      <c r="I37" s="86"/>
      <c r="J37" s="106">
        <v>0</v>
      </c>
      <c r="K37" s="84"/>
      <c r="L37" s="100">
        <f t="shared" si="10"/>
        <v>0</v>
      </c>
      <c r="M37" s="85">
        <f t="shared" si="4"/>
        <v>0</v>
      </c>
      <c r="N37" s="87"/>
    </row>
    <row r="38" spans="1:14" ht="13.5" customHeight="1" thickBot="1">
      <c r="A38" s="88" t="s">
        <v>200</v>
      </c>
      <c r="B38" s="89">
        <f>SUM(B20+B22+B23+B25+B28+B33+B34+B35+B37)</f>
        <v>13477</v>
      </c>
      <c r="C38" s="90">
        <f>SUM(C20+C22+C23+C24+C25+C28+C33+C34+C35+C37)</f>
        <v>0</v>
      </c>
      <c r="D38" s="91">
        <f>SUM(D20+D22+D23+D25+D28+D33+D34+D35+D37)</f>
        <v>13477</v>
      </c>
      <c r="E38" s="89">
        <f>SUM(E20+E22+E23+E25+E28+E33+E34+E35+E37)</f>
        <v>15610</v>
      </c>
      <c r="F38" s="90">
        <f>SUM(F20+F22+F23+F24+F25+F28+F33+F34+F35+F37)</f>
        <v>0</v>
      </c>
      <c r="G38" s="91">
        <f>SUM(G20+G22+G23+G25+G28+G33+G34+G35+G37)</f>
        <v>15610</v>
      </c>
      <c r="H38" s="92">
        <f t="shared" si="2"/>
        <v>2133</v>
      </c>
      <c r="I38" s="93">
        <f t="shared" si="11"/>
        <v>1.1582696445796543</v>
      </c>
      <c r="J38" s="94">
        <f>SUM(J20+J22+J23+J25+J28+J33+J34+J35+J37)</f>
        <v>14583</v>
      </c>
      <c r="K38" s="90">
        <f>SUM(K20+K22+K23+K24+K25+K28+K33+K34+K35+K37)</f>
        <v>0</v>
      </c>
      <c r="L38" s="91">
        <f>SUM(L20+L22+L23+L25+L28+L33+L34+L35+L37)</f>
        <v>14583</v>
      </c>
      <c r="M38" s="92">
        <f t="shared" si="4"/>
        <v>-1027</v>
      </c>
      <c r="N38" s="95">
        <f t="shared" si="12"/>
        <v>0.9342088404868674</v>
      </c>
    </row>
    <row r="39" spans="1:14" ht="13.5" customHeight="1" thickBot="1">
      <c r="A39" s="88" t="s">
        <v>201</v>
      </c>
      <c r="B39" s="787">
        <f>+D19-D38</f>
        <v>0</v>
      </c>
      <c r="C39" s="787"/>
      <c r="D39" s="787"/>
      <c r="E39" s="787">
        <f>+G19-G38</f>
        <v>-9</v>
      </c>
      <c r="F39" s="787"/>
      <c r="G39" s="787">
        <v>-50784</v>
      </c>
      <c r="H39" s="107"/>
      <c r="I39" s="108"/>
      <c r="J39" s="789">
        <f>+L19-L38</f>
        <v>-261</v>
      </c>
      <c r="K39" s="789"/>
      <c r="L39" s="789">
        <v>0</v>
      </c>
      <c r="M39" s="92"/>
      <c r="N39" s="95"/>
    </row>
    <row r="40" spans="1:16" ht="20.25" customHeight="1" thickBot="1">
      <c r="A40" s="109" t="s">
        <v>202</v>
      </c>
      <c r="B40" s="787"/>
      <c r="C40" s="787"/>
      <c r="D40" s="787"/>
      <c r="E40" s="787"/>
      <c r="F40" s="787"/>
      <c r="G40" s="787"/>
      <c r="H40"/>
      <c r="I40"/>
      <c r="J40"/>
      <c r="K40"/>
      <c r="L40"/>
      <c r="M40"/>
      <c r="N40"/>
      <c r="O40"/>
      <c r="P40"/>
    </row>
    <row r="41" spans="2:8" ht="14.25" customHeight="1" thickBot="1">
      <c r="B41" s="7"/>
      <c r="C41" s="7"/>
      <c r="D41" s="16"/>
      <c r="E41" s="7"/>
      <c r="F41" s="7"/>
      <c r="G41" s="7"/>
      <c r="H41" s="7"/>
    </row>
    <row r="42" spans="1:16" ht="13.5" thickBot="1">
      <c r="A42" s="805" t="s">
        <v>312</v>
      </c>
      <c r="B42" s="805"/>
      <c r="C42" s="799" t="s">
        <v>203</v>
      </c>
      <c r="D42" s="805" t="s">
        <v>420</v>
      </c>
      <c r="E42" s="805"/>
      <c r="F42" s="805"/>
      <c r="G42" s="799" t="s">
        <v>203</v>
      </c>
      <c r="H42" s="785" t="s">
        <v>421</v>
      </c>
      <c r="I42" s="785"/>
      <c r="J42" s="785"/>
      <c r="K42" s="785"/>
      <c r="L42" s="799" t="s">
        <v>203</v>
      </c>
      <c r="O42"/>
      <c r="P42"/>
    </row>
    <row r="43" spans="1:16" ht="13.5" thickBot="1">
      <c r="A43" s="805"/>
      <c r="B43" s="805"/>
      <c r="C43" s="799"/>
      <c r="D43" s="805"/>
      <c r="E43" s="805"/>
      <c r="F43" s="805"/>
      <c r="G43" s="799"/>
      <c r="H43" s="785"/>
      <c r="I43" s="785"/>
      <c r="J43" s="785"/>
      <c r="K43" s="785"/>
      <c r="L43" s="799"/>
      <c r="O43"/>
      <c r="P43"/>
    </row>
    <row r="44" spans="1:16" ht="12.75">
      <c r="A44" s="794" t="s">
        <v>514</v>
      </c>
      <c r="B44" s="794"/>
      <c r="C44" s="110">
        <v>75</v>
      </c>
      <c r="D44" s="795" t="s">
        <v>515</v>
      </c>
      <c r="E44" s="795"/>
      <c r="F44" s="795"/>
      <c r="G44" s="111">
        <v>42</v>
      </c>
      <c r="H44" s="802" t="s">
        <v>516</v>
      </c>
      <c r="I44" s="802"/>
      <c r="J44" s="802"/>
      <c r="K44" s="802"/>
      <c r="L44" s="112">
        <v>300</v>
      </c>
      <c r="O44"/>
      <c r="P44"/>
    </row>
    <row r="45" spans="1:16" ht="12.75">
      <c r="A45" s="797" t="s">
        <v>517</v>
      </c>
      <c r="B45" s="797"/>
      <c r="C45" s="113">
        <v>298</v>
      </c>
      <c r="D45" s="795" t="s">
        <v>518</v>
      </c>
      <c r="E45" s="795"/>
      <c r="F45" s="795"/>
      <c r="G45" s="114">
        <v>249</v>
      </c>
      <c r="H45" s="802" t="s">
        <v>519</v>
      </c>
      <c r="I45" s="802"/>
      <c r="J45" s="802"/>
      <c r="K45" s="802"/>
      <c r="L45" s="112">
        <v>180</v>
      </c>
      <c r="O45"/>
      <c r="P45"/>
    </row>
    <row r="46" spans="1:16" ht="12.75">
      <c r="A46" s="797"/>
      <c r="B46" s="797"/>
      <c r="C46" s="113"/>
      <c r="D46" s="795"/>
      <c r="E46" s="795"/>
      <c r="F46" s="795"/>
      <c r="G46" s="114"/>
      <c r="H46" s="802" t="s">
        <v>520</v>
      </c>
      <c r="I46" s="802"/>
      <c r="J46" s="802"/>
      <c r="K46" s="802"/>
      <c r="L46" s="112">
        <v>80</v>
      </c>
      <c r="O46"/>
      <c r="P46"/>
    </row>
    <row r="47" spans="1:16" ht="12.75">
      <c r="A47" s="797"/>
      <c r="B47" s="797"/>
      <c r="C47" s="115"/>
      <c r="D47" s="797"/>
      <c r="E47" s="797"/>
      <c r="F47" s="797"/>
      <c r="G47" s="116"/>
      <c r="H47" s="776" t="s">
        <v>671</v>
      </c>
      <c r="I47" s="776"/>
      <c r="J47" s="776"/>
      <c r="K47" s="776"/>
      <c r="L47" s="112">
        <v>120</v>
      </c>
      <c r="O47"/>
      <c r="P47"/>
    </row>
    <row r="48" spans="1:16" ht="12.75">
      <c r="A48" s="797"/>
      <c r="B48" s="797"/>
      <c r="C48" s="115"/>
      <c r="D48" s="797"/>
      <c r="E48" s="797"/>
      <c r="F48" s="797"/>
      <c r="G48" s="116"/>
      <c r="H48" s="776" t="s">
        <v>204</v>
      </c>
      <c r="I48" s="776"/>
      <c r="J48" s="776"/>
      <c r="K48" s="776"/>
      <c r="L48" s="112">
        <v>91</v>
      </c>
      <c r="O48"/>
      <c r="P48"/>
    </row>
    <row r="49" spans="1:16" ht="12.75">
      <c r="A49" s="797"/>
      <c r="B49" s="797"/>
      <c r="C49" s="115"/>
      <c r="D49" s="797"/>
      <c r="E49" s="797"/>
      <c r="F49" s="797"/>
      <c r="G49" s="116"/>
      <c r="H49" s="776"/>
      <c r="I49" s="776"/>
      <c r="J49" s="776"/>
      <c r="K49" s="776"/>
      <c r="L49" s="112"/>
      <c r="O49"/>
      <c r="P49"/>
    </row>
    <row r="50" spans="1:16" ht="13.5" thickBot="1">
      <c r="A50" s="800"/>
      <c r="B50" s="800"/>
      <c r="C50" s="115"/>
      <c r="D50" s="801"/>
      <c r="E50" s="801"/>
      <c r="F50" s="801"/>
      <c r="G50" s="116"/>
      <c r="H50" s="802"/>
      <c r="I50" s="802"/>
      <c r="J50" s="802"/>
      <c r="K50" s="802"/>
      <c r="L50" s="112"/>
      <c r="O50"/>
      <c r="P50"/>
    </row>
    <row r="51" spans="1:16" ht="13.5" thickBot="1">
      <c r="A51" s="811"/>
      <c r="B51" s="811"/>
      <c r="C51" s="117">
        <f>SUM(C44:C50)</f>
        <v>373</v>
      </c>
      <c r="D51" s="812" t="s">
        <v>168</v>
      </c>
      <c r="E51" s="812"/>
      <c r="F51" s="812"/>
      <c r="G51" s="117">
        <f>SUM(G44:G50)</f>
        <v>291</v>
      </c>
      <c r="H51" s="778" t="s">
        <v>168</v>
      </c>
      <c r="I51" s="778"/>
      <c r="J51" s="778"/>
      <c r="K51" s="778"/>
      <c r="L51" s="117">
        <f>SUM(L44:L50)</f>
        <v>771</v>
      </c>
      <c r="M51" s="17"/>
      <c r="N51" s="17"/>
      <c r="O51"/>
      <c r="P51"/>
    </row>
    <row r="52" spans="1:16" s="1" customFormat="1" ht="13.5" customHeight="1" thickBot="1">
      <c r="A52" s="18"/>
      <c r="B52" s="5"/>
      <c r="C52" s="5"/>
      <c r="D52" s="5"/>
      <c r="E52" s="5"/>
      <c r="F52" s="5"/>
      <c r="G52" s="5"/>
      <c r="H52" s="6"/>
      <c r="I52" s="3"/>
      <c r="J52" s="3"/>
      <c r="K52" s="3"/>
      <c r="L52" s="3"/>
      <c r="M52" s="3"/>
      <c r="N52" s="3"/>
      <c r="O52" s="3"/>
      <c r="P52" s="3"/>
    </row>
    <row r="53" spans="1:16" ht="13.5" thickBot="1">
      <c r="A53" s="866" t="s">
        <v>429</v>
      </c>
      <c r="B53" s="867"/>
      <c r="C53" s="869" t="s">
        <v>203</v>
      </c>
      <c r="D53" s="806" t="s">
        <v>430</v>
      </c>
      <c r="E53" s="806"/>
      <c r="F53" s="806"/>
      <c r="G53" s="798" t="s">
        <v>203</v>
      </c>
      <c r="H53" s="785" t="s">
        <v>431</v>
      </c>
      <c r="I53" s="785"/>
      <c r="J53" s="785"/>
      <c r="K53" s="785"/>
      <c r="L53" s="799" t="s">
        <v>203</v>
      </c>
      <c r="O53"/>
      <c r="P53"/>
    </row>
    <row r="54" spans="1:16" ht="13.5" thickBot="1">
      <c r="A54" s="868"/>
      <c r="B54" s="805"/>
      <c r="C54" s="870"/>
      <c r="D54" s="806"/>
      <c r="E54" s="806"/>
      <c r="F54" s="806"/>
      <c r="G54" s="798"/>
      <c r="H54" s="785"/>
      <c r="I54" s="785"/>
      <c r="J54" s="785"/>
      <c r="K54" s="785"/>
      <c r="L54" s="799"/>
      <c r="O54"/>
      <c r="P54"/>
    </row>
    <row r="55" spans="1:16" ht="12.75">
      <c r="A55" s="871" t="s">
        <v>279</v>
      </c>
      <c r="B55" s="803"/>
      <c r="C55" s="201">
        <v>211</v>
      </c>
      <c r="D55" s="804" t="s">
        <v>279</v>
      </c>
      <c r="E55" s="804"/>
      <c r="F55" s="804"/>
      <c r="G55" s="118">
        <v>183</v>
      </c>
      <c r="H55" s="802" t="s">
        <v>521</v>
      </c>
      <c r="I55" s="802"/>
      <c r="J55" s="802"/>
      <c r="K55" s="802"/>
      <c r="L55" s="112">
        <v>100</v>
      </c>
      <c r="O55"/>
      <c r="P55"/>
    </row>
    <row r="56" spans="1:16" ht="13.5" customHeight="1">
      <c r="A56" s="872" t="s">
        <v>349</v>
      </c>
      <c r="B56" s="781"/>
      <c r="C56" s="202">
        <v>364</v>
      </c>
      <c r="D56" s="782" t="s">
        <v>349</v>
      </c>
      <c r="E56" s="782"/>
      <c r="F56" s="782"/>
      <c r="G56" s="119">
        <v>562</v>
      </c>
      <c r="H56" s="776" t="s">
        <v>522</v>
      </c>
      <c r="I56" s="776"/>
      <c r="J56" s="776"/>
      <c r="K56" s="776"/>
      <c r="L56" s="120">
        <v>100</v>
      </c>
      <c r="O56"/>
      <c r="P56"/>
    </row>
    <row r="57" spans="1:16" ht="13.5" customHeight="1">
      <c r="A57" s="872" t="s">
        <v>290</v>
      </c>
      <c r="B57" s="781"/>
      <c r="C57" s="202">
        <v>8</v>
      </c>
      <c r="D57" s="782" t="s">
        <v>290</v>
      </c>
      <c r="E57" s="782"/>
      <c r="F57" s="782"/>
      <c r="G57" s="119">
        <v>97</v>
      </c>
      <c r="H57" s="776" t="s">
        <v>523</v>
      </c>
      <c r="I57" s="776"/>
      <c r="J57" s="776"/>
      <c r="K57" s="776"/>
      <c r="L57" s="120">
        <v>150</v>
      </c>
      <c r="O57"/>
      <c r="P57"/>
    </row>
    <row r="58" spans="1:16" ht="13.5" customHeight="1">
      <c r="A58" s="872"/>
      <c r="B58" s="781"/>
      <c r="C58" s="202"/>
      <c r="D58" s="782" t="s">
        <v>524</v>
      </c>
      <c r="E58" s="782"/>
      <c r="F58" s="782"/>
      <c r="G58" s="119">
        <v>196</v>
      </c>
      <c r="H58" s="776" t="s">
        <v>525</v>
      </c>
      <c r="I58" s="776"/>
      <c r="J58" s="776"/>
      <c r="K58" s="776"/>
      <c r="L58" s="120">
        <v>50</v>
      </c>
      <c r="O58"/>
      <c r="P58"/>
    </row>
    <row r="59" spans="1:16" ht="13.5" customHeight="1">
      <c r="A59" s="872"/>
      <c r="B59" s="781"/>
      <c r="C59" s="203"/>
      <c r="D59" s="782"/>
      <c r="E59" s="782"/>
      <c r="F59" s="782"/>
      <c r="G59" s="121"/>
      <c r="H59" s="776"/>
      <c r="I59" s="776"/>
      <c r="J59" s="776"/>
      <c r="K59" s="776"/>
      <c r="L59" s="122"/>
      <c r="O59"/>
      <c r="P59"/>
    </row>
    <row r="60" spans="1:16" ht="13.5" customHeight="1">
      <c r="A60" s="872"/>
      <c r="B60" s="781"/>
      <c r="C60" s="203"/>
      <c r="D60" s="782"/>
      <c r="E60" s="782"/>
      <c r="F60" s="782"/>
      <c r="G60" s="121"/>
      <c r="H60" s="776"/>
      <c r="I60" s="776"/>
      <c r="J60" s="776"/>
      <c r="K60" s="776"/>
      <c r="L60" s="122"/>
      <c r="O60"/>
      <c r="P60"/>
    </row>
    <row r="61" spans="1:16" ht="13.5" customHeight="1">
      <c r="A61" s="872"/>
      <c r="B61" s="873"/>
      <c r="C61" s="202"/>
      <c r="D61" s="782"/>
      <c r="E61" s="782"/>
      <c r="F61" s="782"/>
      <c r="G61" s="119"/>
      <c r="H61" s="776"/>
      <c r="I61" s="776"/>
      <c r="J61" s="776"/>
      <c r="K61" s="776"/>
      <c r="L61" s="120"/>
      <c r="O61"/>
      <c r="P61"/>
    </row>
    <row r="62" spans="1:16" ht="13.5" thickBot="1">
      <c r="A62" s="874"/>
      <c r="B62" s="780"/>
      <c r="C62" s="204"/>
      <c r="D62" s="783"/>
      <c r="E62" s="783"/>
      <c r="F62" s="783"/>
      <c r="G62" s="123"/>
      <c r="H62" s="777"/>
      <c r="I62" s="777"/>
      <c r="J62" s="777"/>
      <c r="K62" s="777"/>
      <c r="L62" s="124"/>
      <c r="O62"/>
      <c r="P62"/>
    </row>
    <row r="63" spans="1:16" ht="13.5" thickBot="1">
      <c r="A63" s="877" t="s">
        <v>168</v>
      </c>
      <c r="B63" s="878"/>
      <c r="C63" s="205">
        <f>SUM(C55:C62)</f>
        <v>583</v>
      </c>
      <c r="D63" s="784" t="s">
        <v>168</v>
      </c>
      <c r="E63" s="784"/>
      <c r="F63" s="784"/>
      <c r="G63" s="125">
        <f>SUM(G55:G62)</f>
        <v>1038</v>
      </c>
      <c r="H63" s="778" t="s">
        <v>168</v>
      </c>
      <c r="I63" s="778"/>
      <c r="J63" s="778"/>
      <c r="K63" s="778"/>
      <c r="L63" s="117">
        <f>SUM(L55:L62)</f>
        <v>400</v>
      </c>
      <c r="M63" s="17"/>
      <c r="N63" s="17"/>
      <c r="O63"/>
      <c r="P63"/>
    </row>
    <row r="64" spans="1:14" s="1" customFormat="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1" customFormat="1" ht="13.5" thickBo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s="3" customFormat="1" ht="26.25" customHeight="1" thickBot="1">
      <c r="A66" s="833" t="s">
        <v>106</v>
      </c>
      <c r="B66" s="834"/>
      <c r="C66" s="834"/>
      <c r="D66" s="834"/>
      <c r="E66" s="835"/>
      <c r="F66" s="836" t="s">
        <v>107</v>
      </c>
      <c r="G66" s="914"/>
      <c r="H66" s="914"/>
      <c r="I66" s="914"/>
      <c r="J66" s="914"/>
      <c r="K66" s="914"/>
      <c r="L66" s="915"/>
      <c r="M66" s="19"/>
      <c r="N66" s="19"/>
    </row>
    <row r="67" spans="1:14" s="3" customFormat="1" ht="14.25" customHeight="1" thickBot="1">
      <c r="A67" s="417" t="s">
        <v>231</v>
      </c>
      <c r="B67" s="418" t="s">
        <v>96</v>
      </c>
      <c r="C67" s="908" t="s">
        <v>232</v>
      </c>
      <c r="D67" s="908"/>
      <c r="E67" s="419" t="s">
        <v>97</v>
      </c>
      <c r="F67" s="911" t="s">
        <v>231</v>
      </c>
      <c r="G67" s="912"/>
      <c r="H67" s="418" t="s">
        <v>96</v>
      </c>
      <c r="I67" s="908" t="s">
        <v>232</v>
      </c>
      <c r="J67" s="908"/>
      <c r="K67" s="908"/>
      <c r="L67" s="420" t="s">
        <v>97</v>
      </c>
      <c r="M67" s="19"/>
      <c r="N67" s="19"/>
    </row>
    <row r="68" spans="1:14" s="3" customFormat="1" ht="12.75">
      <c r="A68" s="401" t="s">
        <v>98</v>
      </c>
      <c r="B68" s="402">
        <v>98</v>
      </c>
      <c r="C68" s="842" t="s">
        <v>99</v>
      </c>
      <c r="D68" s="842"/>
      <c r="E68" s="403"/>
      <c r="F68" s="843" t="s">
        <v>98</v>
      </c>
      <c r="G68" s="909"/>
      <c r="H68" s="402">
        <v>98</v>
      </c>
      <c r="I68" s="842" t="s">
        <v>99</v>
      </c>
      <c r="J68" s="909"/>
      <c r="K68" s="909"/>
      <c r="L68" s="403"/>
      <c r="M68" s="19"/>
      <c r="N68" s="19"/>
    </row>
    <row r="69" spans="1:14" s="3" customFormat="1" ht="12.75">
      <c r="A69" s="404" t="s">
        <v>100</v>
      </c>
      <c r="B69" s="405"/>
      <c r="C69" s="845" t="s">
        <v>101</v>
      </c>
      <c r="D69" s="845"/>
      <c r="E69" s="406"/>
      <c r="F69" s="846" t="s">
        <v>102</v>
      </c>
      <c r="G69" s="901"/>
      <c r="H69" s="405"/>
      <c r="I69" s="845" t="s">
        <v>101</v>
      </c>
      <c r="J69" s="901"/>
      <c r="K69" s="901"/>
      <c r="L69" s="406"/>
      <c r="M69" s="19"/>
      <c r="N69" s="19"/>
    </row>
    <row r="70" spans="1:14" s="3" customFormat="1" ht="12.75">
      <c r="A70" s="404" t="s">
        <v>103</v>
      </c>
      <c r="B70" s="405"/>
      <c r="C70" s="845"/>
      <c r="D70" s="845"/>
      <c r="E70" s="406"/>
      <c r="F70" s="845" t="s">
        <v>104</v>
      </c>
      <c r="G70" s="845"/>
      <c r="H70" s="405"/>
      <c r="I70" s="845" t="s">
        <v>624</v>
      </c>
      <c r="J70" s="901"/>
      <c r="K70" s="901"/>
      <c r="L70" s="406">
        <v>9</v>
      </c>
      <c r="M70" s="19"/>
      <c r="N70" s="19"/>
    </row>
    <row r="71" spans="1:14" s="3" customFormat="1" ht="13.5" thickBot="1">
      <c r="A71" s="407"/>
      <c r="B71" s="408"/>
      <c r="C71" s="848"/>
      <c r="D71" s="848"/>
      <c r="E71" s="409"/>
      <c r="F71" s="849"/>
      <c r="G71" s="910"/>
      <c r="H71" s="408"/>
      <c r="I71" s="848"/>
      <c r="J71" s="910"/>
      <c r="K71" s="910"/>
      <c r="L71" s="409"/>
      <c r="M71" s="19"/>
      <c r="N71" s="19"/>
    </row>
    <row r="72" spans="1:14" s="3" customFormat="1" ht="13.5" thickBot="1">
      <c r="A72" s="410" t="s">
        <v>168</v>
      </c>
      <c r="B72" s="411">
        <f>SUM(B68:B71)</f>
        <v>98</v>
      </c>
      <c r="C72" s="851" t="s">
        <v>168</v>
      </c>
      <c r="D72" s="851"/>
      <c r="E72" s="413">
        <f>SUM(E68:E71)</f>
        <v>0</v>
      </c>
      <c r="F72" s="852" t="s">
        <v>168</v>
      </c>
      <c r="G72" s="913"/>
      <c r="H72" s="412">
        <f>SUM(H68:H71)</f>
        <v>98</v>
      </c>
      <c r="I72" s="851" t="s">
        <v>168</v>
      </c>
      <c r="J72" s="913"/>
      <c r="K72" s="913"/>
      <c r="L72" s="413">
        <f>SUM(L68:L71)</f>
        <v>9</v>
      </c>
      <c r="M72" s="19"/>
      <c r="N72" s="19"/>
    </row>
    <row r="73" spans="1:14" s="3" customFormat="1" ht="13.5" thickBot="1">
      <c r="A73" s="421" t="s">
        <v>105</v>
      </c>
      <c r="B73" s="413">
        <f>B72-E72</f>
        <v>98</v>
      </c>
      <c r="C73" s="19"/>
      <c r="D73" s="19"/>
      <c r="E73" s="19"/>
      <c r="F73" s="916" t="s">
        <v>105</v>
      </c>
      <c r="G73" s="917"/>
      <c r="H73" s="422">
        <f>H72-L72</f>
        <v>89</v>
      </c>
      <c r="I73" s="19"/>
      <c r="J73" s="19"/>
      <c r="K73" s="19"/>
      <c r="L73" s="19"/>
      <c r="M73" s="19"/>
      <c r="N73" s="19"/>
    </row>
    <row r="74" spans="1:14" s="1" customFormat="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s="1" customFormat="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2" s="1" customFormat="1" ht="12.75">
      <c r="A76" s="20"/>
      <c r="B76" s="21"/>
      <c r="C76" s="21"/>
      <c r="D76" s="21"/>
      <c r="E76" s="2"/>
      <c r="F76" s="4"/>
      <c r="G76" s="4"/>
      <c r="H76" s="20"/>
      <c r="I76" s="21"/>
      <c r="J76" s="21"/>
      <c r="K76" s="21"/>
      <c r="L76" s="2"/>
    </row>
    <row r="77" spans="1:12" s="1" customFormat="1" ht="13.5" thickBot="1">
      <c r="A77" s="20"/>
      <c r="B77" s="21"/>
      <c r="C77" s="21"/>
      <c r="D77" s="21"/>
      <c r="E77" s="2"/>
      <c r="F77" s="4"/>
      <c r="G77" s="4"/>
      <c r="H77" s="20"/>
      <c r="I77" s="21"/>
      <c r="J77" s="21" t="s">
        <v>307</v>
      </c>
      <c r="K77" s="21"/>
      <c r="L77" s="2"/>
    </row>
    <row r="78" spans="1:15" s="1" customFormat="1" ht="12.75">
      <c r="A78" s="879" t="s">
        <v>227</v>
      </c>
      <c r="B78" s="882" t="s">
        <v>435</v>
      </c>
      <c r="C78" s="885" t="s">
        <v>436</v>
      </c>
      <c r="D78" s="886"/>
      <c r="E78" s="886"/>
      <c r="F78" s="886"/>
      <c r="G78" s="886"/>
      <c r="H78" s="886"/>
      <c r="I78" s="887"/>
      <c r="J78" s="888" t="s">
        <v>437</v>
      </c>
      <c r="K78" s="7"/>
      <c r="L78" s="864" t="s">
        <v>205</v>
      </c>
      <c r="M78" s="865"/>
      <c r="N78" s="59">
        <v>2006</v>
      </c>
      <c r="O78" s="60">
        <v>2007</v>
      </c>
    </row>
    <row r="79" spans="1:15" s="1" customFormat="1" ht="12.75">
      <c r="A79" s="880"/>
      <c r="B79" s="883"/>
      <c r="C79" s="891" t="s">
        <v>228</v>
      </c>
      <c r="D79" s="893" t="s">
        <v>229</v>
      </c>
      <c r="E79" s="894"/>
      <c r="F79" s="894"/>
      <c r="G79" s="894"/>
      <c r="H79" s="894"/>
      <c r="I79" s="895"/>
      <c r="J79" s="889"/>
      <c r="K79" s="7"/>
      <c r="L79" s="63" t="s">
        <v>273</v>
      </c>
      <c r="M79" s="62"/>
      <c r="N79" s="58">
        <v>0</v>
      </c>
      <c r="O79" s="61">
        <v>0</v>
      </c>
    </row>
    <row r="80" spans="1:15" s="1" customFormat="1" ht="13.5" thickBot="1">
      <c r="A80" s="881"/>
      <c r="B80" s="884"/>
      <c r="C80" s="892"/>
      <c r="D80" s="25">
        <v>1</v>
      </c>
      <c r="E80" s="25">
        <v>2</v>
      </c>
      <c r="F80" s="25">
        <v>3</v>
      </c>
      <c r="G80" s="25">
        <v>4</v>
      </c>
      <c r="H80" s="25">
        <v>5</v>
      </c>
      <c r="I80" s="56">
        <v>6</v>
      </c>
      <c r="J80" s="890"/>
      <c r="K80" s="7"/>
      <c r="L80" s="62" t="s">
        <v>206</v>
      </c>
      <c r="M80" s="63"/>
      <c r="N80" s="22">
        <v>0</v>
      </c>
      <c r="O80" s="23">
        <v>0</v>
      </c>
    </row>
    <row r="81" spans="1:15" s="1" customFormat="1" ht="13.5" thickBot="1">
      <c r="A81" s="26">
        <v>21743</v>
      </c>
      <c r="B81" s="27">
        <v>4107</v>
      </c>
      <c r="C81" s="54">
        <f>SUM(D81:I81)</f>
        <v>568</v>
      </c>
      <c r="D81" s="55">
        <v>59</v>
      </c>
      <c r="E81" s="55">
        <v>331</v>
      </c>
      <c r="F81" s="55">
        <v>12</v>
      </c>
      <c r="G81" s="55">
        <v>0</v>
      </c>
      <c r="H81" s="54">
        <v>166</v>
      </c>
      <c r="I81" s="57">
        <v>0</v>
      </c>
      <c r="J81" s="28">
        <f>SUM(A81-B81-C81)</f>
        <v>17068</v>
      </c>
      <c r="K81" s="7"/>
      <c r="L81" s="64" t="s">
        <v>207</v>
      </c>
      <c r="M81" s="65"/>
      <c r="N81" s="52">
        <v>0</v>
      </c>
      <c r="O81" s="53">
        <v>0</v>
      </c>
    </row>
    <row r="82" spans="1:12" s="1" customFormat="1" ht="12.75">
      <c r="A82" s="20"/>
      <c r="B82" s="21"/>
      <c r="C82" s="21"/>
      <c r="D82" s="21"/>
      <c r="E82" s="2"/>
      <c r="F82" s="200"/>
      <c r="G82" s="4"/>
      <c r="H82" s="20"/>
      <c r="I82" s="21"/>
      <c r="J82" s="21"/>
      <c r="K82" s="21"/>
      <c r="L82" s="2"/>
    </row>
    <row r="83" spans="1:12" s="1" customFormat="1" ht="13.5" thickBot="1">
      <c r="A83" s="20"/>
      <c r="B83" s="21"/>
      <c r="C83" s="21"/>
      <c r="D83" s="21"/>
      <c r="E83" s="2"/>
      <c r="F83" s="200"/>
      <c r="G83" s="4"/>
      <c r="H83" s="20"/>
      <c r="I83" s="21"/>
      <c r="J83" s="21"/>
      <c r="K83" s="21"/>
      <c r="L83" s="21" t="s">
        <v>307</v>
      </c>
    </row>
    <row r="84" spans="1:12" s="1" customFormat="1" ht="12.75">
      <c r="A84" s="855" t="s">
        <v>255</v>
      </c>
      <c r="B84" s="857" t="s">
        <v>438</v>
      </c>
      <c r="C84" s="859" t="s">
        <v>439</v>
      </c>
      <c r="D84" s="860"/>
      <c r="E84" s="860"/>
      <c r="F84" s="861"/>
      <c r="G84" s="862" t="s">
        <v>440</v>
      </c>
      <c r="H84" s="896" t="s">
        <v>230</v>
      </c>
      <c r="I84" s="898" t="s">
        <v>441</v>
      </c>
      <c r="J84" s="899"/>
      <c r="K84" s="899"/>
      <c r="L84" s="900"/>
    </row>
    <row r="85" spans="1:12" s="1" customFormat="1" ht="18.75" thickBot="1">
      <c r="A85" s="856"/>
      <c r="B85" s="858"/>
      <c r="C85" s="29" t="s">
        <v>321</v>
      </c>
      <c r="D85" s="30" t="s">
        <v>231</v>
      </c>
      <c r="E85" s="30" t="s">
        <v>232</v>
      </c>
      <c r="F85" s="31" t="s">
        <v>322</v>
      </c>
      <c r="G85" s="863"/>
      <c r="H85" s="897"/>
      <c r="I85" s="174" t="s">
        <v>442</v>
      </c>
      <c r="J85" s="175" t="s">
        <v>231</v>
      </c>
      <c r="K85" s="175" t="s">
        <v>232</v>
      </c>
      <c r="L85" s="176" t="s">
        <v>443</v>
      </c>
    </row>
    <row r="86" spans="1:12" s="1" customFormat="1" ht="12.75">
      <c r="A86" s="32" t="s">
        <v>233</v>
      </c>
      <c r="B86" s="33">
        <v>629</v>
      </c>
      <c r="C86" s="34" t="s">
        <v>234</v>
      </c>
      <c r="D86" s="35" t="s">
        <v>234</v>
      </c>
      <c r="E86" s="35" t="s">
        <v>234</v>
      </c>
      <c r="F86" s="270" t="s">
        <v>234</v>
      </c>
      <c r="G86" s="37">
        <v>1105</v>
      </c>
      <c r="H86" s="171" t="s">
        <v>234</v>
      </c>
      <c r="I86" s="177" t="s">
        <v>234</v>
      </c>
      <c r="J86" s="178" t="s">
        <v>234</v>
      </c>
      <c r="K86" s="178" t="s">
        <v>234</v>
      </c>
      <c r="L86" s="179" t="s">
        <v>234</v>
      </c>
    </row>
    <row r="87" spans="1:12" s="1" customFormat="1" ht="12.75">
      <c r="A87" s="38" t="s">
        <v>235</v>
      </c>
      <c r="B87" s="39">
        <v>59</v>
      </c>
      <c r="C87" s="40">
        <v>59</v>
      </c>
      <c r="D87" s="41">
        <v>0</v>
      </c>
      <c r="E87" s="41">
        <v>0</v>
      </c>
      <c r="F87" s="42">
        <f>C87+D87-E87</f>
        <v>59</v>
      </c>
      <c r="G87" s="43">
        <v>59</v>
      </c>
      <c r="H87" s="172">
        <f>+G87-F87</f>
        <v>0</v>
      </c>
      <c r="I87" s="40">
        <v>59</v>
      </c>
      <c r="J87" s="41">
        <v>0</v>
      </c>
      <c r="K87" s="41">
        <v>0</v>
      </c>
      <c r="L87" s="42">
        <f>I87+J87-K87</f>
        <v>59</v>
      </c>
    </row>
    <row r="88" spans="1:12" s="1" customFormat="1" ht="12.75">
      <c r="A88" s="38" t="s">
        <v>236</v>
      </c>
      <c r="B88" s="39">
        <v>98</v>
      </c>
      <c r="C88" s="40">
        <v>98</v>
      </c>
      <c r="D88" s="41">
        <v>0</v>
      </c>
      <c r="E88" s="41">
        <v>0</v>
      </c>
      <c r="F88" s="42">
        <f>C88+D88-E88</f>
        <v>98</v>
      </c>
      <c r="G88" s="43">
        <v>98</v>
      </c>
      <c r="H88" s="172">
        <f>+G88-F88</f>
        <v>0</v>
      </c>
      <c r="I88" s="40">
        <v>98</v>
      </c>
      <c r="J88" s="41">
        <v>0</v>
      </c>
      <c r="K88" s="41">
        <v>9</v>
      </c>
      <c r="L88" s="42">
        <f>I88+J88-K88</f>
        <v>89</v>
      </c>
    </row>
    <row r="89" spans="1:12" s="1" customFormat="1" ht="12.75">
      <c r="A89" s="38" t="s">
        <v>256</v>
      </c>
      <c r="B89" s="39">
        <v>151</v>
      </c>
      <c r="C89" s="40">
        <v>151</v>
      </c>
      <c r="D89" s="41">
        <v>521</v>
      </c>
      <c r="E89" s="41">
        <v>382</v>
      </c>
      <c r="F89" s="42">
        <f>C89+D89-E89</f>
        <v>290</v>
      </c>
      <c r="G89" s="43">
        <v>290</v>
      </c>
      <c r="H89" s="172">
        <f>+G89-F89</f>
        <v>0</v>
      </c>
      <c r="I89" s="180">
        <v>290</v>
      </c>
      <c r="J89" s="170">
        <v>568</v>
      </c>
      <c r="K89" s="170">
        <v>771</v>
      </c>
      <c r="L89" s="42">
        <f>I89+J89-K89</f>
        <v>87</v>
      </c>
    </row>
    <row r="90" spans="1:12" s="1" customFormat="1" ht="12.75">
      <c r="A90" s="38" t="s">
        <v>237</v>
      </c>
      <c r="B90" s="39">
        <v>321</v>
      </c>
      <c r="C90" s="50" t="s">
        <v>234</v>
      </c>
      <c r="D90" s="35" t="s">
        <v>234</v>
      </c>
      <c r="E90" s="51" t="s">
        <v>234</v>
      </c>
      <c r="F90" s="311" t="s">
        <v>234</v>
      </c>
      <c r="G90" s="43">
        <v>658</v>
      </c>
      <c r="H90" s="50" t="s">
        <v>234</v>
      </c>
      <c r="I90" s="312" t="s">
        <v>234</v>
      </c>
      <c r="J90" s="313" t="s">
        <v>234</v>
      </c>
      <c r="K90" s="313" t="s">
        <v>234</v>
      </c>
      <c r="L90" s="311" t="s">
        <v>234</v>
      </c>
    </row>
    <row r="91" spans="1:12" s="1" customFormat="1" ht="13.5" thickBot="1">
      <c r="A91" s="44" t="s">
        <v>238</v>
      </c>
      <c r="B91" s="45">
        <v>88</v>
      </c>
      <c r="C91" s="46">
        <v>141</v>
      </c>
      <c r="D91" s="47">
        <v>127</v>
      </c>
      <c r="E91" s="47">
        <v>98</v>
      </c>
      <c r="F91" s="48">
        <f>C91+D91-E91</f>
        <v>170</v>
      </c>
      <c r="G91" s="49">
        <v>150</v>
      </c>
      <c r="H91" s="173">
        <f>+G91-F91</f>
        <v>-20</v>
      </c>
      <c r="I91" s="46">
        <v>170</v>
      </c>
      <c r="J91" s="47">
        <v>130</v>
      </c>
      <c r="K91" s="47">
        <v>102</v>
      </c>
      <c r="L91" s="48">
        <f>I91+J91-K91</f>
        <v>198</v>
      </c>
    </row>
    <row r="92" spans="1:12" s="1" customFormat="1" ht="12.75">
      <c r="A92" s="20"/>
      <c r="B92" s="21"/>
      <c r="C92" s="21"/>
      <c r="D92" s="21"/>
      <c r="E92" s="2"/>
      <c r="F92" s="200"/>
      <c r="G92" s="4"/>
      <c r="H92" s="20"/>
      <c r="I92" s="21"/>
      <c r="J92" s="21"/>
      <c r="K92" s="21"/>
      <c r="L92" s="2"/>
    </row>
    <row r="93" spans="1:12" s="1" customFormat="1" ht="12.75">
      <c r="A93" s="20"/>
      <c r="B93" s="21"/>
      <c r="C93" s="21"/>
      <c r="D93" s="21"/>
      <c r="E93" s="2"/>
      <c r="F93" s="200"/>
      <c r="G93" s="4"/>
      <c r="H93" s="20"/>
      <c r="I93" s="21"/>
      <c r="J93" s="21"/>
      <c r="K93" s="21"/>
      <c r="L93" s="2"/>
    </row>
    <row r="94" spans="1:12" s="1" customFormat="1" ht="12.75">
      <c r="A94" s="20"/>
      <c r="B94" s="21"/>
      <c r="C94" s="21"/>
      <c r="D94" s="21"/>
      <c r="E94" s="2"/>
      <c r="F94" s="200"/>
      <c r="G94" s="4"/>
      <c r="H94" s="20"/>
      <c r="I94" s="21"/>
      <c r="J94" s="21"/>
      <c r="K94" s="21"/>
      <c r="L94" s="2"/>
    </row>
    <row r="95" spans="1:12" s="1" customFormat="1" ht="12.75">
      <c r="A95" s="20"/>
      <c r="B95" s="21"/>
      <c r="C95" s="21"/>
      <c r="D95" s="21"/>
      <c r="E95" s="2"/>
      <c r="F95" s="200"/>
      <c r="G95" s="4"/>
      <c r="H95" s="20"/>
      <c r="I95" s="21"/>
      <c r="J95" s="21"/>
      <c r="K95" s="21"/>
      <c r="L95" s="2"/>
    </row>
    <row r="96" spans="1:12" s="1" customFormat="1" ht="12.75">
      <c r="A96" s="20"/>
      <c r="B96" s="21"/>
      <c r="C96" s="21"/>
      <c r="D96" s="21"/>
      <c r="E96" s="2"/>
      <c r="F96" s="200"/>
      <c r="G96" s="4"/>
      <c r="H96" s="20"/>
      <c r="I96" s="21"/>
      <c r="J96" s="21"/>
      <c r="K96" s="21"/>
      <c r="L96" s="2"/>
    </row>
    <row r="97" spans="1:12" s="1" customFormat="1" ht="12.75">
      <c r="A97" s="20"/>
      <c r="B97" s="21"/>
      <c r="C97" s="21"/>
      <c r="D97" s="21"/>
      <c r="E97" s="2"/>
      <c r="F97" s="4"/>
      <c r="G97" s="4"/>
      <c r="H97" s="20"/>
      <c r="I97" s="21"/>
      <c r="J97" s="21"/>
      <c r="K97" s="21"/>
      <c r="L97" s="2"/>
    </row>
    <row r="98" spans="1:12" s="1" customFormat="1" ht="12.75">
      <c r="A98" s="20"/>
      <c r="B98" s="21"/>
      <c r="C98" s="21"/>
      <c r="D98" s="21"/>
      <c r="E98" s="2"/>
      <c r="F98" s="4"/>
      <c r="G98" s="4"/>
      <c r="H98" s="20"/>
      <c r="I98" s="21"/>
      <c r="J98" s="21"/>
      <c r="K98" s="21"/>
      <c r="L98" s="2"/>
    </row>
    <row r="99" spans="8:12" ht="13.5" thickBot="1">
      <c r="H99" s="21" t="s">
        <v>307</v>
      </c>
      <c r="L99" s="21" t="s">
        <v>307</v>
      </c>
    </row>
    <row r="100" spans="1:12" ht="13.5" thickBot="1">
      <c r="A100" s="823" t="s">
        <v>444</v>
      </c>
      <c r="B100" s="824" t="s">
        <v>168</v>
      </c>
      <c r="C100" s="810" t="s">
        <v>239</v>
      </c>
      <c r="D100" s="810"/>
      <c r="E100" s="810"/>
      <c r="F100" s="810"/>
      <c r="G100" s="810"/>
      <c r="H100" s="810"/>
      <c r="I100" s="24"/>
      <c r="J100" s="825" t="s">
        <v>208</v>
      </c>
      <c r="K100" s="825"/>
      <c r="L100" s="825"/>
    </row>
    <row r="101" spans="1:12" ht="13.5" thickBot="1">
      <c r="A101" s="823"/>
      <c r="B101" s="824"/>
      <c r="C101" s="126" t="s">
        <v>240</v>
      </c>
      <c r="D101" s="127" t="s">
        <v>241</v>
      </c>
      <c r="E101" s="127" t="s">
        <v>242</v>
      </c>
      <c r="F101" s="127" t="s">
        <v>243</v>
      </c>
      <c r="G101" s="128" t="s">
        <v>244</v>
      </c>
      <c r="H101" s="129" t="s">
        <v>228</v>
      </c>
      <c r="I101" s="24"/>
      <c r="J101" s="130"/>
      <c r="K101" s="131" t="s">
        <v>209</v>
      </c>
      <c r="L101" s="132" t="s">
        <v>210</v>
      </c>
    </row>
    <row r="102" spans="1:12" ht="12.75">
      <c r="A102" s="133" t="s">
        <v>245</v>
      </c>
      <c r="B102" s="134">
        <v>305</v>
      </c>
      <c r="C102" s="135">
        <v>0</v>
      </c>
      <c r="D102" s="135">
        <v>0</v>
      </c>
      <c r="E102" s="135">
        <v>0</v>
      </c>
      <c r="F102" s="135">
        <v>0</v>
      </c>
      <c r="G102" s="134">
        <v>0</v>
      </c>
      <c r="H102" s="136">
        <f>SUM(C102:G102)</f>
        <v>0</v>
      </c>
      <c r="I102" s="24"/>
      <c r="J102" s="137">
        <v>2007</v>
      </c>
      <c r="K102" s="138">
        <v>6286</v>
      </c>
      <c r="L102" s="139">
        <f>+G30</f>
        <v>6366</v>
      </c>
    </row>
    <row r="103" spans="1:12" ht="13.5" thickBot="1">
      <c r="A103" s="140" t="s">
        <v>246</v>
      </c>
      <c r="B103" s="141">
        <v>892</v>
      </c>
      <c r="C103" s="142">
        <v>0</v>
      </c>
      <c r="D103" s="142">
        <v>0</v>
      </c>
      <c r="E103" s="142">
        <v>0</v>
      </c>
      <c r="F103" s="142">
        <v>0</v>
      </c>
      <c r="G103" s="141">
        <v>0</v>
      </c>
      <c r="H103" s="143">
        <f>SUM(C103:G103)</f>
        <v>0</v>
      </c>
      <c r="I103" s="24"/>
      <c r="J103" s="144">
        <v>2008</v>
      </c>
      <c r="K103" s="145">
        <f>L30</f>
        <v>6500</v>
      </c>
      <c r="L103" s="146"/>
    </row>
    <row r="104" ht="12.75" customHeight="1"/>
    <row r="105" ht="13.5" thickBot="1">
      <c r="J105" s="208" t="s">
        <v>323</v>
      </c>
    </row>
    <row r="106" spans="1:10" ht="21" customHeight="1" thickBot="1">
      <c r="A106" s="823" t="s">
        <v>211</v>
      </c>
      <c r="B106" s="826" t="s">
        <v>212</v>
      </c>
      <c r="C106" s="826"/>
      <c r="D106" s="826"/>
      <c r="E106" s="827" t="s">
        <v>274</v>
      </c>
      <c r="F106" s="827"/>
      <c r="G106" s="827"/>
      <c r="H106" s="828" t="s">
        <v>213</v>
      </c>
      <c r="I106" s="828"/>
      <c r="J106" s="828"/>
    </row>
    <row r="107" spans="1:10" ht="12.75">
      <c r="A107" s="823"/>
      <c r="B107" s="147">
        <v>2006</v>
      </c>
      <c r="C107" s="147">
        <v>2007</v>
      </c>
      <c r="D107" s="147" t="s">
        <v>214</v>
      </c>
      <c r="E107" s="147">
        <v>2006</v>
      </c>
      <c r="F107" s="147">
        <v>2007</v>
      </c>
      <c r="G107" s="148" t="s">
        <v>214</v>
      </c>
      <c r="H107" s="149">
        <v>2006</v>
      </c>
      <c r="I107" s="147">
        <v>2007</v>
      </c>
      <c r="J107" s="148" t="s">
        <v>214</v>
      </c>
    </row>
    <row r="108" spans="1:10" ht="18.75">
      <c r="A108" s="150" t="s">
        <v>215</v>
      </c>
      <c r="B108" s="151">
        <v>3</v>
      </c>
      <c r="C108" s="151">
        <v>3</v>
      </c>
      <c r="D108" s="151">
        <f aca="true" t="shared" si="13" ref="D108:D118">+C108-B108</f>
        <v>0</v>
      </c>
      <c r="E108" s="151">
        <v>3</v>
      </c>
      <c r="F108" s="151">
        <v>3</v>
      </c>
      <c r="G108" s="152">
        <f aca="true" t="shared" si="14" ref="G108:G118">+F108-E108</f>
        <v>0</v>
      </c>
      <c r="H108" s="153">
        <v>20316</v>
      </c>
      <c r="I108" s="154">
        <v>24570</v>
      </c>
      <c r="J108" s="155">
        <f aca="true" t="shared" si="15" ref="J108:J118">+I108-H108</f>
        <v>4254</v>
      </c>
    </row>
    <row r="109" spans="1:10" ht="12.75">
      <c r="A109" s="150" t="s">
        <v>248</v>
      </c>
      <c r="B109" s="151">
        <v>6.22</v>
      </c>
      <c r="C109" s="151">
        <v>5.88</v>
      </c>
      <c r="D109" s="151">
        <f t="shared" si="13"/>
        <v>-0.33999999999999986</v>
      </c>
      <c r="E109" s="151">
        <v>6.15</v>
      </c>
      <c r="F109" s="151">
        <v>6.56</v>
      </c>
      <c r="G109" s="152">
        <f t="shared" si="14"/>
        <v>0.40999999999999925</v>
      </c>
      <c r="H109" s="153">
        <v>20251</v>
      </c>
      <c r="I109" s="156">
        <v>21909</v>
      </c>
      <c r="J109" s="155">
        <f t="shared" si="15"/>
        <v>1658</v>
      </c>
    </row>
    <row r="110" spans="1:10" ht="12.75">
      <c r="A110" s="150" t="s">
        <v>216</v>
      </c>
      <c r="B110" s="151">
        <v>1</v>
      </c>
      <c r="C110" s="151">
        <v>2</v>
      </c>
      <c r="D110" s="151">
        <f t="shared" si="13"/>
        <v>1</v>
      </c>
      <c r="E110" s="151">
        <v>1</v>
      </c>
      <c r="F110" s="151">
        <v>2</v>
      </c>
      <c r="G110" s="152">
        <f t="shared" si="14"/>
        <v>1</v>
      </c>
      <c r="H110" s="153">
        <v>15946</v>
      </c>
      <c r="I110" s="156">
        <v>19194</v>
      </c>
      <c r="J110" s="155">
        <f t="shared" si="15"/>
        <v>3248</v>
      </c>
    </row>
    <row r="111" spans="1:10" ht="12.75">
      <c r="A111" s="150" t="s">
        <v>217</v>
      </c>
      <c r="B111" s="151">
        <v>0</v>
      </c>
      <c r="C111" s="151">
        <v>0</v>
      </c>
      <c r="D111" s="151">
        <f t="shared" si="13"/>
        <v>0</v>
      </c>
      <c r="E111" s="151">
        <v>0</v>
      </c>
      <c r="F111" s="151">
        <v>0</v>
      </c>
      <c r="G111" s="152">
        <f t="shared" si="14"/>
        <v>0</v>
      </c>
      <c r="H111" s="153">
        <v>0</v>
      </c>
      <c r="I111" s="156">
        <v>0</v>
      </c>
      <c r="J111" s="155">
        <f t="shared" si="15"/>
        <v>0</v>
      </c>
    </row>
    <row r="112" spans="1:10" ht="12.75">
      <c r="A112" s="150" t="s">
        <v>299</v>
      </c>
      <c r="B112" s="151">
        <v>0</v>
      </c>
      <c r="C112" s="151">
        <v>0</v>
      </c>
      <c r="D112" s="151">
        <f t="shared" si="13"/>
        <v>0</v>
      </c>
      <c r="E112" s="151">
        <v>0</v>
      </c>
      <c r="F112" s="151">
        <v>0</v>
      </c>
      <c r="G112" s="152">
        <f t="shared" si="14"/>
        <v>0</v>
      </c>
      <c r="H112" s="153">
        <v>0</v>
      </c>
      <c r="I112" s="156">
        <v>0</v>
      </c>
      <c r="J112" s="155">
        <f t="shared" si="15"/>
        <v>0</v>
      </c>
    </row>
    <row r="113" spans="1:10" ht="12.75">
      <c r="A113" s="150" t="s">
        <v>297</v>
      </c>
      <c r="B113" s="151">
        <v>0.72</v>
      </c>
      <c r="C113" s="151">
        <v>0.72</v>
      </c>
      <c r="D113" s="151">
        <f t="shared" si="13"/>
        <v>0</v>
      </c>
      <c r="E113" s="151">
        <v>0.72</v>
      </c>
      <c r="F113" s="151">
        <v>0.72</v>
      </c>
      <c r="G113" s="152">
        <f t="shared" si="14"/>
        <v>0</v>
      </c>
      <c r="H113" s="153">
        <v>10598</v>
      </c>
      <c r="I113" s="156">
        <v>14775</v>
      </c>
      <c r="J113" s="155">
        <f t="shared" si="15"/>
        <v>4177</v>
      </c>
    </row>
    <row r="114" spans="1:10" ht="12.75">
      <c r="A114" s="150" t="s">
        <v>325</v>
      </c>
      <c r="B114" s="151">
        <v>4</v>
      </c>
      <c r="C114" s="151">
        <v>4</v>
      </c>
      <c r="D114" s="151">
        <f t="shared" si="13"/>
        <v>0</v>
      </c>
      <c r="E114" s="151">
        <v>4</v>
      </c>
      <c r="F114" s="151">
        <v>4</v>
      </c>
      <c r="G114" s="152">
        <f t="shared" si="14"/>
        <v>0</v>
      </c>
      <c r="H114" s="153">
        <v>14163</v>
      </c>
      <c r="I114" s="156">
        <v>15500</v>
      </c>
      <c r="J114" s="155">
        <f t="shared" si="15"/>
        <v>1337</v>
      </c>
    </row>
    <row r="115" spans="1:10" ht="12.75">
      <c r="A115" s="150" t="s">
        <v>219</v>
      </c>
      <c r="B115" s="151">
        <v>7.75</v>
      </c>
      <c r="C115" s="151">
        <v>7.42</v>
      </c>
      <c r="D115" s="151">
        <f t="shared" si="13"/>
        <v>-0.33000000000000007</v>
      </c>
      <c r="E115" s="151">
        <v>7.75</v>
      </c>
      <c r="F115" s="151">
        <v>8.75</v>
      </c>
      <c r="G115" s="152">
        <f t="shared" si="14"/>
        <v>1</v>
      </c>
      <c r="H115" s="153">
        <v>12783</v>
      </c>
      <c r="I115" s="156">
        <v>13816</v>
      </c>
      <c r="J115" s="155">
        <f t="shared" si="15"/>
        <v>1033</v>
      </c>
    </row>
    <row r="116" spans="1:10" ht="12.75">
      <c r="A116" s="150" t="s">
        <v>220</v>
      </c>
      <c r="B116" s="151">
        <v>1</v>
      </c>
      <c r="C116" s="151">
        <v>1</v>
      </c>
      <c r="D116" s="151">
        <f t="shared" si="13"/>
        <v>0</v>
      </c>
      <c r="E116" s="151">
        <v>1</v>
      </c>
      <c r="F116" s="151">
        <v>1</v>
      </c>
      <c r="G116" s="152">
        <f t="shared" si="14"/>
        <v>0</v>
      </c>
      <c r="H116" s="153">
        <v>16671</v>
      </c>
      <c r="I116" s="156">
        <v>18918</v>
      </c>
      <c r="J116" s="155">
        <f t="shared" si="15"/>
        <v>2247</v>
      </c>
    </row>
    <row r="117" spans="1:10" ht="12.75">
      <c r="A117" s="150" t="s">
        <v>221</v>
      </c>
      <c r="B117" s="151">
        <v>5.76</v>
      </c>
      <c r="C117" s="151">
        <v>7.59</v>
      </c>
      <c r="D117" s="151">
        <f t="shared" si="13"/>
        <v>1.83</v>
      </c>
      <c r="E117" s="151">
        <v>6.38</v>
      </c>
      <c r="F117" s="151">
        <v>9.38</v>
      </c>
      <c r="G117" s="152">
        <f t="shared" si="14"/>
        <v>3.000000000000001</v>
      </c>
      <c r="H117" s="153">
        <v>12675</v>
      </c>
      <c r="I117" s="156">
        <v>12680</v>
      </c>
      <c r="J117" s="155">
        <f t="shared" si="15"/>
        <v>5</v>
      </c>
    </row>
    <row r="118" spans="1:10" ht="13.5" thickBot="1">
      <c r="A118" s="157" t="s">
        <v>168</v>
      </c>
      <c r="B118" s="158">
        <v>29.45</v>
      </c>
      <c r="C118" s="158">
        <v>31.61</v>
      </c>
      <c r="D118" s="158">
        <f t="shared" si="13"/>
        <v>2.16</v>
      </c>
      <c r="E118" s="158">
        <v>30</v>
      </c>
      <c r="F118" s="158">
        <v>35.41</v>
      </c>
      <c r="G118" s="159">
        <f t="shared" si="14"/>
        <v>5.409999999999997</v>
      </c>
      <c r="H118" s="160">
        <v>15433</v>
      </c>
      <c r="I118" s="161">
        <v>16782</v>
      </c>
      <c r="J118" s="162">
        <f t="shared" si="15"/>
        <v>1349</v>
      </c>
    </row>
    <row r="119" ht="13.5" thickBot="1"/>
    <row r="120" spans="1:16" ht="12.75">
      <c r="A120" s="829" t="s">
        <v>222</v>
      </c>
      <c r="B120" s="829"/>
      <c r="C120" s="829"/>
      <c r="D120" s="24"/>
      <c r="E120" s="829" t="s">
        <v>223</v>
      </c>
      <c r="F120" s="829"/>
      <c r="G120" s="829"/>
      <c r="H120"/>
      <c r="I120"/>
      <c r="J120"/>
      <c r="K120"/>
      <c r="L120"/>
      <c r="M120"/>
      <c r="N120"/>
      <c r="O120"/>
      <c r="P120"/>
    </row>
    <row r="121" spans="1:16" ht="13.5" thickBot="1">
      <c r="A121" s="130" t="s">
        <v>224</v>
      </c>
      <c r="B121" s="131" t="s">
        <v>225</v>
      </c>
      <c r="C121" s="132" t="s">
        <v>210</v>
      </c>
      <c r="D121" s="24"/>
      <c r="E121" s="130"/>
      <c r="F121" s="832" t="s">
        <v>226</v>
      </c>
      <c r="G121" s="832"/>
      <c r="H121"/>
      <c r="I121"/>
      <c r="J121"/>
      <c r="K121"/>
      <c r="L121"/>
      <c r="M121"/>
      <c r="N121"/>
      <c r="O121"/>
      <c r="P121"/>
    </row>
    <row r="122" spans="1:16" ht="12.75">
      <c r="A122" s="137">
        <v>2007</v>
      </c>
      <c r="B122" s="138">
        <v>30</v>
      </c>
      <c r="C122" s="139">
        <v>35</v>
      </c>
      <c r="D122" s="24"/>
      <c r="E122" s="137">
        <v>2007</v>
      </c>
      <c r="F122" s="830">
        <v>70</v>
      </c>
      <c r="G122" s="830"/>
      <c r="H122"/>
      <c r="I122"/>
      <c r="J122"/>
      <c r="K122"/>
      <c r="L122"/>
      <c r="M122"/>
      <c r="N122"/>
      <c r="O122"/>
      <c r="P122"/>
    </row>
    <row r="123" spans="1:16" ht="13.5" thickBot="1">
      <c r="A123" s="144">
        <v>2008</v>
      </c>
      <c r="B123" s="145">
        <v>35</v>
      </c>
      <c r="C123" s="146"/>
      <c r="D123" s="24"/>
      <c r="E123" s="144">
        <v>2008</v>
      </c>
      <c r="F123" s="831">
        <v>70</v>
      </c>
      <c r="G123" s="831"/>
      <c r="H123"/>
      <c r="I123"/>
      <c r="J123"/>
      <c r="K123"/>
      <c r="L123"/>
      <c r="M123"/>
      <c r="N123"/>
      <c r="O123"/>
      <c r="P123"/>
    </row>
  </sheetData>
  <mergeCells count="123">
    <mergeCell ref="C71:D71"/>
    <mergeCell ref="F71:G71"/>
    <mergeCell ref="I71:K71"/>
    <mergeCell ref="C72:D72"/>
    <mergeCell ref="F72:G72"/>
    <mergeCell ref="I72:K72"/>
    <mergeCell ref="C69:D69"/>
    <mergeCell ref="F69:G69"/>
    <mergeCell ref="I69:K69"/>
    <mergeCell ref="C70:D70"/>
    <mergeCell ref="F70:G70"/>
    <mergeCell ref="I70:K70"/>
    <mergeCell ref="A120:C120"/>
    <mergeCell ref="E120:G120"/>
    <mergeCell ref="A106:A107"/>
    <mergeCell ref="A66:E66"/>
    <mergeCell ref="F66:L66"/>
    <mergeCell ref="C67:D67"/>
    <mergeCell ref="F67:G67"/>
    <mergeCell ref="I67:K67"/>
    <mergeCell ref="C68:D68"/>
    <mergeCell ref="F68:G68"/>
    <mergeCell ref="H63:K63"/>
    <mergeCell ref="F121:G121"/>
    <mergeCell ref="F122:G122"/>
    <mergeCell ref="F123:G123"/>
    <mergeCell ref="E106:G106"/>
    <mergeCell ref="I68:K68"/>
    <mergeCell ref="F73:G73"/>
    <mergeCell ref="D50:F50"/>
    <mergeCell ref="L53:L54"/>
    <mergeCell ref="A100:A101"/>
    <mergeCell ref="B100:B101"/>
    <mergeCell ref="C100:H100"/>
    <mergeCell ref="J100:L100"/>
    <mergeCell ref="L78:M78"/>
    <mergeCell ref="A61:B61"/>
    <mergeCell ref="D58:F58"/>
    <mergeCell ref="H58:K58"/>
    <mergeCell ref="E4:G4"/>
    <mergeCell ref="L42:L43"/>
    <mergeCell ref="A51:B51"/>
    <mergeCell ref="D51:F51"/>
    <mergeCell ref="H51:K51"/>
    <mergeCell ref="A42:B43"/>
    <mergeCell ref="C42:C43"/>
    <mergeCell ref="D42:F43"/>
    <mergeCell ref="G42:G43"/>
    <mergeCell ref="A50:B50"/>
    <mergeCell ref="H60:K60"/>
    <mergeCell ref="A1:N1"/>
    <mergeCell ref="J39:L39"/>
    <mergeCell ref="B40:D40"/>
    <mergeCell ref="E40:G40"/>
    <mergeCell ref="A3:A6"/>
    <mergeCell ref="B3:N3"/>
    <mergeCell ref="H4:I4"/>
    <mergeCell ref="M4:N4"/>
    <mergeCell ref="B4:D4"/>
    <mergeCell ref="H57:K57"/>
    <mergeCell ref="A63:B63"/>
    <mergeCell ref="D63:F63"/>
    <mergeCell ref="A60:B60"/>
    <mergeCell ref="D60:F60"/>
    <mergeCell ref="A59:B59"/>
    <mergeCell ref="D59:F59"/>
    <mergeCell ref="H59:K59"/>
    <mergeCell ref="D61:F61"/>
    <mergeCell ref="H61:K61"/>
    <mergeCell ref="H55:K55"/>
    <mergeCell ref="A56:B56"/>
    <mergeCell ref="D56:F56"/>
    <mergeCell ref="H56:K56"/>
    <mergeCell ref="D53:F54"/>
    <mergeCell ref="G53:G54"/>
    <mergeCell ref="A58:B58"/>
    <mergeCell ref="A55:B55"/>
    <mergeCell ref="D55:F55"/>
    <mergeCell ref="A57:B57"/>
    <mergeCell ref="D57:F57"/>
    <mergeCell ref="H50:K50"/>
    <mergeCell ref="H53:K54"/>
    <mergeCell ref="A48:B48"/>
    <mergeCell ref="D48:F48"/>
    <mergeCell ref="H48:K48"/>
    <mergeCell ref="A49:B49"/>
    <mergeCell ref="D49:F49"/>
    <mergeCell ref="H49:K49"/>
    <mergeCell ref="A53:B54"/>
    <mergeCell ref="C53:C54"/>
    <mergeCell ref="A46:B46"/>
    <mergeCell ref="D46:F46"/>
    <mergeCell ref="H46:K46"/>
    <mergeCell ref="A47:B47"/>
    <mergeCell ref="D47:F47"/>
    <mergeCell ref="H47:K47"/>
    <mergeCell ref="H44:K44"/>
    <mergeCell ref="A45:B45"/>
    <mergeCell ref="D45:F45"/>
    <mergeCell ref="H45:K45"/>
    <mergeCell ref="A84:A85"/>
    <mergeCell ref="J4:L4"/>
    <mergeCell ref="H62:K62"/>
    <mergeCell ref="A62:B62"/>
    <mergeCell ref="H42:K43"/>
    <mergeCell ref="B39:D39"/>
    <mergeCell ref="E39:G39"/>
    <mergeCell ref="D62:F62"/>
    <mergeCell ref="A44:B44"/>
    <mergeCell ref="D44:F44"/>
    <mergeCell ref="A78:A80"/>
    <mergeCell ref="C78:I78"/>
    <mergeCell ref="B78:B80"/>
    <mergeCell ref="J78:J80"/>
    <mergeCell ref="C79:C80"/>
    <mergeCell ref="D79:I79"/>
    <mergeCell ref="B84:B85"/>
    <mergeCell ref="H84:H85"/>
    <mergeCell ref="H106:J106"/>
    <mergeCell ref="I84:L84"/>
    <mergeCell ref="C84:F84"/>
    <mergeCell ref="G84:G85"/>
    <mergeCell ref="B106:D106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3" r:id="rId1"/>
  <headerFooter alignWithMargins="0">
    <oddFooter>&amp;C&amp;P</oddFooter>
  </headerFooter>
  <rowBreaks count="1" manualBreakCount="1">
    <brk id="75" max="1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SheetLayoutView="100" workbookViewId="0" topLeftCell="A1">
      <selection activeCell="J89" sqref="J89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875"/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307</v>
      </c>
    </row>
    <row r="3" spans="1:14" ht="24" customHeight="1" thickBot="1">
      <c r="A3" s="876" t="s">
        <v>165</v>
      </c>
      <c r="B3" s="792" t="s">
        <v>399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4" ht="14.25" thickBot="1" thickTop="1">
      <c r="A4" s="876"/>
      <c r="B4" s="790" t="s">
        <v>308</v>
      </c>
      <c r="C4" s="790"/>
      <c r="D4" s="790"/>
      <c r="E4" s="790" t="s">
        <v>417</v>
      </c>
      <c r="F4" s="790"/>
      <c r="G4" s="790"/>
      <c r="H4" s="793" t="s">
        <v>309</v>
      </c>
      <c r="I4" s="793"/>
      <c r="J4" s="790" t="s">
        <v>418</v>
      </c>
      <c r="K4" s="790"/>
      <c r="L4" s="790"/>
      <c r="M4" s="790" t="s">
        <v>419</v>
      </c>
      <c r="N4" s="790"/>
    </row>
    <row r="5" spans="1:14" ht="14.25" thickBot="1" thickTop="1">
      <c r="A5" s="876"/>
      <c r="B5" s="66" t="s">
        <v>166</v>
      </c>
      <c r="C5" s="67" t="s">
        <v>167</v>
      </c>
      <c r="D5" s="68" t="s">
        <v>168</v>
      </c>
      <c r="E5" s="66" t="s">
        <v>166</v>
      </c>
      <c r="F5" s="67" t="s">
        <v>167</v>
      </c>
      <c r="G5" s="68" t="s">
        <v>168</v>
      </c>
      <c r="H5" s="69" t="s">
        <v>168</v>
      </c>
      <c r="I5" s="69" t="s">
        <v>169</v>
      </c>
      <c r="J5" s="70" t="s">
        <v>166</v>
      </c>
      <c r="K5" s="67" t="s">
        <v>167</v>
      </c>
      <c r="L5" s="68" t="s">
        <v>168</v>
      </c>
      <c r="M5" s="69" t="s">
        <v>168</v>
      </c>
      <c r="N5" s="68" t="s">
        <v>169</v>
      </c>
    </row>
    <row r="6" spans="1:14" ht="14.25" thickBot="1" thickTop="1">
      <c r="A6" s="791"/>
      <c r="B6" s="183" t="s">
        <v>170</v>
      </c>
      <c r="C6" s="184" t="s">
        <v>170</v>
      </c>
      <c r="D6" s="185"/>
      <c r="E6" s="183" t="s">
        <v>170</v>
      </c>
      <c r="F6" s="184" t="s">
        <v>170</v>
      </c>
      <c r="G6" s="185"/>
      <c r="H6" s="189" t="s">
        <v>171</v>
      </c>
      <c r="I6" s="189" t="s">
        <v>172</v>
      </c>
      <c r="J6" s="197" t="s">
        <v>170</v>
      </c>
      <c r="K6" s="184" t="s">
        <v>170</v>
      </c>
      <c r="L6" s="185"/>
      <c r="M6" s="189" t="s">
        <v>171</v>
      </c>
      <c r="N6" s="185" t="s">
        <v>172</v>
      </c>
    </row>
    <row r="7" spans="1:14" ht="13.5" customHeight="1">
      <c r="A7" s="274" t="s">
        <v>173</v>
      </c>
      <c r="B7" s="163"/>
      <c r="C7" s="164"/>
      <c r="D7" s="167">
        <f aca="true" t="shared" si="0" ref="D7:D18">SUM(B7:C7)</f>
        <v>0</v>
      </c>
      <c r="E7" s="163">
        <v>0</v>
      </c>
      <c r="F7" s="164"/>
      <c r="G7" s="167">
        <f aca="true" t="shared" si="1" ref="G7:G18">SUM(E7:F7)</f>
        <v>0</v>
      </c>
      <c r="H7" s="191">
        <f aca="true" t="shared" si="2" ref="H7:H38">+G7-D7</f>
        <v>0</v>
      </c>
      <c r="I7" s="195"/>
      <c r="J7" s="163"/>
      <c r="K7" s="164"/>
      <c r="L7" s="167">
        <f aca="true" t="shared" si="3" ref="L7:L18">SUM(J7:K7)</f>
        <v>0</v>
      </c>
      <c r="M7" s="191">
        <f aca="true" t="shared" si="4" ref="M7:M38">+L7-G7</f>
        <v>0</v>
      </c>
      <c r="N7" s="192"/>
    </row>
    <row r="8" spans="1:14" ht="13.5" customHeight="1">
      <c r="A8" s="275" t="s">
        <v>174</v>
      </c>
      <c r="B8" s="14">
        <v>8644</v>
      </c>
      <c r="C8" s="13"/>
      <c r="D8" s="168">
        <f t="shared" si="0"/>
        <v>8644</v>
      </c>
      <c r="E8" s="14">
        <v>15461</v>
      </c>
      <c r="F8" s="13"/>
      <c r="G8" s="168">
        <f t="shared" si="1"/>
        <v>15461</v>
      </c>
      <c r="H8" s="193">
        <f t="shared" si="2"/>
        <v>6817</v>
      </c>
      <c r="I8" s="196">
        <f aca="true" t="shared" si="5" ref="I8:I22">+G8/D8</f>
        <v>1.7886395187413235</v>
      </c>
      <c r="J8" s="14">
        <v>16414</v>
      </c>
      <c r="K8" s="13"/>
      <c r="L8" s="168">
        <f t="shared" si="3"/>
        <v>16414</v>
      </c>
      <c r="M8" s="193">
        <f t="shared" si="4"/>
        <v>953</v>
      </c>
      <c r="N8" s="194">
        <f aca="true" t="shared" si="6" ref="N8:N22">+L8/G8</f>
        <v>1.0616389625509346</v>
      </c>
    </row>
    <row r="9" spans="1:14" ht="13.5" customHeight="1">
      <c r="A9" s="275" t="s">
        <v>175</v>
      </c>
      <c r="B9" s="14"/>
      <c r="C9" s="13"/>
      <c r="D9" s="168">
        <f t="shared" si="0"/>
        <v>0</v>
      </c>
      <c r="E9" s="14"/>
      <c r="F9" s="13"/>
      <c r="G9" s="168">
        <f t="shared" si="1"/>
        <v>0</v>
      </c>
      <c r="H9" s="193">
        <f t="shared" si="2"/>
        <v>0</v>
      </c>
      <c r="I9" s="196"/>
      <c r="J9" s="14"/>
      <c r="K9" s="13"/>
      <c r="L9" s="168">
        <f t="shared" si="3"/>
        <v>0</v>
      </c>
      <c r="M9" s="193">
        <f t="shared" si="4"/>
        <v>0</v>
      </c>
      <c r="N9" s="194"/>
    </row>
    <row r="10" spans="1:14" ht="13.5" customHeight="1">
      <c r="A10" s="275" t="s">
        <v>176</v>
      </c>
      <c r="B10" s="14"/>
      <c r="C10" s="13"/>
      <c r="D10" s="168">
        <f t="shared" si="0"/>
        <v>0</v>
      </c>
      <c r="E10" s="14"/>
      <c r="F10" s="13"/>
      <c r="G10" s="168">
        <f t="shared" si="1"/>
        <v>0</v>
      </c>
      <c r="H10" s="193">
        <f t="shared" si="2"/>
        <v>0</v>
      </c>
      <c r="I10" s="196"/>
      <c r="J10" s="14"/>
      <c r="K10" s="13"/>
      <c r="L10" s="168">
        <f t="shared" si="3"/>
        <v>0</v>
      </c>
      <c r="M10" s="193">
        <f t="shared" si="4"/>
        <v>0</v>
      </c>
      <c r="N10" s="194"/>
    </row>
    <row r="11" spans="1:14" ht="13.5" customHeight="1">
      <c r="A11" s="275" t="s">
        <v>177</v>
      </c>
      <c r="B11" s="14">
        <v>5</v>
      </c>
      <c r="C11" s="13"/>
      <c r="D11" s="168">
        <f t="shared" si="0"/>
        <v>5</v>
      </c>
      <c r="E11" s="14">
        <v>27</v>
      </c>
      <c r="F11" s="13"/>
      <c r="G11" s="168">
        <f t="shared" si="1"/>
        <v>27</v>
      </c>
      <c r="H11" s="193">
        <f t="shared" si="2"/>
        <v>22</v>
      </c>
      <c r="I11" s="196">
        <f t="shared" si="5"/>
        <v>5.4</v>
      </c>
      <c r="J11" s="14">
        <v>26</v>
      </c>
      <c r="K11" s="13"/>
      <c r="L11" s="168">
        <f t="shared" si="3"/>
        <v>26</v>
      </c>
      <c r="M11" s="193">
        <f t="shared" si="4"/>
        <v>-1</v>
      </c>
      <c r="N11" s="194">
        <f t="shared" si="6"/>
        <v>0.9629629629629629</v>
      </c>
    </row>
    <row r="12" spans="1:14" ht="13.5" customHeight="1">
      <c r="A12" s="276" t="s">
        <v>178</v>
      </c>
      <c r="B12" s="14">
        <v>4</v>
      </c>
      <c r="C12" s="13"/>
      <c r="D12" s="168">
        <f t="shared" si="0"/>
        <v>4</v>
      </c>
      <c r="E12" s="14"/>
      <c r="F12" s="13"/>
      <c r="G12" s="168">
        <f t="shared" si="1"/>
        <v>0</v>
      </c>
      <c r="H12" s="193">
        <f t="shared" si="2"/>
        <v>-4</v>
      </c>
      <c r="I12" s="196">
        <f t="shared" si="5"/>
        <v>0</v>
      </c>
      <c r="J12" s="14"/>
      <c r="K12" s="13"/>
      <c r="L12" s="168">
        <f t="shared" si="3"/>
        <v>0</v>
      </c>
      <c r="M12" s="193">
        <f t="shared" si="4"/>
        <v>0</v>
      </c>
      <c r="N12" s="194"/>
    </row>
    <row r="13" spans="1:14" ht="13.5" customHeight="1">
      <c r="A13" s="276" t="s">
        <v>179</v>
      </c>
      <c r="B13" s="14"/>
      <c r="C13" s="13"/>
      <c r="D13" s="168">
        <f t="shared" si="0"/>
        <v>0</v>
      </c>
      <c r="E13" s="14"/>
      <c r="F13" s="13"/>
      <c r="G13" s="168">
        <f t="shared" si="1"/>
        <v>0</v>
      </c>
      <c r="H13" s="193">
        <f t="shared" si="2"/>
        <v>0</v>
      </c>
      <c r="I13" s="196"/>
      <c r="J13" s="14"/>
      <c r="K13" s="13"/>
      <c r="L13" s="168">
        <f t="shared" si="3"/>
        <v>0</v>
      </c>
      <c r="M13" s="193">
        <f t="shared" si="4"/>
        <v>0</v>
      </c>
      <c r="N13" s="194"/>
    </row>
    <row r="14" spans="1:14" ht="23.25" customHeight="1">
      <c r="A14" s="276" t="s">
        <v>180</v>
      </c>
      <c r="B14" s="14"/>
      <c r="C14" s="13"/>
      <c r="D14" s="168">
        <f t="shared" si="0"/>
        <v>0</v>
      </c>
      <c r="E14" s="14"/>
      <c r="F14" s="13"/>
      <c r="G14" s="168">
        <f t="shared" si="1"/>
        <v>0</v>
      </c>
      <c r="H14" s="193">
        <f t="shared" si="2"/>
        <v>0</v>
      </c>
      <c r="I14" s="196"/>
      <c r="J14" s="14"/>
      <c r="K14" s="13"/>
      <c r="L14" s="168">
        <f t="shared" si="3"/>
        <v>0</v>
      </c>
      <c r="M14" s="193">
        <f t="shared" si="4"/>
        <v>0</v>
      </c>
      <c r="N14" s="194"/>
    </row>
    <row r="15" spans="1:14" ht="13.5" customHeight="1">
      <c r="A15" s="275" t="s">
        <v>181</v>
      </c>
      <c r="B15" s="14">
        <v>14711</v>
      </c>
      <c r="C15" s="13"/>
      <c r="D15" s="168">
        <f t="shared" si="0"/>
        <v>14711</v>
      </c>
      <c r="E15" s="14">
        <v>12123</v>
      </c>
      <c r="F15" s="13"/>
      <c r="G15" s="168">
        <f t="shared" si="1"/>
        <v>12123</v>
      </c>
      <c r="H15" s="193">
        <f t="shared" si="2"/>
        <v>-2588</v>
      </c>
      <c r="I15" s="196">
        <f t="shared" si="5"/>
        <v>0.8240772211270477</v>
      </c>
      <c r="J15" s="15">
        <v>8745</v>
      </c>
      <c r="K15" s="279"/>
      <c r="L15" s="168">
        <f t="shared" si="3"/>
        <v>8745</v>
      </c>
      <c r="M15" s="193">
        <f t="shared" si="4"/>
        <v>-3378</v>
      </c>
      <c r="N15" s="194">
        <f t="shared" si="6"/>
        <v>0.7213560999752536</v>
      </c>
    </row>
    <row r="16" spans="1:14" ht="13.5" customHeight="1">
      <c r="A16" s="277" t="s">
        <v>310</v>
      </c>
      <c r="B16" s="14"/>
      <c r="C16" s="13"/>
      <c r="D16" s="168">
        <f t="shared" si="0"/>
        <v>0</v>
      </c>
      <c r="E16" s="14">
        <v>2666</v>
      </c>
      <c r="F16" s="13"/>
      <c r="G16" s="168">
        <f t="shared" si="1"/>
        <v>2666</v>
      </c>
      <c r="H16" s="193">
        <f t="shared" si="2"/>
        <v>2666</v>
      </c>
      <c r="I16" s="196" t="e">
        <f t="shared" si="5"/>
        <v>#DIV/0!</v>
      </c>
      <c r="J16" s="15">
        <v>552</v>
      </c>
      <c r="K16" s="13"/>
      <c r="L16" s="168">
        <f t="shared" si="3"/>
        <v>552</v>
      </c>
      <c r="M16" s="193">
        <f t="shared" si="4"/>
        <v>-2114</v>
      </c>
      <c r="N16" s="194">
        <f t="shared" si="6"/>
        <v>0.20705176294073518</v>
      </c>
    </row>
    <row r="17" spans="1:14" ht="13.5" customHeight="1">
      <c r="A17" s="277" t="s">
        <v>311</v>
      </c>
      <c r="B17" s="14"/>
      <c r="C17" s="13"/>
      <c r="D17" s="168">
        <f t="shared" si="0"/>
        <v>0</v>
      </c>
      <c r="E17" s="14">
        <v>9457</v>
      </c>
      <c r="F17" s="13"/>
      <c r="G17" s="168">
        <f t="shared" si="1"/>
        <v>9457</v>
      </c>
      <c r="H17" s="193">
        <f t="shared" si="2"/>
        <v>9457</v>
      </c>
      <c r="I17" s="196"/>
      <c r="J17" s="15">
        <v>8193</v>
      </c>
      <c r="K17" s="13"/>
      <c r="L17" s="168">
        <f t="shared" si="3"/>
        <v>8193</v>
      </c>
      <c r="M17" s="193">
        <f t="shared" si="4"/>
        <v>-1264</v>
      </c>
      <c r="N17" s="194">
        <f t="shared" si="6"/>
        <v>0.8663423918790314</v>
      </c>
    </row>
    <row r="18" spans="1:14" ht="13.5" customHeight="1" thickBot="1">
      <c r="A18" s="278" t="s">
        <v>416</v>
      </c>
      <c r="B18" s="165"/>
      <c r="C18" s="166"/>
      <c r="D18" s="168">
        <f t="shared" si="0"/>
        <v>0</v>
      </c>
      <c r="E18" s="165"/>
      <c r="F18" s="166"/>
      <c r="G18" s="168">
        <f t="shared" si="1"/>
        <v>0</v>
      </c>
      <c r="H18" s="271"/>
      <c r="I18" s="273"/>
      <c r="J18" s="169"/>
      <c r="K18" s="166"/>
      <c r="L18" s="168">
        <f t="shared" si="3"/>
        <v>0</v>
      </c>
      <c r="M18" s="271"/>
      <c r="N18" s="272"/>
    </row>
    <row r="19" spans="1:14" ht="13.5" customHeight="1" thickBot="1">
      <c r="A19" s="182" t="s">
        <v>182</v>
      </c>
      <c r="B19" s="186">
        <f aca="true" t="shared" si="7" ref="B19:G19">SUM(B7+B8+B9+B10+B11+B13+B15)</f>
        <v>23360</v>
      </c>
      <c r="C19" s="187">
        <f t="shared" si="7"/>
        <v>0</v>
      </c>
      <c r="D19" s="188">
        <f t="shared" si="7"/>
        <v>23360</v>
      </c>
      <c r="E19" s="186">
        <f t="shared" si="7"/>
        <v>27611</v>
      </c>
      <c r="F19" s="187">
        <f t="shared" si="7"/>
        <v>0</v>
      </c>
      <c r="G19" s="188">
        <f t="shared" si="7"/>
        <v>27611</v>
      </c>
      <c r="H19" s="190">
        <f t="shared" si="2"/>
        <v>4251</v>
      </c>
      <c r="I19" s="108">
        <f t="shared" si="5"/>
        <v>1.1819777397260274</v>
      </c>
      <c r="J19" s="198">
        <f>SUM(J7+J8+J9+J10+J11+J13+J15)</f>
        <v>25185</v>
      </c>
      <c r="K19" s="187">
        <f>SUM(K7+K8+K9+K10+K11+K13+K15)</f>
        <v>0</v>
      </c>
      <c r="L19" s="188">
        <f>SUM(L7+L8+L9+L10+L11+L13+L15)</f>
        <v>25185</v>
      </c>
      <c r="M19" s="190">
        <f t="shared" si="4"/>
        <v>-2426</v>
      </c>
      <c r="N19" s="199">
        <f t="shared" si="6"/>
        <v>0.9121364673499692</v>
      </c>
    </row>
    <row r="20" spans="1:14" ht="13.5" customHeight="1">
      <c r="A20" s="96" t="s">
        <v>183</v>
      </c>
      <c r="B20" s="71">
        <v>3995</v>
      </c>
      <c r="C20" s="72"/>
      <c r="D20" s="73">
        <f aca="true" t="shared" si="8" ref="D20:D37">SUM(B20:C20)</f>
        <v>3995</v>
      </c>
      <c r="E20" s="71">
        <v>5550</v>
      </c>
      <c r="F20" s="72"/>
      <c r="G20" s="97">
        <f aca="true" t="shared" si="9" ref="G20:G37">SUM(E20:F20)</f>
        <v>5550</v>
      </c>
      <c r="H20" s="98">
        <f t="shared" si="2"/>
        <v>1555</v>
      </c>
      <c r="I20" s="99">
        <f t="shared" si="5"/>
        <v>1.3892365456821025</v>
      </c>
      <c r="J20" s="76">
        <f>4965-500</f>
        <v>4465</v>
      </c>
      <c r="K20" s="72"/>
      <c r="L20" s="100">
        <f aca="true" t="shared" si="10" ref="L20:L37">SUM(J20:K20)</f>
        <v>4465</v>
      </c>
      <c r="M20" s="98">
        <f t="shared" si="4"/>
        <v>-1085</v>
      </c>
      <c r="N20" s="101">
        <f t="shared" si="6"/>
        <v>0.8045045045045045</v>
      </c>
    </row>
    <row r="21" spans="1:14" ht="21" customHeight="1">
      <c r="A21" s="82" t="s">
        <v>184</v>
      </c>
      <c r="B21" s="71">
        <v>450</v>
      </c>
      <c r="C21" s="72"/>
      <c r="D21" s="73">
        <f t="shared" si="8"/>
        <v>450</v>
      </c>
      <c r="E21" s="71">
        <v>1551</v>
      </c>
      <c r="F21" s="72"/>
      <c r="G21" s="97">
        <f t="shared" si="9"/>
        <v>1551</v>
      </c>
      <c r="H21" s="74">
        <f t="shared" si="2"/>
        <v>1101</v>
      </c>
      <c r="I21" s="75">
        <f t="shared" si="5"/>
        <v>3.4466666666666668</v>
      </c>
      <c r="J21" s="76">
        <v>300</v>
      </c>
      <c r="K21" s="72"/>
      <c r="L21" s="100">
        <f t="shared" si="10"/>
        <v>300</v>
      </c>
      <c r="M21" s="74">
        <f t="shared" si="4"/>
        <v>-1251</v>
      </c>
      <c r="N21" s="77">
        <f t="shared" si="6"/>
        <v>0.19342359767891681</v>
      </c>
    </row>
    <row r="22" spans="1:14" ht="13.5" customHeight="1">
      <c r="A22" s="78" t="s">
        <v>185</v>
      </c>
      <c r="B22" s="79">
        <v>1935</v>
      </c>
      <c r="C22" s="80"/>
      <c r="D22" s="73">
        <f t="shared" si="8"/>
        <v>1935</v>
      </c>
      <c r="E22" s="79">
        <v>1711</v>
      </c>
      <c r="F22" s="80"/>
      <c r="G22" s="97">
        <f t="shared" si="9"/>
        <v>1711</v>
      </c>
      <c r="H22" s="74">
        <f t="shared" si="2"/>
        <v>-224</v>
      </c>
      <c r="I22" s="75">
        <f t="shared" si="5"/>
        <v>0.8842377260981912</v>
      </c>
      <c r="J22" s="81">
        <v>1940</v>
      </c>
      <c r="K22" s="80"/>
      <c r="L22" s="100">
        <f t="shared" si="10"/>
        <v>1940</v>
      </c>
      <c r="M22" s="74">
        <f t="shared" si="4"/>
        <v>229</v>
      </c>
      <c r="N22" s="77">
        <f t="shared" si="6"/>
        <v>1.1338398597311514</v>
      </c>
    </row>
    <row r="23" spans="1:14" ht="13.5" customHeight="1">
      <c r="A23" s="82" t="s">
        <v>186</v>
      </c>
      <c r="B23" s="79"/>
      <c r="C23" s="80"/>
      <c r="D23" s="73">
        <f t="shared" si="8"/>
        <v>0</v>
      </c>
      <c r="E23" s="79"/>
      <c r="F23" s="80"/>
      <c r="G23" s="97">
        <f t="shared" si="9"/>
        <v>0</v>
      </c>
      <c r="H23" s="74">
        <f t="shared" si="2"/>
        <v>0</v>
      </c>
      <c r="I23" s="75"/>
      <c r="J23" s="81"/>
      <c r="K23" s="80"/>
      <c r="L23" s="100">
        <f t="shared" si="10"/>
        <v>0</v>
      </c>
      <c r="M23" s="74">
        <f t="shared" si="4"/>
        <v>0</v>
      </c>
      <c r="N23" s="77"/>
    </row>
    <row r="24" spans="1:14" ht="13.5" customHeight="1">
      <c r="A24" s="78" t="s">
        <v>298</v>
      </c>
      <c r="B24" s="79">
        <v>4</v>
      </c>
      <c r="C24" s="80"/>
      <c r="D24" s="73">
        <f t="shared" si="8"/>
        <v>4</v>
      </c>
      <c r="E24" s="79">
        <v>14</v>
      </c>
      <c r="F24" s="80"/>
      <c r="G24" s="97">
        <f t="shared" si="9"/>
        <v>14</v>
      </c>
      <c r="H24" s="74">
        <f t="shared" si="2"/>
        <v>10</v>
      </c>
      <c r="I24" s="75">
        <f aca="true" t="shared" si="11" ref="I24:I38">+G24/D24</f>
        <v>3.5</v>
      </c>
      <c r="J24" s="81">
        <v>15</v>
      </c>
      <c r="K24" s="80"/>
      <c r="L24" s="100">
        <f t="shared" si="10"/>
        <v>15</v>
      </c>
      <c r="M24" s="74">
        <f t="shared" si="4"/>
        <v>1</v>
      </c>
      <c r="N24" s="77">
        <f aca="true" t="shared" si="12" ref="N24:N38">+L24/G24</f>
        <v>1.0714285714285714</v>
      </c>
    </row>
    <row r="25" spans="1:14" ht="13.5" customHeight="1">
      <c r="A25" s="78" t="s">
        <v>187</v>
      </c>
      <c r="B25" s="81">
        <v>857</v>
      </c>
      <c r="C25" s="80"/>
      <c r="D25" s="73">
        <f t="shared" si="8"/>
        <v>857</v>
      </c>
      <c r="E25" s="81">
        <v>1906</v>
      </c>
      <c r="F25" s="80"/>
      <c r="G25" s="97">
        <f t="shared" si="9"/>
        <v>1906</v>
      </c>
      <c r="H25" s="74">
        <f t="shared" si="2"/>
        <v>1049</v>
      </c>
      <c r="I25" s="75">
        <f t="shared" si="11"/>
        <v>2.2240373395565927</v>
      </c>
      <c r="J25" s="81">
        <v>783</v>
      </c>
      <c r="K25" s="80"/>
      <c r="L25" s="100">
        <f t="shared" si="10"/>
        <v>783</v>
      </c>
      <c r="M25" s="74">
        <f t="shared" si="4"/>
        <v>-1123</v>
      </c>
      <c r="N25" s="77">
        <f t="shared" si="12"/>
        <v>0.4108079748163694</v>
      </c>
    </row>
    <row r="26" spans="1:14" ht="13.5" customHeight="1">
      <c r="A26" s="82" t="s">
        <v>188</v>
      </c>
      <c r="B26" s="79">
        <v>268</v>
      </c>
      <c r="C26" s="80"/>
      <c r="D26" s="73">
        <f t="shared" si="8"/>
        <v>268</v>
      </c>
      <c r="E26" s="79">
        <v>963</v>
      </c>
      <c r="F26" s="80"/>
      <c r="G26" s="97">
        <f t="shared" si="9"/>
        <v>963</v>
      </c>
      <c r="H26" s="74">
        <f t="shared" si="2"/>
        <v>695</v>
      </c>
      <c r="I26" s="75">
        <f t="shared" si="11"/>
        <v>3.593283582089552</v>
      </c>
      <c r="J26" s="102">
        <v>310</v>
      </c>
      <c r="K26" s="80"/>
      <c r="L26" s="100">
        <f t="shared" si="10"/>
        <v>310</v>
      </c>
      <c r="M26" s="74">
        <f t="shared" si="4"/>
        <v>-653</v>
      </c>
      <c r="N26" s="77">
        <f t="shared" si="12"/>
        <v>0.32191069574247144</v>
      </c>
    </row>
    <row r="27" spans="1:14" ht="13.5" customHeight="1">
      <c r="A27" s="78" t="s">
        <v>189</v>
      </c>
      <c r="B27" s="79">
        <v>589</v>
      </c>
      <c r="C27" s="80"/>
      <c r="D27" s="73">
        <f t="shared" si="8"/>
        <v>589</v>
      </c>
      <c r="E27" s="79">
        <v>943</v>
      </c>
      <c r="F27" s="80"/>
      <c r="G27" s="97">
        <f t="shared" si="9"/>
        <v>943</v>
      </c>
      <c r="H27" s="74">
        <f t="shared" si="2"/>
        <v>354</v>
      </c>
      <c r="I27" s="75">
        <f t="shared" si="11"/>
        <v>1.6010186757215619</v>
      </c>
      <c r="J27" s="102">
        <v>473</v>
      </c>
      <c r="K27" s="80"/>
      <c r="L27" s="100">
        <f t="shared" si="10"/>
        <v>473</v>
      </c>
      <c r="M27" s="74">
        <f t="shared" si="4"/>
        <v>-470</v>
      </c>
      <c r="N27" s="77">
        <f t="shared" si="12"/>
        <v>0.5015906680805938</v>
      </c>
    </row>
    <row r="28" spans="1:14" ht="13.5" customHeight="1">
      <c r="A28" s="103" t="s">
        <v>190</v>
      </c>
      <c r="B28" s="81">
        <v>15527</v>
      </c>
      <c r="C28" s="80"/>
      <c r="D28" s="73">
        <f t="shared" si="8"/>
        <v>15527</v>
      </c>
      <c r="E28" s="81">
        <v>17555</v>
      </c>
      <c r="F28" s="80"/>
      <c r="G28" s="97">
        <f t="shared" si="9"/>
        <v>17555</v>
      </c>
      <c r="H28" s="74">
        <f t="shared" si="2"/>
        <v>2028</v>
      </c>
      <c r="I28" s="75">
        <f t="shared" si="11"/>
        <v>1.1306111934050365</v>
      </c>
      <c r="J28" s="81">
        <v>18162</v>
      </c>
      <c r="K28" s="80"/>
      <c r="L28" s="100">
        <f t="shared" si="10"/>
        <v>18162</v>
      </c>
      <c r="M28" s="74">
        <f t="shared" si="4"/>
        <v>607</v>
      </c>
      <c r="N28" s="77">
        <f t="shared" si="12"/>
        <v>1.0345770435773285</v>
      </c>
    </row>
    <row r="29" spans="1:14" ht="13.5" customHeight="1">
      <c r="A29" s="82" t="s">
        <v>191</v>
      </c>
      <c r="B29" s="79">
        <v>11343</v>
      </c>
      <c r="C29" s="80"/>
      <c r="D29" s="73">
        <f t="shared" si="8"/>
        <v>11343</v>
      </c>
      <c r="E29" s="79">
        <v>12826</v>
      </c>
      <c r="F29" s="80"/>
      <c r="G29" s="97">
        <f t="shared" si="9"/>
        <v>12826</v>
      </c>
      <c r="H29" s="74">
        <f t="shared" si="2"/>
        <v>1483</v>
      </c>
      <c r="I29" s="75">
        <f t="shared" si="11"/>
        <v>1.1307414264303977</v>
      </c>
      <c r="J29" s="102">
        <v>13465</v>
      </c>
      <c r="K29" s="104"/>
      <c r="L29" s="100">
        <f t="shared" si="10"/>
        <v>13465</v>
      </c>
      <c r="M29" s="74">
        <f t="shared" si="4"/>
        <v>639</v>
      </c>
      <c r="N29" s="77">
        <f t="shared" si="12"/>
        <v>1.0498206767503508</v>
      </c>
    </row>
    <row r="30" spans="1:14" ht="13.5" customHeight="1">
      <c r="A30" s="103" t="s">
        <v>192</v>
      </c>
      <c r="B30" s="79">
        <v>11308</v>
      </c>
      <c r="C30" s="80"/>
      <c r="D30" s="73">
        <f t="shared" si="8"/>
        <v>11308</v>
      </c>
      <c r="E30" s="79">
        <v>12780</v>
      </c>
      <c r="F30" s="80"/>
      <c r="G30" s="97">
        <f t="shared" si="9"/>
        <v>12780</v>
      </c>
      <c r="H30" s="74">
        <f t="shared" si="2"/>
        <v>1472</v>
      </c>
      <c r="I30" s="75">
        <f t="shared" si="11"/>
        <v>1.1301733286169084</v>
      </c>
      <c r="J30" s="81">
        <v>13419</v>
      </c>
      <c r="K30" s="80"/>
      <c r="L30" s="100">
        <f t="shared" si="10"/>
        <v>13419</v>
      </c>
      <c r="M30" s="74">
        <f t="shared" si="4"/>
        <v>639</v>
      </c>
      <c r="N30" s="77">
        <f t="shared" si="12"/>
        <v>1.05</v>
      </c>
    </row>
    <row r="31" spans="1:14" ht="13.5" customHeight="1">
      <c r="A31" s="82" t="s">
        <v>193</v>
      </c>
      <c r="B31" s="79">
        <v>35</v>
      </c>
      <c r="C31" s="80"/>
      <c r="D31" s="73">
        <f t="shared" si="8"/>
        <v>35</v>
      </c>
      <c r="E31" s="79">
        <v>46</v>
      </c>
      <c r="F31" s="80"/>
      <c r="G31" s="97">
        <f t="shared" si="9"/>
        <v>46</v>
      </c>
      <c r="H31" s="74">
        <f t="shared" si="2"/>
        <v>11</v>
      </c>
      <c r="I31" s="75">
        <f t="shared" si="11"/>
        <v>1.3142857142857143</v>
      </c>
      <c r="J31" s="81">
        <v>46</v>
      </c>
      <c r="K31" s="80"/>
      <c r="L31" s="100">
        <f t="shared" si="10"/>
        <v>46</v>
      </c>
      <c r="M31" s="74">
        <f t="shared" si="4"/>
        <v>0</v>
      </c>
      <c r="N31" s="77">
        <f t="shared" si="12"/>
        <v>1</v>
      </c>
    </row>
    <row r="32" spans="1:14" ht="13.5" customHeight="1">
      <c r="A32" s="82" t="s">
        <v>194</v>
      </c>
      <c r="B32" s="79">
        <v>4184</v>
      </c>
      <c r="C32" s="80"/>
      <c r="D32" s="73">
        <f t="shared" si="8"/>
        <v>4184</v>
      </c>
      <c r="E32" s="79">
        <v>4729</v>
      </c>
      <c r="F32" s="80"/>
      <c r="G32" s="97">
        <f t="shared" si="9"/>
        <v>4729</v>
      </c>
      <c r="H32" s="74">
        <f t="shared" si="2"/>
        <v>545</v>
      </c>
      <c r="I32" s="75">
        <f t="shared" si="11"/>
        <v>1.1302581261950286</v>
      </c>
      <c r="J32" s="81">
        <v>4697</v>
      </c>
      <c r="K32" s="80"/>
      <c r="L32" s="100">
        <f t="shared" si="10"/>
        <v>4697</v>
      </c>
      <c r="M32" s="74">
        <f t="shared" si="4"/>
        <v>-32</v>
      </c>
      <c r="N32" s="77">
        <f t="shared" si="12"/>
        <v>0.993233241700148</v>
      </c>
    </row>
    <row r="33" spans="1:14" ht="13.5" customHeight="1">
      <c r="A33" s="103" t="s">
        <v>195</v>
      </c>
      <c r="B33" s="79"/>
      <c r="C33" s="80"/>
      <c r="D33" s="73">
        <f t="shared" si="8"/>
        <v>0</v>
      </c>
      <c r="E33" s="79"/>
      <c r="F33" s="80"/>
      <c r="G33" s="97">
        <f t="shared" si="9"/>
        <v>0</v>
      </c>
      <c r="H33" s="74">
        <f t="shared" si="2"/>
        <v>0</v>
      </c>
      <c r="I33" s="75"/>
      <c r="J33" s="81"/>
      <c r="K33" s="80"/>
      <c r="L33" s="100">
        <f t="shared" si="10"/>
        <v>0</v>
      </c>
      <c r="M33" s="74">
        <f t="shared" si="4"/>
        <v>0</v>
      </c>
      <c r="N33" s="77"/>
    </row>
    <row r="34" spans="1:14" ht="13.5" customHeight="1">
      <c r="A34" s="103" t="s">
        <v>196</v>
      </c>
      <c r="B34" s="79">
        <v>162</v>
      </c>
      <c r="C34" s="80"/>
      <c r="D34" s="73">
        <f t="shared" si="8"/>
        <v>162</v>
      </c>
      <c r="E34" s="79">
        <v>157</v>
      </c>
      <c r="F34" s="80"/>
      <c r="G34" s="97">
        <f t="shared" si="9"/>
        <v>157</v>
      </c>
      <c r="H34" s="74">
        <f t="shared" si="2"/>
        <v>-5</v>
      </c>
      <c r="I34" s="75">
        <f t="shared" si="11"/>
        <v>0.9691358024691358</v>
      </c>
      <c r="J34" s="81">
        <v>157</v>
      </c>
      <c r="K34" s="80"/>
      <c r="L34" s="100">
        <f t="shared" si="10"/>
        <v>157</v>
      </c>
      <c r="M34" s="74">
        <f t="shared" si="4"/>
        <v>0</v>
      </c>
      <c r="N34" s="77">
        <f t="shared" si="12"/>
        <v>1</v>
      </c>
    </row>
    <row r="35" spans="1:14" ht="13.5" customHeight="1">
      <c r="A35" s="82" t="s">
        <v>197</v>
      </c>
      <c r="B35" s="79">
        <v>669</v>
      </c>
      <c r="C35" s="80"/>
      <c r="D35" s="73">
        <f t="shared" si="8"/>
        <v>669</v>
      </c>
      <c r="E35" s="79">
        <v>657</v>
      </c>
      <c r="F35" s="80"/>
      <c r="G35" s="97">
        <f t="shared" si="9"/>
        <v>657</v>
      </c>
      <c r="H35" s="74">
        <f t="shared" si="2"/>
        <v>-12</v>
      </c>
      <c r="I35" s="75">
        <f t="shared" si="11"/>
        <v>0.9820627802690582</v>
      </c>
      <c r="J35" s="102">
        <v>615</v>
      </c>
      <c r="K35" s="80"/>
      <c r="L35" s="100">
        <f t="shared" si="10"/>
        <v>615</v>
      </c>
      <c r="M35" s="74">
        <f t="shared" si="4"/>
        <v>-42</v>
      </c>
      <c r="N35" s="77">
        <f t="shared" si="12"/>
        <v>0.9360730593607306</v>
      </c>
    </row>
    <row r="36" spans="1:14" ht="22.5" customHeight="1">
      <c r="A36" s="82" t="s">
        <v>198</v>
      </c>
      <c r="B36" s="79">
        <v>669</v>
      </c>
      <c r="C36" s="80"/>
      <c r="D36" s="73">
        <f t="shared" si="8"/>
        <v>669</v>
      </c>
      <c r="E36" s="79">
        <v>657</v>
      </c>
      <c r="F36" s="80"/>
      <c r="G36" s="97">
        <f t="shared" si="9"/>
        <v>657</v>
      </c>
      <c r="H36" s="74">
        <f t="shared" si="2"/>
        <v>-12</v>
      </c>
      <c r="I36" s="75">
        <f t="shared" si="11"/>
        <v>0.9820627802690582</v>
      </c>
      <c r="J36" s="102">
        <v>615</v>
      </c>
      <c r="K36" s="80"/>
      <c r="L36" s="100">
        <f t="shared" si="10"/>
        <v>615</v>
      </c>
      <c r="M36" s="74">
        <f t="shared" si="4"/>
        <v>-42</v>
      </c>
      <c r="N36" s="77">
        <f t="shared" si="12"/>
        <v>0.9360730593607306</v>
      </c>
    </row>
    <row r="37" spans="1:14" ht="13.5" customHeight="1" thickBot="1">
      <c r="A37" s="105" t="s">
        <v>199</v>
      </c>
      <c r="B37" s="83"/>
      <c r="C37" s="84"/>
      <c r="D37" s="73">
        <f t="shared" si="8"/>
        <v>0</v>
      </c>
      <c r="E37" s="83"/>
      <c r="F37" s="84"/>
      <c r="G37" s="97">
        <f t="shared" si="9"/>
        <v>0</v>
      </c>
      <c r="H37" s="85">
        <f t="shared" si="2"/>
        <v>0</v>
      </c>
      <c r="I37" s="86"/>
      <c r="J37" s="106"/>
      <c r="K37" s="84"/>
      <c r="L37" s="100">
        <f t="shared" si="10"/>
        <v>0</v>
      </c>
      <c r="M37" s="85">
        <f t="shared" si="4"/>
        <v>0</v>
      </c>
      <c r="N37" s="87"/>
    </row>
    <row r="38" spans="1:14" ht="13.5" customHeight="1" thickBot="1">
      <c r="A38" s="88" t="s">
        <v>200</v>
      </c>
      <c r="B38" s="89">
        <f aca="true" t="shared" si="13" ref="B38:G38">SUM(B20+B22+B23+B24+B25+B28+B33+B34+B35+B37)</f>
        <v>23149</v>
      </c>
      <c r="C38" s="90">
        <f t="shared" si="13"/>
        <v>0</v>
      </c>
      <c r="D38" s="91">
        <f t="shared" si="13"/>
        <v>23149</v>
      </c>
      <c r="E38" s="89">
        <f t="shared" si="13"/>
        <v>27550</v>
      </c>
      <c r="F38" s="90">
        <f t="shared" si="13"/>
        <v>0</v>
      </c>
      <c r="G38" s="91">
        <f t="shared" si="13"/>
        <v>27550</v>
      </c>
      <c r="H38" s="92">
        <f t="shared" si="2"/>
        <v>4401</v>
      </c>
      <c r="I38" s="93">
        <f t="shared" si="11"/>
        <v>1.190116203723703</v>
      </c>
      <c r="J38" s="94">
        <f>SUM(J20+J22+J23+J24+J25+J28+J33+J34+J35+J37)</f>
        <v>26137</v>
      </c>
      <c r="K38" s="90">
        <f>SUM(K20+K22+K23+K24+K25+K28+K33+K34+K35+K37)</f>
        <v>0</v>
      </c>
      <c r="L38" s="91">
        <f>SUM(L20+L22+L23+L24+L25+L28+L33+L34+L35+L37)</f>
        <v>26137</v>
      </c>
      <c r="M38" s="92">
        <f t="shared" si="4"/>
        <v>-1413</v>
      </c>
      <c r="N38" s="95">
        <f t="shared" si="12"/>
        <v>0.9487114337568058</v>
      </c>
    </row>
    <row r="39" spans="1:14" ht="13.5" customHeight="1" thickBot="1">
      <c r="A39" s="88" t="s">
        <v>201</v>
      </c>
      <c r="B39" s="787">
        <f>+D19-D38</f>
        <v>211</v>
      </c>
      <c r="C39" s="787"/>
      <c r="D39" s="787"/>
      <c r="E39" s="787">
        <f>+G19-G38</f>
        <v>61</v>
      </c>
      <c r="F39" s="787"/>
      <c r="G39" s="787">
        <v>-50784</v>
      </c>
      <c r="H39" s="107"/>
      <c r="I39" s="108"/>
      <c r="J39" s="789">
        <f>+L19-L38</f>
        <v>-952</v>
      </c>
      <c r="K39" s="789"/>
      <c r="L39" s="789">
        <v>0</v>
      </c>
      <c r="M39" s="92"/>
      <c r="N39" s="95"/>
    </row>
    <row r="40" spans="1:16" ht="20.25" customHeight="1" thickBot="1">
      <c r="A40" s="109" t="s">
        <v>202</v>
      </c>
      <c r="B40" s="787"/>
      <c r="C40" s="787"/>
      <c r="D40" s="787"/>
      <c r="E40" s="787"/>
      <c r="F40" s="787"/>
      <c r="G40" s="787"/>
      <c r="H40"/>
      <c r="I40"/>
      <c r="J40"/>
      <c r="K40"/>
      <c r="L40"/>
      <c r="M40"/>
      <c r="N40"/>
      <c r="O40"/>
      <c r="P40"/>
    </row>
    <row r="41" spans="2:8" ht="14.25" customHeight="1" thickBot="1">
      <c r="B41" s="7"/>
      <c r="C41" s="7"/>
      <c r="D41" s="16"/>
      <c r="E41" s="7"/>
      <c r="F41" s="7"/>
      <c r="G41" s="7"/>
      <c r="H41" s="7"/>
    </row>
    <row r="42" spans="1:16" ht="13.5" thickBot="1">
      <c r="A42" s="805" t="s">
        <v>312</v>
      </c>
      <c r="B42" s="805"/>
      <c r="C42" s="799" t="s">
        <v>203</v>
      </c>
      <c r="D42" s="805" t="s">
        <v>420</v>
      </c>
      <c r="E42" s="805"/>
      <c r="F42" s="805"/>
      <c r="G42" s="799" t="s">
        <v>203</v>
      </c>
      <c r="H42" s="785" t="s">
        <v>421</v>
      </c>
      <c r="I42" s="785"/>
      <c r="J42" s="785"/>
      <c r="K42" s="785"/>
      <c r="L42" s="799" t="s">
        <v>203</v>
      </c>
      <c r="O42"/>
      <c r="P42"/>
    </row>
    <row r="43" spans="1:16" ht="13.5" thickBot="1">
      <c r="A43" s="805"/>
      <c r="B43" s="805"/>
      <c r="C43" s="799"/>
      <c r="D43" s="805"/>
      <c r="E43" s="805"/>
      <c r="F43" s="805"/>
      <c r="G43" s="799"/>
      <c r="H43" s="785"/>
      <c r="I43" s="785"/>
      <c r="J43" s="785"/>
      <c r="K43" s="785"/>
      <c r="L43" s="799"/>
      <c r="O43"/>
      <c r="P43"/>
    </row>
    <row r="44" spans="1:16" ht="12.75">
      <c r="A44" s="794" t="s">
        <v>330</v>
      </c>
      <c r="B44" s="794"/>
      <c r="C44" s="110">
        <v>48</v>
      </c>
      <c r="D44" s="795" t="s">
        <v>446</v>
      </c>
      <c r="E44" s="795"/>
      <c r="F44" s="795"/>
      <c r="G44" s="111">
        <v>207</v>
      </c>
      <c r="H44" s="802" t="s">
        <v>447</v>
      </c>
      <c r="I44" s="802"/>
      <c r="J44" s="802"/>
      <c r="K44" s="802"/>
      <c r="L44" s="112">
        <v>200</v>
      </c>
      <c r="O44"/>
      <c r="P44"/>
    </row>
    <row r="45" spans="1:16" ht="12.75">
      <c r="A45" s="797" t="s">
        <v>276</v>
      </c>
      <c r="B45" s="797"/>
      <c r="C45" s="113">
        <v>135</v>
      </c>
      <c r="D45" s="795" t="s">
        <v>448</v>
      </c>
      <c r="E45" s="795"/>
      <c r="F45" s="795"/>
      <c r="G45" s="114">
        <v>153</v>
      </c>
      <c r="H45" s="802" t="s">
        <v>449</v>
      </c>
      <c r="I45" s="802"/>
      <c r="J45" s="802"/>
      <c r="K45" s="802"/>
      <c r="L45" s="112">
        <v>235</v>
      </c>
      <c r="O45"/>
      <c r="P45"/>
    </row>
    <row r="46" spans="1:16" ht="12.75">
      <c r="A46" s="797" t="s">
        <v>258</v>
      </c>
      <c r="B46" s="797"/>
      <c r="C46" s="113" t="s">
        <v>258</v>
      </c>
      <c r="D46" s="795"/>
      <c r="E46" s="795"/>
      <c r="F46" s="795"/>
      <c r="G46" s="114"/>
      <c r="H46" s="802" t="s">
        <v>204</v>
      </c>
      <c r="I46" s="802"/>
      <c r="J46" s="802"/>
      <c r="K46" s="802"/>
      <c r="L46" s="112">
        <v>306</v>
      </c>
      <c r="O46"/>
      <c r="P46"/>
    </row>
    <row r="47" spans="1:16" ht="12.75">
      <c r="A47" s="797"/>
      <c r="B47" s="797"/>
      <c r="C47" s="115"/>
      <c r="D47" s="797"/>
      <c r="E47" s="797"/>
      <c r="F47" s="797"/>
      <c r="G47" s="116"/>
      <c r="H47" s="776" t="s">
        <v>127</v>
      </c>
      <c r="I47" s="776"/>
      <c r="J47" s="776"/>
      <c r="K47" s="776"/>
      <c r="L47" s="112">
        <v>600</v>
      </c>
      <c r="O47"/>
      <c r="P47"/>
    </row>
    <row r="48" spans="1:16" ht="12.75">
      <c r="A48" s="797"/>
      <c r="B48" s="797"/>
      <c r="C48" s="115"/>
      <c r="D48" s="797"/>
      <c r="E48" s="797"/>
      <c r="F48" s="797"/>
      <c r="G48" s="116"/>
      <c r="H48" s="776"/>
      <c r="I48" s="776"/>
      <c r="J48" s="776"/>
      <c r="K48" s="776"/>
      <c r="L48" s="112"/>
      <c r="O48"/>
      <c r="P48"/>
    </row>
    <row r="49" spans="1:16" ht="12.75">
      <c r="A49" s="797"/>
      <c r="B49" s="797"/>
      <c r="C49" s="115"/>
      <c r="D49" s="797"/>
      <c r="E49" s="797"/>
      <c r="F49" s="797"/>
      <c r="G49" s="116"/>
      <c r="H49" s="776"/>
      <c r="I49" s="776"/>
      <c r="J49" s="776"/>
      <c r="K49" s="776"/>
      <c r="L49" s="112"/>
      <c r="O49"/>
      <c r="P49"/>
    </row>
    <row r="50" spans="1:16" ht="13.5" thickBot="1">
      <c r="A50" s="800"/>
      <c r="B50" s="800"/>
      <c r="C50" s="115"/>
      <c r="D50" s="801"/>
      <c r="E50" s="801"/>
      <c r="F50" s="801"/>
      <c r="G50" s="116"/>
      <c r="H50" s="802"/>
      <c r="I50" s="802"/>
      <c r="J50" s="802"/>
      <c r="K50" s="802"/>
      <c r="L50" s="112"/>
      <c r="O50"/>
      <c r="P50"/>
    </row>
    <row r="51" spans="1:16" ht="13.5" thickBot="1">
      <c r="A51" s="811"/>
      <c r="B51" s="811"/>
      <c r="C51" s="117">
        <f>SUM(C44:C50)</f>
        <v>183</v>
      </c>
      <c r="D51" s="812" t="s">
        <v>168</v>
      </c>
      <c r="E51" s="812"/>
      <c r="F51" s="812"/>
      <c r="G51" s="117">
        <f>SUM(G44:G50)</f>
        <v>360</v>
      </c>
      <c r="H51" s="778" t="s">
        <v>168</v>
      </c>
      <c r="I51" s="778"/>
      <c r="J51" s="778"/>
      <c r="K51" s="778"/>
      <c r="L51" s="117">
        <f>SUM(L44:L50)</f>
        <v>1341</v>
      </c>
      <c r="M51" s="17"/>
      <c r="N51" s="17"/>
      <c r="O51"/>
      <c r="P51"/>
    </row>
    <row r="52" spans="1:16" s="1" customFormat="1" ht="13.5" customHeight="1" thickBot="1">
      <c r="A52" s="18"/>
      <c r="B52" s="5"/>
      <c r="C52" s="5"/>
      <c r="D52" s="5"/>
      <c r="E52" s="5"/>
      <c r="F52" s="5"/>
      <c r="G52" s="5"/>
      <c r="H52" s="6"/>
      <c r="I52" s="3"/>
      <c r="J52" s="3"/>
      <c r="K52" s="3"/>
      <c r="L52" s="3"/>
      <c r="M52" s="3"/>
      <c r="N52" s="3"/>
      <c r="O52" s="3"/>
      <c r="P52" s="3"/>
    </row>
    <row r="53" spans="1:16" ht="13.5" thickBot="1">
      <c r="A53" s="866" t="s">
        <v>429</v>
      </c>
      <c r="B53" s="867"/>
      <c r="C53" s="869" t="s">
        <v>203</v>
      </c>
      <c r="D53" s="806" t="s">
        <v>430</v>
      </c>
      <c r="E53" s="806"/>
      <c r="F53" s="806"/>
      <c r="G53" s="798" t="s">
        <v>203</v>
      </c>
      <c r="H53" s="785" t="s">
        <v>431</v>
      </c>
      <c r="I53" s="785"/>
      <c r="J53" s="785"/>
      <c r="K53" s="785"/>
      <c r="L53" s="799" t="s">
        <v>203</v>
      </c>
      <c r="O53"/>
      <c r="P53"/>
    </row>
    <row r="54" spans="1:16" ht="13.5" thickBot="1">
      <c r="A54" s="868"/>
      <c r="B54" s="805"/>
      <c r="C54" s="870"/>
      <c r="D54" s="806"/>
      <c r="E54" s="806"/>
      <c r="F54" s="806"/>
      <c r="G54" s="798"/>
      <c r="H54" s="785"/>
      <c r="I54" s="785"/>
      <c r="J54" s="785"/>
      <c r="K54" s="785"/>
      <c r="L54" s="799"/>
      <c r="O54"/>
      <c r="P54"/>
    </row>
    <row r="55" spans="1:16" ht="12.75">
      <c r="A55" s="871" t="s">
        <v>269</v>
      </c>
      <c r="B55" s="803"/>
      <c r="C55" s="201">
        <v>58</v>
      </c>
      <c r="D55" s="804" t="s">
        <v>269</v>
      </c>
      <c r="E55" s="804"/>
      <c r="F55" s="804"/>
      <c r="G55" s="118">
        <v>120</v>
      </c>
      <c r="H55" s="802" t="s">
        <v>128</v>
      </c>
      <c r="I55" s="802"/>
      <c r="J55" s="802"/>
      <c r="K55" s="802"/>
      <c r="L55" s="112">
        <v>100</v>
      </c>
      <c r="O55"/>
      <c r="P55"/>
    </row>
    <row r="56" spans="1:16" ht="13.5" customHeight="1">
      <c r="A56" s="872" t="s">
        <v>450</v>
      </c>
      <c r="B56" s="781"/>
      <c r="C56" s="202">
        <v>8</v>
      </c>
      <c r="D56" s="782" t="s">
        <v>324</v>
      </c>
      <c r="E56" s="782"/>
      <c r="F56" s="782"/>
      <c r="G56" s="119">
        <v>836</v>
      </c>
      <c r="H56" s="776" t="s">
        <v>129</v>
      </c>
      <c r="I56" s="776"/>
      <c r="J56" s="776"/>
      <c r="K56" s="776"/>
      <c r="L56" s="120">
        <v>30</v>
      </c>
      <c r="O56"/>
      <c r="P56"/>
    </row>
    <row r="57" spans="1:16" ht="13.5" customHeight="1">
      <c r="A57" s="872" t="s">
        <v>331</v>
      </c>
      <c r="B57" s="781"/>
      <c r="C57" s="202">
        <v>39</v>
      </c>
      <c r="D57" s="782">
        <v>0</v>
      </c>
      <c r="E57" s="782"/>
      <c r="F57" s="782"/>
      <c r="G57" s="119"/>
      <c r="H57" s="776" t="s">
        <v>269</v>
      </c>
      <c r="I57" s="776"/>
      <c r="J57" s="776"/>
      <c r="K57" s="776"/>
      <c r="L57" s="120">
        <v>50</v>
      </c>
      <c r="O57"/>
      <c r="P57"/>
    </row>
    <row r="58" spans="1:16" ht="13.5" customHeight="1">
      <c r="A58" s="872" t="s">
        <v>451</v>
      </c>
      <c r="B58" s="781"/>
      <c r="C58" s="202">
        <v>25</v>
      </c>
      <c r="D58" s="782"/>
      <c r="E58" s="782"/>
      <c r="F58" s="782"/>
      <c r="G58" s="119"/>
      <c r="H58" s="776" t="s">
        <v>130</v>
      </c>
      <c r="I58" s="776"/>
      <c r="J58" s="776"/>
      <c r="K58" s="776"/>
      <c r="L58" s="120">
        <v>20</v>
      </c>
      <c r="O58"/>
      <c r="P58"/>
    </row>
    <row r="59" spans="1:16" ht="13.5" customHeight="1">
      <c r="A59" s="872" t="s">
        <v>332</v>
      </c>
      <c r="B59" s="781"/>
      <c r="C59" s="203">
        <v>138</v>
      </c>
      <c r="D59" s="782"/>
      <c r="E59" s="782"/>
      <c r="F59" s="782"/>
      <c r="G59" s="121"/>
      <c r="H59" s="776" t="s">
        <v>131</v>
      </c>
      <c r="I59" s="776"/>
      <c r="J59" s="776"/>
      <c r="K59" s="776"/>
      <c r="L59" s="122">
        <v>30</v>
      </c>
      <c r="O59"/>
      <c r="P59"/>
    </row>
    <row r="60" spans="1:16" ht="13.5" customHeight="1">
      <c r="A60" s="872"/>
      <c r="B60" s="781"/>
      <c r="C60" s="203"/>
      <c r="D60" s="782"/>
      <c r="E60" s="782"/>
      <c r="F60" s="782"/>
      <c r="G60" s="121"/>
      <c r="H60" s="776" t="s">
        <v>132</v>
      </c>
      <c r="I60" s="776"/>
      <c r="J60" s="776"/>
      <c r="K60" s="776"/>
      <c r="L60" s="122">
        <v>80</v>
      </c>
      <c r="O60"/>
      <c r="P60"/>
    </row>
    <row r="61" spans="1:16" ht="13.5" customHeight="1">
      <c r="A61" s="872"/>
      <c r="B61" s="873"/>
      <c r="C61" s="202"/>
      <c r="D61" s="782"/>
      <c r="E61" s="782"/>
      <c r="F61" s="782"/>
      <c r="G61" s="119"/>
      <c r="H61" s="776"/>
      <c r="I61" s="776"/>
      <c r="J61" s="776"/>
      <c r="K61" s="776"/>
      <c r="L61" s="120"/>
      <c r="O61"/>
      <c r="P61"/>
    </row>
    <row r="62" spans="1:16" ht="13.5" thickBot="1">
      <c r="A62" s="874"/>
      <c r="B62" s="780"/>
      <c r="C62" s="204"/>
      <c r="D62" s="783"/>
      <c r="E62" s="783"/>
      <c r="F62" s="783"/>
      <c r="G62" s="123"/>
      <c r="H62" s="777"/>
      <c r="I62" s="777"/>
      <c r="J62" s="777"/>
      <c r="K62" s="777"/>
      <c r="L62" s="124"/>
      <c r="O62"/>
      <c r="P62"/>
    </row>
    <row r="63" spans="1:16" ht="13.5" thickBot="1">
      <c r="A63" s="877" t="s">
        <v>168</v>
      </c>
      <c r="B63" s="878"/>
      <c r="C63" s="205">
        <f>SUM(C55:C62)</f>
        <v>268</v>
      </c>
      <c r="D63" s="784" t="s">
        <v>168</v>
      </c>
      <c r="E63" s="784"/>
      <c r="F63" s="784"/>
      <c r="G63" s="125">
        <f>SUM(G55:G62)</f>
        <v>956</v>
      </c>
      <c r="H63" s="778" t="s">
        <v>168</v>
      </c>
      <c r="I63" s="778"/>
      <c r="J63" s="778"/>
      <c r="K63" s="778"/>
      <c r="L63" s="117">
        <f>SUM(L55:L62)</f>
        <v>310</v>
      </c>
      <c r="M63" s="17"/>
      <c r="N63" s="17"/>
      <c r="O63"/>
      <c r="P63"/>
    </row>
    <row r="64" spans="1:14" s="1" customFormat="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1" customFormat="1" ht="13.5" thickBo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s="3" customFormat="1" ht="26.25" customHeight="1" thickBot="1">
      <c r="A66" s="833" t="s">
        <v>106</v>
      </c>
      <c r="B66" s="834"/>
      <c r="C66" s="834"/>
      <c r="D66" s="834"/>
      <c r="E66" s="835"/>
      <c r="F66" s="836" t="s">
        <v>107</v>
      </c>
      <c r="G66" s="914"/>
      <c r="H66" s="914"/>
      <c r="I66" s="914"/>
      <c r="J66" s="914"/>
      <c r="K66" s="914"/>
      <c r="L66" s="915"/>
      <c r="M66" s="19"/>
      <c r="N66" s="19"/>
    </row>
    <row r="67" spans="1:14" s="3" customFormat="1" ht="14.25" customHeight="1" thickBot="1">
      <c r="A67" s="417" t="s">
        <v>231</v>
      </c>
      <c r="B67" s="418" t="s">
        <v>96</v>
      </c>
      <c r="C67" s="908" t="s">
        <v>232</v>
      </c>
      <c r="D67" s="908"/>
      <c r="E67" s="419" t="s">
        <v>97</v>
      </c>
      <c r="F67" s="911" t="s">
        <v>231</v>
      </c>
      <c r="G67" s="912"/>
      <c r="H67" s="418" t="s">
        <v>96</v>
      </c>
      <c r="I67" s="908" t="s">
        <v>232</v>
      </c>
      <c r="J67" s="908"/>
      <c r="K67" s="908"/>
      <c r="L67" s="420" t="s">
        <v>97</v>
      </c>
      <c r="M67" s="19"/>
      <c r="N67" s="19"/>
    </row>
    <row r="68" spans="1:14" s="3" customFormat="1" ht="12.75">
      <c r="A68" s="401" t="s">
        <v>98</v>
      </c>
      <c r="B68" s="402">
        <v>119</v>
      </c>
      <c r="C68" s="842" t="s">
        <v>99</v>
      </c>
      <c r="D68" s="842"/>
      <c r="E68" s="403"/>
      <c r="F68" s="843" t="s">
        <v>98</v>
      </c>
      <c r="G68" s="909"/>
      <c r="H68" s="402">
        <v>289</v>
      </c>
      <c r="I68" s="842" t="s">
        <v>99</v>
      </c>
      <c r="J68" s="909"/>
      <c r="K68" s="909"/>
      <c r="L68" s="403"/>
      <c r="M68" s="19"/>
      <c r="N68" s="19"/>
    </row>
    <row r="69" spans="1:14" s="3" customFormat="1" ht="12.75">
      <c r="A69" s="404" t="s">
        <v>100</v>
      </c>
      <c r="B69" s="405">
        <v>170</v>
      </c>
      <c r="C69" s="845" t="s">
        <v>101</v>
      </c>
      <c r="D69" s="845"/>
      <c r="E69" s="406">
        <v>27</v>
      </c>
      <c r="F69" s="846" t="s">
        <v>102</v>
      </c>
      <c r="G69" s="901"/>
      <c r="H69" s="405">
        <v>49</v>
      </c>
      <c r="I69" s="845" t="s">
        <v>101</v>
      </c>
      <c r="J69" s="901"/>
      <c r="K69" s="901"/>
      <c r="L69" s="406"/>
      <c r="M69" s="19"/>
      <c r="N69" s="19"/>
    </row>
    <row r="70" spans="1:14" s="3" customFormat="1" ht="12.75">
      <c r="A70" s="404" t="s">
        <v>103</v>
      </c>
      <c r="B70" s="405">
        <v>27</v>
      </c>
      <c r="C70" s="845"/>
      <c r="D70" s="845"/>
      <c r="E70" s="406"/>
      <c r="F70" s="845" t="s">
        <v>104</v>
      </c>
      <c r="G70" s="845"/>
      <c r="H70" s="405"/>
      <c r="I70" s="845"/>
      <c r="J70" s="901"/>
      <c r="K70" s="901"/>
      <c r="L70" s="406"/>
      <c r="M70" s="19"/>
      <c r="N70" s="19"/>
    </row>
    <row r="71" spans="1:14" s="3" customFormat="1" ht="13.5" thickBot="1">
      <c r="A71" s="407"/>
      <c r="B71" s="408"/>
      <c r="C71" s="848"/>
      <c r="D71" s="848"/>
      <c r="E71" s="409"/>
      <c r="F71" s="849"/>
      <c r="G71" s="910"/>
      <c r="H71" s="408"/>
      <c r="I71" s="848"/>
      <c r="J71" s="910"/>
      <c r="K71" s="910"/>
      <c r="L71" s="409"/>
      <c r="M71" s="19"/>
      <c r="N71" s="19"/>
    </row>
    <row r="72" spans="1:14" s="3" customFormat="1" ht="13.5" thickBot="1">
      <c r="A72" s="410" t="s">
        <v>168</v>
      </c>
      <c r="B72" s="411">
        <f>SUM(B68:B71)</f>
        <v>316</v>
      </c>
      <c r="C72" s="851" t="s">
        <v>168</v>
      </c>
      <c r="D72" s="851"/>
      <c r="E72" s="413">
        <f>SUM(E68:E71)</f>
        <v>27</v>
      </c>
      <c r="F72" s="852" t="s">
        <v>168</v>
      </c>
      <c r="G72" s="913"/>
      <c r="H72" s="412">
        <f>SUM(H68:H71)</f>
        <v>338</v>
      </c>
      <c r="I72" s="851" t="s">
        <v>168</v>
      </c>
      <c r="J72" s="913"/>
      <c r="K72" s="913"/>
      <c r="L72" s="413">
        <f>SUM(L68:L71)</f>
        <v>0</v>
      </c>
      <c r="M72" s="19"/>
      <c r="N72" s="19"/>
    </row>
    <row r="73" spans="1:14" s="3" customFormat="1" ht="13.5" thickBot="1">
      <c r="A73" s="421" t="s">
        <v>105</v>
      </c>
      <c r="B73" s="413">
        <f>B72-E72</f>
        <v>289</v>
      </c>
      <c r="C73" s="19"/>
      <c r="D73" s="19"/>
      <c r="E73" s="19"/>
      <c r="F73" s="916" t="s">
        <v>105</v>
      </c>
      <c r="G73" s="917"/>
      <c r="H73" s="422">
        <f>H72-L72</f>
        <v>338</v>
      </c>
      <c r="I73" s="19"/>
      <c r="J73" s="19"/>
      <c r="K73" s="19"/>
      <c r="L73" s="19"/>
      <c r="M73" s="19"/>
      <c r="N73" s="19"/>
    </row>
    <row r="74" spans="1:14" s="1" customFormat="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s="1" customFormat="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2" s="1" customFormat="1" ht="12.75">
      <c r="A76" s="20"/>
      <c r="B76" s="21"/>
      <c r="C76" s="21"/>
      <c r="D76" s="21"/>
      <c r="E76" s="2"/>
      <c r="F76" s="4"/>
      <c r="G76" s="4"/>
      <c r="H76" s="20"/>
      <c r="I76" s="21"/>
      <c r="J76" s="21"/>
      <c r="K76" s="21"/>
      <c r="L76" s="2"/>
    </row>
    <row r="77" spans="1:12" s="1" customFormat="1" ht="13.5" thickBot="1">
      <c r="A77" s="20"/>
      <c r="B77" s="21"/>
      <c r="C77" s="21"/>
      <c r="D77" s="21"/>
      <c r="E77" s="2"/>
      <c r="F77" s="4"/>
      <c r="G77" s="4"/>
      <c r="H77" s="20"/>
      <c r="I77" s="21"/>
      <c r="J77" s="21" t="s">
        <v>307</v>
      </c>
      <c r="K77" s="21"/>
      <c r="L77" s="2"/>
    </row>
    <row r="78" spans="1:15" s="1" customFormat="1" ht="12.75">
      <c r="A78" s="879" t="s">
        <v>227</v>
      </c>
      <c r="B78" s="882" t="s">
        <v>435</v>
      </c>
      <c r="C78" s="885" t="s">
        <v>436</v>
      </c>
      <c r="D78" s="886"/>
      <c r="E78" s="886"/>
      <c r="F78" s="886"/>
      <c r="G78" s="886"/>
      <c r="H78" s="886"/>
      <c r="I78" s="887"/>
      <c r="J78" s="888" t="s">
        <v>437</v>
      </c>
      <c r="K78" s="7"/>
      <c r="L78" s="864" t="s">
        <v>205</v>
      </c>
      <c r="M78" s="865"/>
      <c r="N78" s="59">
        <v>2006</v>
      </c>
      <c r="O78" s="60">
        <v>2007</v>
      </c>
    </row>
    <row r="79" spans="1:15" s="1" customFormat="1" ht="12.75">
      <c r="A79" s="880"/>
      <c r="B79" s="883"/>
      <c r="C79" s="891" t="s">
        <v>228</v>
      </c>
      <c r="D79" s="893" t="s">
        <v>229</v>
      </c>
      <c r="E79" s="894"/>
      <c r="F79" s="894"/>
      <c r="G79" s="894"/>
      <c r="H79" s="894"/>
      <c r="I79" s="895"/>
      <c r="J79" s="889"/>
      <c r="K79" s="7"/>
      <c r="L79" s="63" t="s">
        <v>273</v>
      </c>
      <c r="M79" s="62"/>
      <c r="N79" s="58"/>
      <c r="O79" s="61"/>
    </row>
    <row r="80" spans="1:15" s="1" customFormat="1" ht="13.5" thickBot="1">
      <c r="A80" s="881"/>
      <c r="B80" s="884"/>
      <c r="C80" s="892"/>
      <c r="D80" s="25">
        <v>1</v>
      </c>
      <c r="E80" s="25">
        <v>2</v>
      </c>
      <c r="F80" s="25">
        <v>3</v>
      </c>
      <c r="G80" s="25">
        <v>4</v>
      </c>
      <c r="H80" s="25">
        <v>5</v>
      </c>
      <c r="I80" s="56">
        <v>6</v>
      </c>
      <c r="J80" s="890"/>
      <c r="K80" s="7"/>
      <c r="L80" s="62" t="s">
        <v>206</v>
      </c>
      <c r="M80" s="63"/>
      <c r="N80" s="22">
        <v>0</v>
      </c>
      <c r="O80" s="23">
        <v>0</v>
      </c>
    </row>
    <row r="81" spans="1:15" s="1" customFormat="1" ht="13.5" thickBot="1">
      <c r="A81" s="26">
        <v>34903</v>
      </c>
      <c r="B81" s="27">
        <v>5306</v>
      </c>
      <c r="C81" s="54">
        <f>SUM(D81:I81)</f>
        <v>615</v>
      </c>
      <c r="D81" s="55">
        <v>75</v>
      </c>
      <c r="E81" s="55">
        <v>229</v>
      </c>
      <c r="F81" s="55">
        <v>5</v>
      </c>
      <c r="G81" s="55"/>
      <c r="H81" s="54">
        <v>306</v>
      </c>
      <c r="I81" s="57"/>
      <c r="J81" s="28">
        <f>SUM(A81-B81-C81)</f>
        <v>28982</v>
      </c>
      <c r="K81" s="7"/>
      <c r="L81" s="64" t="s">
        <v>207</v>
      </c>
      <c r="M81" s="65"/>
      <c r="N81" s="52">
        <v>0</v>
      </c>
      <c r="O81" s="53">
        <v>0</v>
      </c>
    </row>
    <row r="82" spans="1:12" s="1" customFormat="1" ht="12.75">
      <c r="A82" s="20"/>
      <c r="B82" s="21"/>
      <c r="C82" s="21"/>
      <c r="D82" s="21"/>
      <c r="E82" s="2"/>
      <c r="F82" s="200"/>
      <c r="G82" s="4"/>
      <c r="H82" s="20"/>
      <c r="I82" s="21"/>
      <c r="J82" s="21"/>
      <c r="K82" s="21"/>
      <c r="L82" s="2"/>
    </row>
    <row r="83" spans="1:12" s="1" customFormat="1" ht="13.5" thickBot="1">
      <c r="A83" s="20"/>
      <c r="B83" s="21"/>
      <c r="C83" s="21"/>
      <c r="D83" s="21"/>
      <c r="E83" s="2"/>
      <c r="F83" s="200"/>
      <c r="G83" s="4"/>
      <c r="H83" s="20"/>
      <c r="I83" s="21"/>
      <c r="J83" s="21"/>
      <c r="K83" s="21"/>
      <c r="L83" s="21" t="s">
        <v>307</v>
      </c>
    </row>
    <row r="84" spans="1:12" s="1" customFormat="1" ht="12.75">
      <c r="A84" s="855" t="s">
        <v>255</v>
      </c>
      <c r="B84" s="857" t="s">
        <v>438</v>
      </c>
      <c r="C84" s="859" t="s">
        <v>439</v>
      </c>
      <c r="D84" s="860"/>
      <c r="E84" s="860"/>
      <c r="F84" s="861"/>
      <c r="G84" s="862" t="s">
        <v>440</v>
      </c>
      <c r="H84" s="896" t="s">
        <v>230</v>
      </c>
      <c r="I84" s="898" t="s">
        <v>441</v>
      </c>
      <c r="J84" s="899"/>
      <c r="K84" s="899"/>
      <c r="L84" s="900"/>
    </row>
    <row r="85" spans="1:12" s="1" customFormat="1" ht="18.75" thickBot="1">
      <c r="A85" s="856"/>
      <c r="B85" s="858"/>
      <c r="C85" s="29" t="s">
        <v>321</v>
      </c>
      <c r="D85" s="30" t="s">
        <v>231</v>
      </c>
      <c r="E85" s="30" t="s">
        <v>232</v>
      </c>
      <c r="F85" s="31" t="s">
        <v>322</v>
      </c>
      <c r="G85" s="863"/>
      <c r="H85" s="897"/>
      <c r="I85" s="174" t="s">
        <v>442</v>
      </c>
      <c r="J85" s="175" t="s">
        <v>231</v>
      </c>
      <c r="K85" s="175" t="s">
        <v>232</v>
      </c>
      <c r="L85" s="176" t="s">
        <v>443</v>
      </c>
    </row>
    <row r="86" spans="1:12" s="1" customFormat="1" ht="12.75">
      <c r="A86" s="32" t="s">
        <v>233</v>
      </c>
      <c r="B86" s="33">
        <v>2150.73</v>
      </c>
      <c r="C86" s="34" t="s">
        <v>234</v>
      </c>
      <c r="D86" s="35" t="s">
        <v>234</v>
      </c>
      <c r="E86" s="35" t="s">
        <v>234</v>
      </c>
      <c r="F86" s="36"/>
      <c r="G86" s="37">
        <v>2193</v>
      </c>
      <c r="H86" s="171" t="s">
        <v>234</v>
      </c>
      <c r="I86" s="177" t="s">
        <v>234</v>
      </c>
      <c r="J86" s="178" t="s">
        <v>234</v>
      </c>
      <c r="K86" s="178" t="s">
        <v>234</v>
      </c>
      <c r="L86" s="179" t="s">
        <v>234</v>
      </c>
    </row>
    <row r="87" spans="1:12" s="1" customFormat="1" ht="12.75">
      <c r="A87" s="38" t="s">
        <v>235</v>
      </c>
      <c r="B87" s="39">
        <v>24.3</v>
      </c>
      <c r="C87" s="40">
        <v>24</v>
      </c>
      <c r="D87" s="41">
        <v>42</v>
      </c>
      <c r="E87" s="41">
        <v>0</v>
      </c>
      <c r="F87" s="42">
        <v>66.3</v>
      </c>
      <c r="G87" s="43">
        <v>66</v>
      </c>
      <c r="H87" s="172">
        <f>+G87-F87</f>
        <v>-0.29999999999999716</v>
      </c>
      <c r="I87" s="40">
        <v>66</v>
      </c>
      <c r="J87" s="41">
        <v>12</v>
      </c>
      <c r="K87" s="41">
        <v>0</v>
      </c>
      <c r="L87" s="42">
        <f>I87+J87-K87</f>
        <v>78</v>
      </c>
    </row>
    <row r="88" spans="1:12" s="1" customFormat="1" ht="12.75">
      <c r="A88" s="38" t="s">
        <v>236</v>
      </c>
      <c r="B88" s="39">
        <v>0</v>
      </c>
      <c r="C88" s="40">
        <v>119</v>
      </c>
      <c r="D88" s="41">
        <v>197</v>
      </c>
      <c r="E88" s="41">
        <v>27</v>
      </c>
      <c r="F88" s="42">
        <f>C88+D88-E88</f>
        <v>289</v>
      </c>
      <c r="G88" s="43"/>
      <c r="H88" s="172">
        <f>+G88-F88</f>
        <v>-289</v>
      </c>
      <c r="I88" s="40">
        <v>289</v>
      </c>
      <c r="J88" s="41">
        <v>49</v>
      </c>
      <c r="K88" s="41">
        <v>0</v>
      </c>
      <c r="L88" s="42">
        <f>I88+J88-K88</f>
        <v>338</v>
      </c>
    </row>
    <row r="89" spans="1:12" s="1" customFormat="1" ht="12.75">
      <c r="A89" s="38" t="s">
        <v>256</v>
      </c>
      <c r="B89" s="39">
        <v>248.55</v>
      </c>
      <c r="C89" s="40">
        <v>249</v>
      </c>
      <c r="D89" s="41">
        <v>657</v>
      </c>
      <c r="E89" s="41">
        <v>667</v>
      </c>
      <c r="F89" s="42">
        <f>C89+D89-E89</f>
        <v>239</v>
      </c>
      <c r="G89" s="43">
        <v>239</v>
      </c>
      <c r="H89" s="172">
        <f>+G89-F89</f>
        <v>0</v>
      </c>
      <c r="I89" s="180">
        <v>239</v>
      </c>
      <c r="J89" s="170">
        <v>1215</v>
      </c>
      <c r="K89" s="170">
        <v>1341</v>
      </c>
      <c r="L89" s="42">
        <f>I89+J89-K89</f>
        <v>113</v>
      </c>
    </row>
    <row r="90" spans="1:12" s="1" customFormat="1" ht="12.75">
      <c r="A90" s="38" t="s">
        <v>237</v>
      </c>
      <c r="B90" s="39">
        <v>1877.88</v>
      </c>
      <c r="C90" s="50"/>
      <c r="D90" s="35" t="s">
        <v>234</v>
      </c>
      <c r="E90" s="51" t="s">
        <v>234</v>
      </c>
      <c r="F90" s="42"/>
      <c r="G90" s="43">
        <v>1888</v>
      </c>
      <c r="H90" s="50" t="s">
        <v>234</v>
      </c>
      <c r="I90" s="34"/>
      <c r="J90" s="35">
        <v>0</v>
      </c>
      <c r="K90" s="35"/>
      <c r="L90" s="181">
        <v>0</v>
      </c>
    </row>
    <row r="91" spans="1:12" s="1" customFormat="1" ht="13.5" thickBot="1">
      <c r="A91" s="44" t="s">
        <v>238</v>
      </c>
      <c r="B91" s="45">
        <v>201.74</v>
      </c>
      <c r="C91" s="46">
        <v>298</v>
      </c>
      <c r="D91" s="47">
        <v>318</v>
      </c>
      <c r="E91" s="47">
        <v>299</v>
      </c>
      <c r="F91" s="48">
        <v>317</v>
      </c>
      <c r="G91" s="49">
        <v>302</v>
      </c>
      <c r="H91" s="173">
        <f>+G91-F91</f>
        <v>-15</v>
      </c>
      <c r="I91" s="46">
        <v>317</v>
      </c>
      <c r="J91" s="47">
        <v>268</v>
      </c>
      <c r="K91" s="47">
        <v>300</v>
      </c>
      <c r="L91" s="48">
        <f>I91+J91-K91</f>
        <v>285</v>
      </c>
    </row>
    <row r="92" spans="1:12" s="1" customFormat="1" ht="12.75">
      <c r="A92" s="20"/>
      <c r="B92" s="21"/>
      <c r="C92" s="21"/>
      <c r="D92" s="21"/>
      <c r="E92" s="2"/>
      <c r="F92" s="200"/>
      <c r="G92" s="4"/>
      <c r="H92" s="20"/>
      <c r="I92" s="21"/>
      <c r="J92" s="21"/>
      <c r="K92" s="21"/>
      <c r="L92" s="2"/>
    </row>
    <row r="93" spans="1:12" s="1" customFormat="1" ht="12.75">
      <c r="A93" s="20"/>
      <c r="B93" s="21"/>
      <c r="C93" s="21"/>
      <c r="D93" s="21"/>
      <c r="E93" s="2"/>
      <c r="F93" s="200"/>
      <c r="G93" s="4"/>
      <c r="H93" s="20"/>
      <c r="I93" s="21"/>
      <c r="J93" s="21"/>
      <c r="K93" s="21"/>
      <c r="L93" s="2"/>
    </row>
    <row r="94" spans="1:12" s="1" customFormat="1" ht="12.75">
      <c r="A94" s="20"/>
      <c r="B94" s="21"/>
      <c r="C94" s="21"/>
      <c r="D94" s="21"/>
      <c r="E94" s="2"/>
      <c r="F94" s="200"/>
      <c r="G94" s="4"/>
      <c r="H94" s="20"/>
      <c r="I94" s="21"/>
      <c r="J94" s="21"/>
      <c r="K94" s="21"/>
      <c r="L94" s="2"/>
    </row>
    <row r="95" spans="1:12" s="1" customFormat="1" ht="12.75">
      <c r="A95" s="20"/>
      <c r="B95" s="21"/>
      <c r="C95" s="21"/>
      <c r="D95" s="21"/>
      <c r="E95" s="2"/>
      <c r="F95" s="200"/>
      <c r="G95" s="4"/>
      <c r="H95" s="20"/>
      <c r="I95" s="21"/>
      <c r="J95" s="21"/>
      <c r="K95" s="21"/>
      <c r="L95" s="2"/>
    </row>
    <row r="96" spans="1:12" s="1" customFormat="1" ht="12.75">
      <c r="A96" s="20"/>
      <c r="B96" s="21"/>
      <c r="C96" s="21"/>
      <c r="D96" s="21"/>
      <c r="E96" s="2"/>
      <c r="F96" s="200"/>
      <c r="G96" s="4"/>
      <c r="H96" s="20"/>
      <c r="I96" s="21"/>
      <c r="J96" s="21"/>
      <c r="K96" s="21"/>
      <c r="L96" s="2"/>
    </row>
    <row r="97" spans="1:12" s="1" customFormat="1" ht="12.75">
      <c r="A97" s="20"/>
      <c r="B97" s="21"/>
      <c r="C97" s="21"/>
      <c r="D97" s="21"/>
      <c r="E97" s="2"/>
      <c r="F97" s="4"/>
      <c r="G97" s="4"/>
      <c r="H97" s="20"/>
      <c r="I97" s="21"/>
      <c r="J97" s="21"/>
      <c r="K97" s="21"/>
      <c r="L97" s="2"/>
    </row>
    <row r="98" spans="1:12" s="1" customFormat="1" ht="12.75">
      <c r="A98" s="20"/>
      <c r="B98" s="21"/>
      <c r="C98" s="21"/>
      <c r="D98" s="21"/>
      <c r="E98" s="2"/>
      <c r="F98" s="4"/>
      <c r="G98" s="4"/>
      <c r="H98" s="20"/>
      <c r="I98" s="21"/>
      <c r="J98" s="21"/>
      <c r="K98" s="21"/>
      <c r="L98" s="2"/>
    </row>
    <row r="99" spans="8:12" ht="13.5" thickBot="1">
      <c r="H99" s="21" t="s">
        <v>307</v>
      </c>
      <c r="L99" s="21" t="s">
        <v>307</v>
      </c>
    </row>
    <row r="100" spans="1:12" ht="13.5" thickBot="1">
      <c r="A100" s="823" t="s">
        <v>444</v>
      </c>
      <c r="B100" s="824" t="s">
        <v>168</v>
      </c>
      <c r="C100" s="810" t="s">
        <v>239</v>
      </c>
      <c r="D100" s="810"/>
      <c r="E100" s="810"/>
      <c r="F100" s="810"/>
      <c r="G100" s="810"/>
      <c r="H100" s="810"/>
      <c r="I100" s="24"/>
      <c r="J100" s="825" t="s">
        <v>208</v>
      </c>
      <c r="K100" s="825"/>
      <c r="L100" s="825"/>
    </row>
    <row r="101" spans="1:12" ht="13.5" thickBot="1">
      <c r="A101" s="823"/>
      <c r="B101" s="824"/>
      <c r="C101" s="126" t="s">
        <v>240</v>
      </c>
      <c r="D101" s="127" t="s">
        <v>241</v>
      </c>
      <c r="E101" s="127" t="s">
        <v>242</v>
      </c>
      <c r="F101" s="127" t="s">
        <v>243</v>
      </c>
      <c r="G101" s="128" t="s">
        <v>244</v>
      </c>
      <c r="H101" s="129" t="s">
        <v>228</v>
      </c>
      <c r="I101" s="24"/>
      <c r="J101" s="130"/>
      <c r="K101" s="131" t="s">
        <v>209</v>
      </c>
      <c r="L101" s="132" t="s">
        <v>210</v>
      </c>
    </row>
    <row r="102" spans="1:12" ht="12.75">
      <c r="A102" s="133" t="s">
        <v>245</v>
      </c>
      <c r="B102" s="134">
        <v>871</v>
      </c>
      <c r="C102" s="135">
        <v>375</v>
      </c>
      <c r="D102" s="135">
        <v>475</v>
      </c>
      <c r="E102" s="135">
        <v>14</v>
      </c>
      <c r="F102" s="135"/>
      <c r="G102" s="134">
        <v>7</v>
      </c>
      <c r="H102" s="136">
        <f>SUM(C102:G102)</f>
        <v>871</v>
      </c>
      <c r="I102" s="24"/>
      <c r="J102" s="137">
        <v>2007</v>
      </c>
      <c r="K102" s="138">
        <v>12780</v>
      </c>
      <c r="L102" s="139">
        <f>+G30</f>
        <v>12780</v>
      </c>
    </row>
    <row r="103" spans="1:12" ht="13.5" thickBot="1">
      <c r="A103" s="140" t="s">
        <v>246</v>
      </c>
      <c r="B103" s="141">
        <v>2116</v>
      </c>
      <c r="C103" s="142">
        <v>1370</v>
      </c>
      <c r="D103" s="142"/>
      <c r="E103" s="142"/>
      <c r="F103" s="142"/>
      <c r="G103" s="141"/>
      <c r="H103" s="143">
        <f>SUM(C103:G103)</f>
        <v>1370</v>
      </c>
      <c r="I103" s="24"/>
      <c r="J103" s="144">
        <v>2008</v>
      </c>
      <c r="K103" s="145">
        <f>L30</f>
        <v>13419</v>
      </c>
      <c r="L103" s="146"/>
    </row>
    <row r="104" ht="12.75" customHeight="1"/>
    <row r="105" ht="13.5" thickBot="1">
      <c r="J105" s="208" t="s">
        <v>323</v>
      </c>
    </row>
    <row r="106" spans="1:10" ht="21" customHeight="1" thickBot="1">
      <c r="A106" s="823" t="s">
        <v>211</v>
      </c>
      <c r="B106" s="826" t="s">
        <v>212</v>
      </c>
      <c r="C106" s="826"/>
      <c r="D106" s="826"/>
      <c r="E106" s="827" t="s">
        <v>274</v>
      </c>
      <c r="F106" s="827"/>
      <c r="G106" s="827"/>
      <c r="H106" s="828" t="s">
        <v>213</v>
      </c>
      <c r="I106" s="828"/>
      <c r="J106" s="828"/>
    </row>
    <row r="107" spans="1:10" ht="12.75">
      <c r="A107" s="823"/>
      <c r="B107" s="147">
        <v>2006</v>
      </c>
      <c r="C107" s="147">
        <v>2007</v>
      </c>
      <c r="D107" s="147" t="s">
        <v>214</v>
      </c>
      <c r="E107" s="147">
        <v>2006</v>
      </c>
      <c r="F107" s="147">
        <v>2007</v>
      </c>
      <c r="G107" s="148" t="s">
        <v>214</v>
      </c>
      <c r="H107" s="149">
        <v>2006</v>
      </c>
      <c r="I107" s="147">
        <v>2007</v>
      </c>
      <c r="J107" s="148" t="s">
        <v>214</v>
      </c>
    </row>
    <row r="108" spans="1:10" ht="18.75">
      <c r="A108" s="150" t="s">
        <v>215</v>
      </c>
      <c r="B108" s="151">
        <v>3</v>
      </c>
      <c r="C108" s="151">
        <v>3.04</v>
      </c>
      <c r="D108" s="151">
        <f aca="true" t="shared" si="14" ref="D108:D118">+C108-B108</f>
        <v>0.040000000000000036</v>
      </c>
      <c r="E108" s="151">
        <v>3</v>
      </c>
      <c r="F108" s="151">
        <v>3</v>
      </c>
      <c r="G108" s="152">
        <f aca="true" t="shared" si="15" ref="G108:G118">+F108-E108</f>
        <v>0</v>
      </c>
      <c r="H108" s="153">
        <v>27048</v>
      </c>
      <c r="I108" s="154">
        <v>29119</v>
      </c>
      <c r="J108" s="155">
        <f aca="true" t="shared" si="16" ref="J108:J118">+I108-H108</f>
        <v>2071</v>
      </c>
    </row>
    <row r="109" spans="1:10" ht="12.75">
      <c r="A109" s="150" t="s">
        <v>248</v>
      </c>
      <c r="B109" s="151">
        <v>16.94</v>
      </c>
      <c r="C109" s="151">
        <v>17.69</v>
      </c>
      <c r="D109" s="151">
        <f t="shared" si="14"/>
        <v>0.75</v>
      </c>
      <c r="E109" s="151">
        <v>17.69</v>
      </c>
      <c r="F109" s="151">
        <v>17.69</v>
      </c>
      <c r="G109" s="152">
        <f t="shared" si="15"/>
        <v>0</v>
      </c>
      <c r="H109" s="153">
        <v>22665</v>
      </c>
      <c r="I109" s="156">
        <v>25632</v>
      </c>
      <c r="J109" s="155">
        <f t="shared" si="16"/>
        <v>2967</v>
      </c>
    </row>
    <row r="110" spans="1:10" ht="12.75">
      <c r="A110" s="150" t="s">
        <v>216</v>
      </c>
      <c r="B110" s="151">
        <v>1</v>
      </c>
      <c r="C110" s="151">
        <v>1</v>
      </c>
      <c r="D110" s="151">
        <f t="shared" si="14"/>
        <v>0</v>
      </c>
      <c r="E110" s="151">
        <v>1</v>
      </c>
      <c r="F110" s="151">
        <v>1</v>
      </c>
      <c r="G110" s="152">
        <f t="shared" si="15"/>
        <v>0</v>
      </c>
      <c r="H110" s="153">
        <v>10952</v>
      </c>
      <c r="I110" s="156">
        <v>13548</v>
      </c>
      <c r="J110" s="155">
        <f t="shared" si="16"/>
        <v>2596</v>
      </c>
    </row>
    <row r="111" spans="1:10" ht="12.75">
      <c r="A111" s="150" t="s">
        <v>217</v>
      </c>
      <c r="B111" s="151">
        <v>4.59</v>
      </c>
      <c r="C111" s="151">
        <v>5.7</v>
      </c>
      <c r="D111" s="151">
        <f t="shared" si="14"/>
        <v>1.1100000000000003</v>
      </c>
      <c r="E111" s="151">
        <v>5</v>
      </c>
      <c r="F111" s="151">
        <v>6</v>
      </c>
      <c r="G111" s="152">
        <v>0</v>
      </c>
      <c r="H111" s="153">
        <v>10952</v>
      </c>
      <c r="I111" s="156">
        <v>13548</v>
      </c>
      <c r="J111" s="155">
        <f t="shared" si="16"/>
        <v>2596</v>
      </c>
    </row>
    <row r="112" spans="1:10" ht="12.75">
      <c r="A112" s="150" t="s">
        <v>452</v>
      </c>
      <c r="B112" s="151">
        <v>10</v>
      </c>
      <c r="C112" s="151">
        <v>10</v>
      </c>
      <c r="D112" s="151">
        <f t="shared" si="14"/>
        <v>0</v>
      </c>
      <c r="E112" s="151">
        <v>10</v>
      </c>
      <c r="F112" s="151">
        <v>10</v>
      </c>
      <c r="G112" s="152">
        <f t="shared" si="15"/>
        <v>0</v>
      </c>
      <c r="H112" s="153">
        <v>16224</v>
      </c>
      <c r="I112" s="156">
        <v>16565</v>
      </c>
      <c r="J112" s="155">
        <f t="shared" si="16"/>
        <v>341</v>
      </c>
    </row>
    <row r="113" spans="1:10" ht="12.75">
      <c r="A113" s="150" t="s">
        <v>297</v>
      </c>
      <c r="B113" s="151"/>
      <c r="C113" s="151"/>
      <c r="D113" s="151">
        <f t="shared" si="14"/>
        <v>0</v>
      </c>
      <c r="E113" s="151"/>
      <c r="F113" s="151"/>
      <c r="G113" s="152">
        <f t="shared" si="15"/>
        <v>0</v>
      </c>
      <c r="H113" s="153"/>
      <c r="I113" s="156"/>
      <c r="J113" s="155">
        <f t="shared" si="16"/>
        <v>0</v>
      </c>
    </row>
    <row r="114" spans="1:10" ht="12.75">
      <c r="A114" s="150" t="s">
        <v>325</v>
      </c>
      <c r="B114" s="151">
        <v>7</v>
      </c>
      <c r="C114" s="151">
        <v>7</v>
      </c>
      <c r="D114" s="151">
        <f t="shared" si="14"/>
        <v>0</v>
      </c>
      <c r="E114" s="151">
        <v>7</v>
      </c>
      <c r="F114" s="151">
        <v>7</v>
      </c>
      <c r="G114" s="152">
        <f t="shared" si="15"/>
        <v>0</v>
      </c>
      <c r="H114" s="153">
        <v>12336</v>
      </c>
      <c r="I114" s="156">
        <v>12575</v>
      </c>
      <c r="J114" s="155">
        <f t="shared" si="16"/>
        <v>239</v>
      </c>
    </row>
    <row r="115" spans="1:10" ht="12.75">
      <c r="A115" s="150" t="s">
        <v>219</v>
      </c>
      <c r="B115" s="151"/>
      <c r="C115" s="151"/>
      <c r="D115" s="151">
        <f t="shared" si="14"/>
        <v>0</v>
      </c>
      <c r="E115" s="151"/>
      <c r="F115" s="151"/>
      <c r="G115" s="152">
        <f t="shared" si="15"/>
        <v>0</v>
      </c>
      <c r="H115" s="153"/>
      <c r="I115" s="156"/>
      <c r="J115" s="155">
        <f t="shared" si="16"/>
        <v>0</v>
      </c>
    </row>
    <row r="116" spans="1:10" ht="12.75">
      <c r="A116" s="150" t="s">
        <v>220</v>
      </c>
      <c r="B116" s="151">
        <v>1</v>
      </c>
      <c r="C116" s="151">
        <v>1</v>
      </c>
      <c r="D116" s="151">
        <f t="shared" si="14"/>
        <v>0</v>
      </c>
      <c r="E116" s="151">
        <v>1</v>
      </c>
      <c r="F116" s="151">
        <v>1</v>
      </c>
      <c r="G116" s="152">
        <f t="shared" si="15"/>
        <v>0</v>
      </c>
      <c r="H116" s="153">
        <v>29090</v>
      </c>
      <c r="I116" s="156">
        <v>23031</v>
      </c>
      <c r="J116" s="155">
        <f t="shared" si="16"/>
        <v>-6059</v>
      </c>
    </row>
    <row r="117" spans="1:10" ht="12.75">
      <c r="A117" s="150" t="s">
        <v>221</v>
      </c>
      <c r="B117" s="151">
        <v>13.14</v>
      </c>
      <c r="C117" s="151">
        <v>12.34</v>
      </c>
      <c r="D117" s="151">
        <f t="shared" si="14"/>
        <v>-0.8000000000000007</v>
      </c>
      <c r="E117" s="151">
        <v>13</v>
      </c>
      <c r="F117" s="151">
        <v>11.5</v>
      </c>
      <c r="G117" s="152">
        <f t="shared" si="15"/>
        <v>-1.5</v>
      </c>
      <c r="H117" s="153">
        <v>12137</v>
      </c>
      <c r="I117" s="156">
        <v>12559</v>
      </c>
      <c r="J117" s="155">
        <f t="shared" si="16"/>
        <v>422</v>
      </c>
    </row>
    <row r="118" spans="1:10" ht="13.5" thickBot="1">
      <c r="A118" s="157" t="s">
        <v>168</v>
      </c>
      <c r="B118" s="158">
        <v>56.67</v>
      </c>
      <c r="C118" s="158">
        <v>57.77</v>
      </c>
      <c r="D118" s="158">
        <f t="shared" si="14"/>
        <v>1.1000000000000014</v>
      </c>
      <c r="E118" s="158">
        <v>57.69</v>
      </c>
      <c r="F118" s="158">
        <v>57.19</v>
      </c>
      <c r="G118" s="159">
        <f t="shared" si="15"/>
        <v>-0.5</v>
      </c>
      <c r="H118" s="160">
        <v>16633</v>
      </c>
      <c r="I118" s="161">
        <v>18437</v>
      </c>
      <c r="J118" s="162">
        <f t="shared" si="16"/>
        <v>1804</v>
      </c>
    </row>
    <row r="119" ht="13.5" thickBot="1"/>
    <row r="120" spans="1:16" ht="12.75">
      <c r="A120" s="829" t="s">
        <v>222</v>
      </c>
      <c r="B120" s="829"/>
      <c r="C120" s="829"/>
      <c r="D120" s="24"/>
      <c r="E120" s="829" t="s">
        <v>223</v>
      </c>
      <c r="F120" s="829"/>
      <c r="G120" s="829"/>
      <c r="H120"/>
      <c r="I120"/>
      <c r="J120"/>
      <c r="K120"/>
      <c r="L120"/>
      <c r="M120"/>
      <c r="N120"/>
      <c r="O120"/>
      <c r="P120"/>
    </row>
    <row r="121" spans="1:16" ht="13.5" thickBot="1">
      <c r="A121" s="130" t="s">
        <v>224</v>
      </c>
      <c r="B121" s="131" t="s">
        <v>225</v>
      </c>
      <c r="C121" s="132" t="s">
        <v>210</v>
      </c>
      <c r="D121" s="24"/>
      <c r="E121" s="130"/>
      <c r="F121" s="832" t="s">
        <v>226</v>
      </c>
      <c r="G121" s="832"/>
      <c r="H121"/>
      <c r="I121"/>
      <c r="J121"/>
      <c r="K121"/>
      <c r="L121"/>
      <c r="M121"/>
      <c r="N121"/>
      <c r="O121"/>
      <c r="P121"/>
    </row>
    <row r="122" spans="1:16" ht="12.75">
      <c r="A122" s="137">
        <v>2007</v>
      </c>
      <c r="B122" s="138">
        <v>57.77</v>
      </c>
      <c r="C122" s="139">
        <v>58</v>
      </c>
      <c r="D122" s="24"/>
      <c r="E122" s="137">
        <v>2007</v>
      </c>
      <c r="F122" s="830">
        <v>119</v>
      </c>
      <c r="G122" s="830"/>
      <c r="H122"/>
      <c r="I122"/>
      <c r="J122"/>
      <c r="K122"/>
      <c r="L122"/>
      <c r="M122"/>
      <c r="N122"/>
      <c r="O122"/>
      <c r="P122"/>
    </row>
    <row r="123" spans="1:16" ht="13.5" thickBot="1">
      <c r="A123" s="144">
        <v>2008</v>
      </c>
      <c r="B123" s="145">
        <v>59</v>
      </c>
      <c r="C123" s="146"/>
      <c r="D123" s="24"/>
      <c r="E123" s="144">
        <v>2008</v>
      </c>
      <c r="F123" s="831">
        <v>119</v>
      </c>
      <c r="G123" s="831"/>
      <c r="H123"/>
      <c r="I123"/>
      <c r="J123"/>
      <c r="K123"/>
      <c r="L123"/>
      <c r="M123"/>
      <c r="N123"/>
      <c r="O123"/>
      <c r="P123"/>
    </row>
  </sheetData>
  <mergeCells count="123">
    <mergeCell ref="C72:D72"/>
    <mergeCell ref="F72:G72"/>
    <mergeCell ref="I72:K72"/>
    <mergeCell ref="F73:G73"/>
    <mergeCell ref="C70:D70"/>
    <mergeCell ref="F70:G70"/>
    <mergeCell ref="I70:K70"/>
    <mergeCell ref="C71:D71"/>
    <mergeCell ref="F71:G71"/>
    <mergeCell ref="I71:K71"/>
    <mergeCell ref="C68:D68"/>
    <mergeCell ref="F68:G68"/>
    <mergeCell ref="I68:K68"/>
    <mergeCell ref="C69:D69"/>
    <mergeCell ref="F69:G69"/>
    <mergeCell ref="I69:K69"/>
    <mergeCell ref="F123:G123"/>
    <mergeCell ref="A120:C120"/>
    <mergeCell ref="E120:G120"/>
    <mergeCell ref="F121:G121"/>
    <mergeCell ref="F122:G122"/>
    <mergeCell ref="J100:L100"/>
    <mergeCell ref="A106:A107"/>
    <mergeCell ref="B106:D106"/>
    <mergeCell ref="E106:G106"/>
    <mergeCell ref="H106:J106"/>
    <mergeCell ref="D79:I79"/>
    <mergeCell ref="A84:A85"/>
    <mergeCell ref="B84:B85"/>
    <mergeCell ref="C84:F84"/>
    <mergeCell ref="G84:G85"/>
    <mergeCell ref="H84:H85"/>
    <mergeCell ref="I84:L84"/>
    <mergeCell ref="A78:A80"/>
    <mergeCell ref="A57:B57"/>
    <mergeCell ref="H59:K59"/>
    <mergeCell ref="A60:B60"/>
    <mergeCell ref="D58:F58"/>
    <mergeCell ref="D60:F60"/>
    <mergeCell ref="H60:K60"/>
    <mergeCell ref="A61:B61"/>
    <mergeCell ref="D61:F61"/>
    <mergeCell ref="H61:K61"/>
    <mergeCell ref="B78:B80"/>
    <mergeCell ref="C78:I78"/>
    <mergeCell ref="J78:J80"/>
    <mergeCell ref="A66:E66"/>
    <mergeCell ref="F66:L66"/>
    <mergeCell ref="C67:D67"/>
    <mergeCell ref="F67:G67"/>
    <mergeCell ref="I67:K67"/>
    <mergeCell ref="L78:M78"/>
    <mergeCell ref="C79:C80"/>
    <mergeCell ref="A47:B47"/>
    <mergeCell ref="D47:F47"/>
    <mergeCell ref="L53:L54"/>
    <mergeCell ref="A63:B63"/>
    <mergeCell ref="D63:F63"/>
    <mergeCell ref="H63:K63"/>
    <mergeCell ref="A62:B62"/>
    <mergeCell ref="D62:F62"/>
    <mergeCell ref="H62:K62"/>
    <mergeCell ref="D59:F59"/>
    <mergeCell ref="J4:L4"/>
    <mergeCell ref="H58:K58"/>
    <mergeCell ref="H55:K55"/>
    <mergeCell ref="H56:K56"/>
    <mergeCell ref="H57:K57"/>
    <mergeCell ref="H49:K49"/>
    <mergeCell ref="G53:G54"/>
    <mergeCell ref="A3:A6"/>
    <mergeCell ref="L42:L43"/>
    <mergeCell ref="A51:B51"/>
    <mergeCell ref="D51:F51"/>
    <mergeCell ref="H51:K51"/>
    <mergeCell ref="H47:K47"/>
    <mergeCell ref="A48:B48"/>
    <mergeCell ref="D48:F48"/>
    <mergeCell ref="H48:K48"/>
    <mergeCell ref="D49:F49"/>
    <mergeCell ref="A1:N1"/>
    <mergeCell ref="J39:L39"/>
    <mergeCell ref="B40:D40"/>
    <mergeCell ref="E40:G40"/>
    <mergeCell ref="B39:D39"/>
    <mergeCell ref="E39:G39"/>
    <mergeCell ref="B4:D4"/>
    <mergeCell ref="E4:G4"/>
    <mergeCell ref="B3:N3"/>
    <mergeCell ref="H4:I4"/>
    <mergeCell ref="A53:B54"/>
    <mergeCell ref="A59:B59"/>
    <mergeCell ref="A55:B55"/>
    <mergeCell ref="D55:F55"/>
    <mergeCell ref="A56:B56"/>
    <mergeCell ref="D56:F56"/>
    <mergeCell ref="D57:F57"/>
    <mergeCell ref="A58:B58"/>
    <mergeCell ref="C53:C54"/>
    <mergeCell ref="D53:F54"/>
    <mergeCell ref="A50:B50"/>
    <mergeCell ref="D50:F50"/>
    <mergeCell ref="H50:K50"/>
    <mergeCell ref="A49:B49"/>
    <mergeCell ref="A46:B46"/>
    <mergeCell ref="D46:F46"/>
    <mergeCell ref="H46:K46"/>
    <mergeCell ref="A45:B45"/>
    <mergeCell ref="D45:F45"/>
    <mergeCell ref="G42:G43"/>
    <mergeCell ref="H42:K43"/>
    <mergeCell ref="H53:K54"/>
    <mergeCell ref="H45:K45"/>
    <mergeCell ref="M4:N4"/>
    <mergeCell ref="A100:A101"/>
    <mergeCell ref="B100:B101"/>
    <mergeCell ref="C100:H100"/>
    <mergeCell ref="A44:B44"/>
    <mergeCell ref="D44:F44"/>
    <mergeCell ref="H44:K44"/>
    <mergeCell ref="A42:B43"/>
    <mergeCell ref="C42:C43"/>
    <mergeCell ref="D42:F43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5" r:id="rId1"/>
  <headerFooter alignWithMargins="0">
    <oddFooter>&amp;C&amp;P</oddFooter>
  </headerFooter>
  <rowBreaks count="1" manualBreakCount="1">
    <brk id="7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J57"/>
  <sheetViews>
    <sheetView zoomScale="90" zoomScaleNormal="90" workbookViewId="0" topLeftCell="A1">
      <selection activeCell="N74" sqref="N74"/>
    </sheetView>
  </sheetViews>
  <sheetFormatPr defaultColWidth="9.00390625" defaultRowHeight="12.75"/>
  <cols>
    <col min="1" max="1" width="1.00390625" style="0" customWidth="1"/>
    <col min="2" max="2" width="9.125" style="0" hidden="1" customWidth="1"/>
    <col min="7" max="7" width="13.875" style="0" customWidth="1"/>
    <col min="8" max="8" width="3.125" style="0" hidden="1" customWidth="1"/>
    <col min="9" max="9" width="9.00390625" style="0" hidden="1" customWidth="1"/>
    <col min="10" max="10" width="1.75390625" style="0" hidden="1" customWidth="1"/>
    <col min="11" max="11" width="11.00390625" style="0" customWidth="1"/>
    <col min="12" max="13" width="9.125" style="0" hidden="1" customWidth="1"/>
    <col min="14" max="14" width="10.125" style="0" customWidth="1"/>
    <col min="15" max="15" width="9.125" style="0" hidden="1" customWidth="1"/>
    <col min="16" max="16" width="9.875" style="0" customWidth="1"/>
    <col min="17" max="17" width="0.12890625" style="0" customWidth="1"/>
    <col min="18" max="18" width="9.875" style="0" customWidth="1"/>
    <col min="19" max="19" width="9.125" style="0" hidden="1" customWidth="1"/>
    <col min="20" max="20" width="10.25390625" style="0" customWidth="1"/>
    <col min="21" max="21" width="1.625" style="0" hidden="1" customWidth="1"/>
    <col min="22" max="22" width="10.375" style="0" customWidth="1"/>
    <col min="23" max="23" width="0.2421875" style="0" hidden="1" customWidth="1"/>
    <col min="24" max="24" width="11.375" style="0" customWidth="1"/>
    <col min="25" max="25" width="9.00390625" style="0" hidden="1" customWidth="1"/>
    <col min="26" max="26" width="9.125" style="0" hidden="1" customWidth="1"/>
    <col min="27" max="27" width="10.25390625" style="0" customWidth="1"/>
    <col min="28" max="28" width="0.74609375" style="0" hidden="1" customWidth="1"/>
    <col min="29" max="29" width="10.125" style="0" customWidth="1"/>
    <col min="30" max="30" width="9.125" style="0" hidden="1" customWidth="1"/>
    <col min="31" max="31" width="10.25390625" style="0" customWidth="1"/>
    <col min="32" max="32" width="1.25" style="0" hidden="1" customWidth="1"/>
    <col min="33" max="33" width="9.875" style="0" customWidth="1"/>
    <col min="34" max="34" width="9.125" style="0" hidden="1" customWidth="1"/>
    <col min="35" max="35" width="10.125" style="0" customWidth="1"/>
    <col min="36" max="36" width="9.125" style="0" hidden="1" customWidth="1"/>
  </cols>
  <sheetData>
    <row r="2" ht="13.5" thickBot="1"/>
    <row r="3" spans="2:36" ht="12.75">
      <c r="B3" s="423"/>
      <c r="C3" s="746">
        <v>2007</v>
      </c>
      <c r="D3" s="747"/>
      <c r="E3" s="747"/>
      <c r="F3" s="747"/>
      <c r="G3" s="747"/>
      <c r="H3" s="747"/>
      <c r="I3" s="747"/>
      <c r="J3" s="748"/>
      <c r="K3" s="742" t="s">
        <v>625</v>
      </c>
      <c r="L3" s="714"/>
      <c r="M3" s="714"/>
      <c r="N3" s="714"/>
      <c r="O3" s="714"/>
      <c r="P3" s="714" t="s">
        <v>626</v>
      </c>
      <c r="Q3" s="714"/>
      <c r="R3" s="714"/>
      <c r="S3" s="714"/>
      <c r="T3" s="714"/>
      <c r="U3" s="714"/>
      <c r="V3" s="714"/>
      <c r="W3" s="714"/>
      <c r="X3" s="714" t="s">
        <v>627</v>
      </c>
      <c r="Y3" s="714"/>
      <c r="Z3" s="714"/>
      <c r="AA3" s="714"/>
      <c r="AB3" s="714"/>
      <c r="AC3" s="714" t="s">
        <v>628</v>
      </c>
      <c r="AD3" s="714"/>
      <c r="AE3" s="714"/>
      <c r="AF3" s="714"/>
      <c r="AG3" s="714" t="s">
        <v>629</v>
      </c>
      <c r="AH3" s="714"/>
      <c r="AI3" s="714"/>
      <c r="AJ3" s="715"/>
    </row>
    <row r="4" spans="2:36" ht="13.5" thickBot="1">
      <c r="B4" s="424"/>
      <c r="C4" s="743" t="s">
        <v>630</v>
      </c>
      <c r="D4" s="743"/>
      <c r="E4" s="743"/>
      <c r="F4" s="743"/>
      <c r="G4" s="743"/>
      <c r="H4" s="743"/>
      <c r="I4" s="743"/>
      <c r="J4" s="744"/>
      <c r="K4" s="745" t="s">
        <v>631</v>
      </c>
      <c r="L4" s="716"/>
      <c r="M4" s="716"/>
      <c r="N4" s="716" t="s">
        <v>632</v>
      </c>
      <c r="O4" s="716"/>
      <c r="P4" s="718" t="s">
        <v>64</v>
      </c>
      <c r="Q4" s="718"/>
      <c r="R4" s="716" t="s">
        <v>633</v>
      </c>
      <c r="S4" s="716"/>
      <c r="T4" s="716" t="s">
        <v>634</v>
      </c>
      <c r="U4" s="716"/>
      <c r="V4" s="716" t="s">
        <v>635</v>
      </c>
      <c r="W4" s="716"/>
      <c r="X4" s="718" t="s">
        <v>70</v>
      </c>
      <c r="Y4" s="718"/>
      <c r="Z4" s="718"/>
      <c r="AA4" s="716" t="s">
        <v>635</v>
      </c>
      <c r="AB4" s="716"/>
      <c r="AC4" s="718" t="s">
        <v>76</v>
      </c>
      <c r="AD4" s="718"/>
      <c r="AE4" s="716" t="s">
        <v>635</v>
      </c>
      <c r="AF4" s="716"/>
      <c r="AG4" s="718" t="s">
        <v>636</v>
      </c>
      <c r="AH4" s="718"/>
      <c r="AI4" s="716" t="s">
        <v>635</v>
      </c>
      <c r="AJ4" s="717"/>
    </row>
    <row r="5" spans="2:36" ht="15">
      <c r="B5" s="741" t="s">
        <v>638</v>
      </c>
      <c r="C5" s="730"/>
      <c r="D5" s="730"/>
      <c r="E5" s="730"/>
      <c r="F5" s="730"/>
      <c r="G5" s="730"/>
      <c r="H5" s="730"/>
      <c r="I5" s="730"/>
      <c r="J5" s="731">
        <v>92.15</v>
      </c>
      <c r="K5" s="736"/>
      <c r="L5" s="738">
        <v>16365</v>
      </c>
      <c r="M5" s="738"/>
      <c r="N5" s="738"/>
      <c r="O5" s="735">
        <v>10669</v>
      </c>
      <c r="P5" s="735"/>
      <c r="Q5" s="736">
        <v>5.33</v>
      </c>
      <c r="R5" s="736"/>
      <c r="S5" s="736">
        <v>9.32</v>
      </c>
      <c r="T5" s="736"/>
      <c r="U5" s="734">
        <v>0.65192</v>
      </c>
      <c r="V5" s="734"/>
      <c r="W5" s="735">
        <v>1374</v>
      </c>
      <c r="X5" s="735"/>
      <c r="Y5" s="735"/>
      <c r="Z5" s="734">
        <v>0.08398</v>
      </c>
      <c r="AA5" s="734"/>
      <c r="AB5" s="735">
        <v>610</v>
      </c>
      <c r="AC5" s="735"/>
      <c r="AD5" s="734">
        <v>0.03726</v>
      </c>
      <c r="AE5" s="734"/>
      <c r="AF5" s="735">
        <v>3712</v>
      </c>
      <c r="AG5" s="735"/>
      <c r="AH5" s="734">
        <v>0.22684</v>
      </c>
      <c r="AI5" s="734"/>
      <c r="AJ5" s="425">
        <v>0</v>
      </c>
    </row>
    <row r="6" spans="2:36" ht="15">
      <c r="B6" s="741" t="s">
        <v>639</v>
      </c>
      <c r="C6" s="730"/>
      <c r="D6" s="730"/>
      <c r="E6" s="730"/>
      <c r="F6" s="730"/>
      <c r="G6" s="730"/>
      <c r="H6" s="730"/>
      <c r="I6" s="730"/>
      <c r="J6" s="731">
        <v>19.149999618530273</v>
      </c>
      <c r="K6" s="731"/>
      <c r="L6" s="732">
        <v>16160.767578125</v>
      </c>
      <c r="M6" s="732"/>
      <c r="N6" s="732"/>
      <c r="O6" s="733">
        <v>11285.5888671875</v>
      </c>
      <c r="P6" s="733"/>
      <c r="Q6" s="731">
        <v>5.783015727996826</v>
      </c>
      <c r="R6" s="731"/>
      <c r="S6" s="731">
        <v>8.722180366516113</v>
      </c>
      <c r="T6" s="731"/>
      <c r="U6" s="723">
        <v>0.6983324778745982</v>
      </c>
      <c r="V6" s="723"/>
      <c r="W6" s="733">
        <v>705.1157836914062</v>
      </c>
      <c r="X6" s="733"/>
      <c r="Y6" s="733"/>
      <c r="Z6" s="723">
        <v>0.04363133002703669</v>
      </c>
      <c r="AA6" s="723"/>
      <c r="AB6" s="733">
        <v>760.9671020507812</v>
      </c>
      <c r="AC6" s="733"/>
      <c r="AD6" s="723">
        <v>0.047087311810660296</v>
      </c>
      <c r="AE6" s="723"/>
      <c r="AF6" s="733">
        <v>3409.09094786644</v>
      </c>
      <c r="AG6" s="733"/>
      <c r="AH6" s="723">
        <v>0.2109485784871345</v>
      </c>
      <c r="AI6" s="723"/>
      <c r="AJ6" s="426">
        <v>0</v>
      </c>
    </row>
    <row r="7" spans="2:36" ht="15">
      <c r="B7" s="741" t="s">
        <v>640</v>
      </c>
      <c r="C7" s="730"/>
      <c r="D7" s="730"/>
      <c r="E7" s="730"/>
      <c r="F7" s="730"/>
      <c r="G7" s="730"/>
      <c r="H7" s="730"/>
      <c r="I7" s="730"/>
      <c r="J7" s="731">
        <v>36.787498474121094</v>
      </c>
      <c r="K7" s="731"/>
      <c r="L7" s="732">
        <v>14779.845703125</v>
      </c>
      <c r="M7" s="732"/>
      <c r="N7" s="732"/>
      <c r="O7" s="733">
        <v>10353.759765625</v>
      </c>
      <c r="P7" s="733"/>
      <c r="Q7" s="731">
        <v>5.463591575622559</v>
      </c>
      <c r="R7" s="731"/>
      <c r="S7" s="731">
        <v>10.023329734802246</v>
      </c>
      <c r="T7" s="731"/>
      <c r="U7" s="723">
        <v>0.7005323312296715</v>
      </c>
      <c r="V7" s="723"/>
      <c r="W7" s="733">
        <v>846.0137939453125</v>
      </c>
      <c r="X7" s="733"/>
      <c r="Y7" s="733"/>
      <c r="Z7" s="723">
        <v>0.05724104371173741</v>
      </c>
      <c r="AA7" s="723"/>
      <c r="AB7" s="733">
        <v>592.0228271484375</v>
      </c>
      <c r="AC7" s="733"/>
      <c r="AD7" s="723">
        <v>0.040056089829358786</v>
      </c>
      <c r="AE7" s="723"/>
      <c r="AF7" s="733">
        <v>2988.059524536133</v>
      </c>
      <c r="AG7" s="733"/>
      <c r="AH7" s="723">
        <v>0.2021712259082886</v>
      </c>
      <c r="AI7" s="723"/>
      <c r="AJ7" s="426">
        <v>0</v>
      </c>
    </row>
    <row r="8" spans="2:36" ht="15">
      <c r="B8" s="741" t="s">
        <v>513</v>
      </c>
      <c r="C8" s="730"/>
      <c r="D8" s="730"/>
      <c r="E8" s="730"/>
      <c r="F8" s="730"/>
      <c r="G8" s="730"/>
      <c r="H8" s="730"/>
      <c r="I8" s="730"/>
      <c r="J8" s="731">
        <v>31.602500915527344</v>
      </c>
      <c r="K8" s="731"/>
      <c r="L8" s="732">
        <v>16655.73046875</v>
      </c>
      <c r="M8" s="732"/>
      <c r="N8" s="732"/>
      <c r="O8" s="733">
        <v>10710.115234375</v>
      </c>
      <c r="P8" s="733"/>
      <c r="Q8" s="731">
        <v>5.7154998779296875</v>
      </c>
      <c r="R8" s="731"/>
      <c r="S8" s="731">
        <v>9.482535362243652</v>
      </c>
      <c r="T8" s="731"/>
      <c r="U8" s="723">
        <v>0.6430288515096741</v>
      </c>
      <c r="V8" s="723"/>
      <c r="W8" s="733">
        <v>1148.1651611328125</v>
      </c>
      <c r="X8" s="733"/>
      <c r="Y8" s="733"/>
      <c r="Z8" s="723">
        <v>0.06893514296998476</v>
      </c>
      <c r="AA8" s="723"/>
      <c r="AB8" s="733">
        <v>1544.8016357421875</v>
      </c>
      <c r="AC8" s="733"/>
      <c r="AD8" s="723">
        <v>0.0927489574018139</v>
      </c>
      <c r="AE8" s="723"/>
      <c r="AF8" s="733">
        <v>3252.6566162109375</v>
      </c>
      <c r="AG8" s="733"/>
      <c r="AH8" s="723">
        <v>0.19528753916339323</v>
      </c>
      <c r="AI8" s="723"/>
      <c r="AJ8" s="426">
        <v>0</v>
      </c>
    </row>
    <row r="9" spans="2:36" ht="15">
      <c r="B9" s="741" t="s">
        <v>641</v>
      </c>
      <c r="C9" s="730"/>
      <c r="D9" s="730"/>
      <c r="E9" s="730"/>
      <c r="F9" s="730"/>
      <c r="G9" s="730"/>
      <c r="H9" s="730"/>
      <c r="I9" s="730"/>
      <c r="J9" s="731">
        <v>58.75749969482422</v>
      </c>
      <c r="K9" s="731"/>
      <c r="L9" s="732">
        <v>15774.1923828125</v>
      </c>
      <c r="M9" s="732"/>
      <c r="N9" s="732"/>
      <c r="O9" s="733">
        <v>9885.189453125</v>
      </c>
      <c r="P9" s="733"/>
      <c r="Q9" s="731">
        <v>5.163486480712891</v>
      </c>
      <c r="R9" s="731"/>
      <c r="S9" s="731">
        <v>7.9199724197387695</v>
      </c>
      <c r="T9" s="731"/>
      <c r="U9" s="723">
        <v>0.6266684983439067</v>
      </c>
      <c r="V9" s="723"/>
      <c r="W9" s="733">
        <v>1369.9642333984375</v>
      </c>
      <c r="X9" s="733"/>
      <c r="Y9" s="733"/>
      <c r="Z9" s="723">
        <v>0.08684845475139161</v>
      </c>
      <c r="AA9" s="723"/>
      <c r="AB9" s="733">
        <v>927.1846313476562</v>
      </c>
      <c r="AC9" s="733"/>
      <c r="AD9" s="723">
        <v>0.05877858015462732</v>
      </c>
      <c r="AE9" s="723"/>
      <c r="AF9" s="733">
        <v>3591.85147857666</v>
      </c>
      <c r="AG9" s="733"/>
      <c r="AH9" s="723">
        <v>0.22770430278828904</v>
      </c>
      <c r="AI9" s="723"/>
      <c r="AJ9" s="426">
        <v>0</v>
      </c>
    </row>
    <row r="10" spans="2:36" ht="15">
      <c r="B10" s="741" t="s">
        <v>642</v>
      </c>
      <c r="C10" s="730"/>
      <c r="D10" s="730"/>
      <c r="E10" s="730"/>
      <c r="F10" s="730"/>
      <c r="G10" s="730"/>
      <c r="H10" s="730"/>
      <c r="I10" s="730"/>
      <c r="J10" s="731">
        <v>57.852500915527344</v>
      </c>
      <c r="K10" s="731"/>
      <c r="L10" s="732">
        <v>18405.55859375</v>
      </c>
      <c r="M10" s="732"/>
      <c r="N10" s="732"/>
      <c r="O10" s="733">
        <v>11545.404296875</v>
      </c>
      <c r="P10" s="733"/>
      <c r="Q10" s="731">
        <v>5.679708957672119</v>
      </c>
      <c r="R10" s="731"/>
      <c r="S10" s="731">
        <v>9.464991569519043</v>
      </c>
      <c r="T10" s="731"/>
      <c r="U10" s="723">
        <v>0.6272781256851117</v>
      </c>
      <c r="V10" s="723"/>
      <c r="W10" s="733">
        <v>689.8270874023438</v>
      </c>
      <c r="X10" s="733"/>
      <c r="Y10" s="733"/>
      <c r="Z10" s="723">
        <v>0.03747928017987942</v>
      </c>
      <c r="AA10" s="723"/>
      <c r="AB10" s="733">
        <v>1535.0540771484375</v>
      </c>
      <c r="AC10" s="733"/>
      <c r="AD10" s="723">
        <v>0.08340165658811886</v>
      </c>
      <c r="AE10" s="723"/>
      <c r="AF10" s="733">
        <v>4635.26780796051</v>
      </c>
      <c r="AG10" s="733"/>
      <c r="AH10" s="723">
        <v>0.251840648266688</v>
      </c>
      <c r="AI10" s="723"/>
      <c r="AJ10" s="426">
        <v>0</v>
      </c>
    </row>
    <row r="11" spans="2:36" ht="15">
      <c r="B11" s="741" t="s">
        <v>361</v>
      </c>
      <c r="C11" s="730"/>
      <c r="D11" s="730"/>
      <c r="E11" s="730"/>
      <c r="F11" s="730"/>
      <c r="G11" s="730"/>
      <c r="H11" s="730"/>
      <c r="I11" s="730"/>
      <c r="J11" s="731">
        <v>37.875</v>
      </c>
      <c r="K11" s="731"/>
      <c r="L11" s="732">
        <v>17068.6875</v>
      </c>
      <c r="M11" s="732"/>
      <c r="N11" s="732"/>
      <c r="O11" s="733">
        <v>11306.4892578125</v>
      </c>
      <c r="P11" s="733"/>
      <c r="Q11" s="731">
        <v>6.18069314956665</v>
      </c>
      <c r="R11" s="731"/>
      <c r="S11" s="731">
        <v>8.63301944732666</v>
      </c>
      <c r="T11" s="731"/>
      <c r="U11" s="723">
        <v>0.6624111700335775</v>
      </c>
      <c r="V11" s="723"/>
      <c r="W11" s="733">
        <v>511.38848876953125</v>
      </c>
      <c r="X11" s="733"/>
      <c r="Y11" s="733"/>
      <c r="Z11" s="723">
        <v>0.02996062168046203</v>
      </c>
      <c r="AA11" s="723"/>
      <c r="AB11" s="733">
        <v>1648.5987548828125</v>
      </c>
      <c r="AC11" s="733"/>
      <c r="AD11" s="723">
        <v>0.09658614670183706</v>
      </c>
      <c r="AE11" s="723"/>
      <c r="AF11" s="733">
        <v>3602.2108459472656</v>
      </c>
      <c r="AG11" s="733"/>
      <c r="AH11" s="723">
        <v>0.21104205264448514</v>
      </c>
      <c r="AI11" s="723"/>
      <c r="AJ11" s="426">
        <v>0</v>
      </c>
    </row>
    <row r="12" spans="2:36" ht="15">
      <c r="B12" s="741" t="s">
        <v>643</v>
      </c>
      <c r="C12" s="730"/>
      <c r="D12" s="730"/>
      <c r="E12" s="730"/>
      <c r="F12" s="730"/>
      <c r="G12" s="730"/>
      <c r="H12" s="730"/>
      <c r="I12" s="730"/>
      <c r="J12" s="731">
        <v>82.70999908447266</v>
      </c>
      <c r="K12" s="731"/>
      <c r="L12" s="732">
        <v>15565.44921875</v>
      </c>
      <c r="M12" s="732"/>
      <c r="N12" s="732"/>
      <c r="O12" s="733">
        <v>10204.2841796875</v>
      </c>
      <c r="P12" s="733"/>
      <c r="Q12" s="731">
        <v>5.260591983795166</v>
      </c>
      <c r="R12" s="731"/>
      <c r="S12" s="731">
        <v>10.166507720947266</v>
      </c>
      <c r="T12" s="731"/>
      <c r="U12" s="723">
        <v>0.6555727391019022</v>
      </c>
      <c r="V12" s="723"/>
      <c r="W12" s="733">
        <v>1173.605712890625</v>
      </c>
      <c r="X12" s="733"/>
      <c r="Y12" s="733"/>
      <c r="Z12" s="723">
        <v>0.07539812673552075</v>
      </c>
      <c r="AA12" s="723"/>
      <c r="AB12" s="733">
        <v>555.6646118164062</v>
      </c>
      <c r="AC12" s="733"/>
      <c r="AD12" s="723">
        <v>0.03569859141277193</v>
      </c>
      <c r="AE12" s="723"/>
      <c r="AF12" s="733">
        <v>3631.892219543457</v>
      </c>
      <c r="AG12" s="733"/>
      <c r="AH12" s="723">
        <v>0.23333038247097374</v>
      </c>
      <c r="AI12" s="723"/>
      <c r="AJ12" s="426">
        <v>0</v>
      </c>
    </row>
    <row r="13" spans="2:36" ht="15">
      <c r="B13" s="741" t="s">
        <v>644</v>
      </c>
      <c r="C13" s="730"/>
      <c r="D13" s="730"/>
      <c r="E13" s="730"/>
      <c r="F13" s="730"/>
      <c r="G13" s="730"/>
      <c r="H13" s="730"/>
      <c r="I13" s="730"/>
      <c r="J13" s="731">
        <v>51.435001373291016</v>
      </c>
      <c r="K13" s="731"/>
      <c r="L13" s="732">
        <v>14947.189453125</v>
      </c>
      <c r="M13" s="732"/>
      <c r="N13" s="732"/>
      <c r="O13" s="733">
        <v>9933.814453125</v>
      </c>
      <c r="P13" s="733"/>
      <c r="Q13" s="731">
        <v>5.154913902282715</v>
      </c>
      <c r="R13" s="731"/>
      <c r="S13" s="731">
        <v>8.060173988342285</v>
      </c>
      <c r="T13" s="731"/>
      <c r="U13" s="723">
        <v>0.6645941355247988</v>
      </c>
      <c r="V13" s="723"/>
      <c r="W13" s="733">
        <v>1592.19775390625</v>
      </c>
      <c r="X13" s="733"/>
      <c r="Y13" s="733"/>
      <c r="Z13" s="723">
        <v>0.10652154767285499</v>
      </c>
      <c r="AA13" s="723"/>
      <c r="AB13" s="733">
        <v>486.1525573730469</v>
      </c>
      <c r="AC13" s="733"/>
      <c r="AD13" s="723">
        <v>0.03252468023487902</v>
      </c>
      <c r="AE13" s="723"/>
      <c r="AF13" s="733">
        <v>2935.027684211731</v>
      </c>
      <c r="AG13" s="733"/>
      <c r="AH13" s="723">
        <v>0.19635983697243542</v>
      </c>
      <c r="AI13" s="723"/>
      <c r="AJ13" s="426">
        <v>0</v>
      </c>
    </row>
    <row r="14" spans="2:36" ht="15">
      <c r="B14" s="741" t="s">
        <v>645</v>
      </c>
      <c r="C14" s="730"/>
      <c r="D14" s="730"/>
      <c r="E14" s="730"/>
      <c r="F14" s="730"/>
      <c r="G14" s="730"/>
      <c r="H14" s="730"/>
      <c r="I14" s="730"/>
      <c r="J14" s="731">
        <v>97.4749984741211</v>
      </c>
      <c r="K14" s="731"/>
      <c r="L14" s="732">
        <v>16588.962890625</v>
      </c>
      <c r="M14" s="732"/>
      <c r="N14" s="732"/>
      <c r="O14" s="733">
        <v>10136.4501953125</v>
      </c>
      <c r="P14" s="733"/>
      <c r="Q14" s="731">
        <v>4.965091705322266</v>
      </c>
      <c r="R14" s="731"/>
      <c r="S14" s="731">
        <v>9.49394416809082</v>
      </c>
      <c r="T14" s="731"/>
      <c r="U14" s="723">
        <v>0.6110357990517273</v>
      </c>
      <c r="V14" s="723"/>
      <c r="W14" s="733">
        <v>1368.0782470703125</v>
      </c>
      <c r="X14" s="733"/>
      <c r="Y14" s="733"/>
      <c r="Z14" s="723">
        <v>0.08246918484840672</v>
      </c>
      <c r="AA14" s="723"/>
      <c r="AB14" s="733">
        <v>1242.4312744140625</v>
      </c>
      <c r="AC14" s="733"/>
      <c r="AD14" s="723">
        <v>0.07489505417582215</v>
      </c>
      <c r="AE14" s="723"/>
      <c r="AF14" s="733">
        <v>3842.0086402893066</v>
      </c>
      <c r="AG14" s="733"/>
      <c r="AH14" s="723">
        <v>0.23160029144803015</v>
      </c>
      <c r="AI14" s="723"/>
      <c r="AJ14" s="426">
        <v>0</v>
      </c>
    </row>
    <row r="15" spans="2:36" ht="15">
      <c r="B15" s="741" t="s">
        <v>646</v>
      </c>
      <c r="C15" s="730"/>
      <c r="D15" s="730"/>
      <c r="E15" s="730"/>
      <c r="F15" s="730"/>
      <c r="G15" s="730"/>
      <c r="H15" s="730"/>
      <c r="I15" s="730"/>
      <c r="J15" s="731">
        <v>103.17500305175781</v>
      </c>
      <c r="K15" s="731"/>
      <c r="L15" s="732">
        <v>14685.8466796875</v>
      </c>
      <c r="M15" s="732"/>
      <c r="N15" s="732"/>
      <c r="O15" s="733">
        <v>9369.9638671875</v>
      </c>
      <c r="P15" s="733"/>
      <c r="Q15" s="731">
        <v>4.892008304595947</v>
      </c>
      <c r="R15" s="731"/>
      <c r="S15" s="731">
        <v>9.824421882629395</v>
      </c>
      <c r="T15" s="731"/>
      <c r="U15" s="723">
        <v>0.6380268071399261</v>
      </c>
      <c r="V15" s="723"/>
      <c r="W15" s="733">
        <v>1259.036865234375</v>
      </c>
      <c r="X15" s="733"/>
      <c r="Y15" s="733"/>
      <c r="Z15" s="723">
        <v>0.0857313093821</v>
      </c>
      <c r="AA15" s="723"/>
      <c r="AB15" s="733">
        <v>786.956787109375</v>
      </c>
      <c r="AC15" s="733"/>
      <c r="AD15" s="723">
        <v>0.05358606856476597</v>
      </c>
      <c r="AE15" s="723"/>
      <c r="AF15" s="733">
        <v>2884.332489013672</v>
      </c>
      <c r="AG15" s="733"/>
      <c r="AH15" s="723">
        <v>0.19640219266370876</v>
      </c>
      <c r="AI15" s="723"/>
      <c r="AJ15" s="426">
        <v>0</v>
      </c>
    </row>
    <row r="16" spans="2:36" ht="15.75" thickBot="1">
      <c r="B16" s="740" t="s">
        <v>647</v>
      </c>
      <c r="C16" s="728"/>
      <c r="D16" s="728"/>
      <c r="E16" s="728"/>
      <c r="F16" s="728"/>
      <c r="G16" s="728"/>
      <c r="H16" s="728"/>
      <c r="I16" s="728"/>
      <c r="J16" s="672">
        <v>88.94499969482422</v>
      </c>
      <c r="K16" s="672"/>
      <c r="L16" s="729">
        <v>16836.099609375</v>
      </c>
      <c r="M16" s="729"/>
      <c r="N16" s="729"/>
      <c r="O16" s="722">
        <v>10426.24609375</v>
      </c>
      <c r="P16" s="722"/>
      <c r="Q16" s="672">
        <v>5.568792343139648</v>
      </c>
      <c r="R16" s="672"/>
      <c r="S16" s="672">
        <v>9.483936309814453</v>
      </c>
      <c r="T16" s="672"/>
      <c r="U16" s="719">
        <v>0.6192791879150119</v>
      </c>
      <c r="V16" s="719"/>
      <c r="W16" s="722">
        <v>1273.654296875</v>
      </c>
      <c r="X16" s="722"/>
      <c r="Y16" s="722"/>
      <c r="Z16" s="719">
        <v>0.07565019965585018</v>
      </c>
      <c r="AA16" s="719"/>
      <c r="AB16" s="722">
        <v>1766.773193359375</v>
      </c>
      <c r="AC16" s="722"/>
      <c r="AD16" s="719">
        <v>0.1049395783080047</v>
      </c>
      <c r="AE16" s="719"/>
      <c r="AF16" s="722">
        <v>3369.4201335906982</v>
      </c>
      <c r="AG16" s="722"/>
      <c r="AH16" s="719">
        <v>0.20013068417072521</v>
      </c>
      <c r="AI16" s="719"/>
      <c r="AJ16" s="426">
        <v>0</v>
      </c>
    </row>
    <row r="17" spans="2:36" ht="15.75" thickBot="1">
      <c r="B17" s="709" t="s">
        <v>652</v>
      </c>
      <c r="C17" s="710"/>
      <c r="D17" s="710"/>
      <c r="E17" s="710"/>
      <c r="F17" s="710"/>
      <c r="G17" s="710"/>
      <c r="H17" s="710"/>
      <c r="I17" s="711"/>
      <c r="J17" s="712">
        <v>758</v>
      </c>
      <c r="K17" s="713"/>
      <c r="L17" s="713">
        <v>16112</v>
      </c>
      <c r="M17" s="713"/>
      <c r="N17" s="713"/>
      <c r="O17" s="685">
        <v>10335</v>
      </c>
      <c r="P17" s="685"/>
      <c r="Q17" s="683">
        <v>5.319783887949208</v>
      </c>
      <c r="R17" s="683"/>
      <c r="S17" s="683">
        <v>9.33</v>
      </c>
      <c r="T17" s="683"/>
      <c r="U17" s="684">
        <v>0.64141347314022</v>
      </c>
      <c r="V17" s="684"/>
      <c r="W17" s="685">
        <v>1191</v>
      </c>
      <c r="X17" s="685"/>
      <c r="Y17" s="685"/>
      <c r="Z17" s="684">
        <v>0.0739304734277214</v>
      </c>
      <c r="AA17" s="684"/>
      <c r="AB17" s="685">
        <v>1026</v>
      </c>
      <c r="AC17" s="685"/>
      <c r="AD17" s="684">
        <f>AB17/L17</f>
        <v>0.06367924528301887</v>
      </c>
      <c r="AE17" s="684"/>
      <c r="AF17" s="685">
        <v>3508</v>
      </c>
      <c r="AG17" s="685"/>
      <c r="AH17" s="684">
        <v>0.21773143915252477</v>
      </c>
      <c r="AI17" s="739"/>
      <c r="AJ17" s="427">
        <v>0</v>
      </c>
    </row>
    <row r="18" spans="2:36" ht="15">
      <c r="B18" s="428"/>
      <c r="C18" s="737" t="s">
        <v>637</v>
      </c>
      <c r="D18" s="737"/>
      <c r="E18" s="737"/>
      <c r="F18" s="737"/>
      <c r="G18" s="737"/>
      <c r="H18" s="737"/>
      <c r="I18" s="737"/>
      <c r="J18" s="737"/>
      <c r="K18" s="736">
        <v>141.6475067138672</v>
      </c>
      <c r="L18" s="736"/>
      <c r="M18" s="736"/>
      <c r="N18" s="738">
        <v>18912.27734375</v>
      </c>
      <c r="O18" s="738"/>
      <c r="P18" s="735">
        <v>11425.9033203125</v>
      </c>
      <c r="Q18" s="735"/>
      <c r="R18" s="736">
        <v>7.08929967880249</v>
      </c>
      <c r="S18" s="736"/>
      <c r="T18" s="736">
        <v>8.150408744812012</v>
      </c>
      <c r="U18" s="736"/>
      <c r="V18" s="734">
        <v>0.6041526947091042</v>
      </c>
      <c r="W18" s="734"/>
      <c r="X18" s="735">
        <v>1578.4542236328125</v>
      </c>
      <c r="Y18" s="735"/>
      <c r="Z18" s="735"/>
      <c r="AA18" s="734">
        <v>0.08346188007624841</v>
      </c>
      <c r="AB18" s="734"/>
      <c r="AC18" s="735">
        <v>1154.335693359375</v>
      </c>
      <c r="AD18" s="735"/>
      <c r="AE18" s="734">
        <v>0.06103631373303924</v>
      </c>
      <c r="AF18" s="734"/>
      <c r="AG18" s="735">
        <v>4753.574030637741</v>
      </c>
      <c r="AH18" s="735"/>
      <c r="AI18" s="734">
        <v>0.2513485787161782</v>
      </c>
      <c r="AJ18" s="724"/>
    </row>
    <row r="19" spans="2:36" ht="15">
      <c r="B19" s="424"/>
      <c r="C19" s="730" t="s">
        <v>343</v>
      </c>
      <c r="D19" s="730"/>
      <c r="E19" s="730"/>
      <c r="F19" s="730"/>
      <c r="G19" s="730"/>
      <c r="H19" s="730"/>
      <c r="I19" s="730"/>
      <c r="J19" s="730"/>
      <c r="K19" s="731">
        <v>45.13249969482422</v>
      </c>
      <c r="L19" s="731"/>
      <c r="M19" s="731"/>
      <c r="N19" s="732">
        <v>16687.01953125</v>
      </c>
      <c r="O19" s="732"/>
      <c r="P19" s="733">
        <v>9932.9931640625</v>
      </c>
      <c r="Q19" s="733"/>
      <c r="R19" s="731">
        <v>5.583167552947998</v>
      </c>
      <c r="S19" s="731"/>
      <c r="T19" s="731">
        <v>8.345911026000977</v>
      </c>
      <c r="U19" s="731"/>
      <c r="V19" s="723">
        <v>0.5952526840075217</v>
      </c>
      <c r="W19" s="723"/>
      <c r="X19" s="733">
        <v>1061.9200439453125</v>
      </c>
      <c r="Y19" s="733"/>
      <c r="Z19" s="733"/>
      <c r="AA19" s="723">
        <v>0.0636374903233403</v>
      </c>
      <c r="AB19" s="723"/>
      <c r="AC19" s="733">
        <v>1594.34423828125</v>
      </c>
      <c r="AD19" s="733"/>
      <c r="AE19" s="723">
        <v>0.0955439786772887</v>
      </c>
      <c r="AF19" s="723"/>
      <c r="AG19" s="733">
        <v>4097.773861169815</v>
      </c>
      <c r="AH19" s="733"/>
      <c r="AI19" s="723">
        <v>0.2455665527025878</v>
      </c>
      <c r="AJ19" s="724"/>
    </row>
    <row r="20" spans="2:36" ht="15">
      <c r="B20" s="424"/>
      <c r="C20" s="730" t="s">
        <v>397</v>
      </c>
      <c r="D20" s="730"/>
      <c r="E20" s="730"/>
      <c r="F20" s="730"/>
      <c r="G20" s="730"/>
      <c r="H20" s="730"/>
      <c r="I20" s="730"/>
      <c r="J20" s="730"/>
      <c r="K20" s="731">
        <v>87.18499755859375</v>
      </c>
      <c r="L20" s="731"/>
      <c r="M20" s="731"/>
      <c r="N20" s="732">
        <v>17128.08203125</v>
      </c>
      <c r="O20" s="732"/>
      <c r="P20" s="733">
        <v>11131.4775390625</v>
      </c>
      <c r="Q20" s="733"/>
      <c r="R20" s="731">
        <v>6.457467079162598</v>
      </c>
      <c r="S20" s="731"/>
      <c r="T20" s="731">
        <v>8.719935417175293</v>
      </c>
      <c r="U20" s="731"/>
      <c r="V20" s="723">
        <v>0.649896323403475</v>
      </c>
      <c r="W20" s="723"/>
      <c r="X20" s="733">
        <v>984.2733154296875</v>
      </c>
      <c r="Y20" s="733"/>
      <c r="Z20" s="733"/>
      <c r="AA20" s="723">
        <v>0.057465471827720785</v>
      </c>
      <c r="AB20" s="723"/>
      <c r="AC20" s="733">
        <v>873.3624877929688</v>
      </c>
      <c r="AD20" s="733"/>
      <c r="AE20" s="723">
        <v>0.05099009253923051</v>
      </c>
      <c r="AF20" s="723"/>
      <c r="AG20" s="733">
        <v>4138.959268093109</v>
      </c>
      <c r="AH20" s="733"/>
      <c r="AI20" s="723">
        <v>0.24164756220466616</v>
      </c>
      <c r="AJ20" s="724"/>
    </row>
    <row r="21" spans="2:36" ht="15">
      <c r="B21" s="424"/>
      <c r="C21" s="730" t="s">
        <v>648</v>
      </c>
      <c r="D21" s="730"/>
      <c r="E21" s="730"/>
      <c r="F21" s="730"/>
      <c r="G21" s="730"/>
      <c r="H21" s="730"/>
      <c r="I21" s="730"/>
      <c r="J21" s="730"/>
      <c r="K21" s="731">
        <v>34.11000061035156</v>
      </c>
      <c r="L21" s="731"/>
      <c r="M21" s="731"/>
      <c r="N21" s="732">
        <v>16810.6171875</v>
      </c>
      <c r="O21" s="732"/>
      <c r="P21" s="733">
        <v>11311.83203125</v>
      </c>
      <c r="Q21" s="733"/>
      <c r="R21" s="731">
        <v>5.798882484436035</v>
      </c>
      <c r="S21" s="731"/>
      <c r="T21" s="731">
        <v>10.170994758605957</v>
      </c>
      <c r="U21" s="731"/>
      <c r="V21" s="723">
        <v>0.672898080128862</v>
      </c>
      <c r="W21" s="723"/>
      <c r="X21" s="733">
        <v>763.9293823242188</v>
      </c>
      <c r="Y21" s="733"/>
      <c r="Z21" s="733"/>
      <c r="AA21" s="723">
        <v>0.045443268013518244</v>
      </c>
      <c r="AB21" s="723"/>
      <c r="AC21" s="733">
        <v>770.1646728515625</v>
      </c>
      <c r="AD21" s="733"/>
      <c r="AE21" s="723">
        <v>0.04581418185075559</v>
      </c>
      <c r="AF21" s="723"/>
      <c r="AG21" s="733">
        <v>3964.6928329467773</v>
      </c>
      <c r="AH21" s="733"/>
      <c r="AI21" s="723">
        <v>0.23584457302940873</v>
      </c>
      <c r="AJ21" s="724"/>
    </row>
    <row r="22" spans="2:36" ht="15">
      <c r="B22" s="424"/>
      <c r="C22" s="730" t="s">
        <v>649</v>
      </c>
      <c r="D22" s="730"/>
      <c r="E22" s="730"/>
      <c r="F22" s="730"/>
      <c r="G22" s="730"/>
      <c r="H22" s="730"/>
      <c r="I22" s="730"/>
      <c r="J22" s="730"/>
      <c r="K22" s="731">
        <v>60.314998626708984</v>
      </c>
      <c r="L22" s="731"/>
      <c r="M22" s="731"/>
      <c r="N22" s="732">
        <v>16790.638671875</v>
      </c>
      <c r="O22" s="732"/>
      <c r="P22" s="733">
        <v>10615.8154296875</v>
      </c>
      <c r="Q22" s="733"/>
      <c r="R22" s="731">
        <v>6.153536796569824</v>
      </c>
      <c r="S22" s="731"/>
      <c r="T22" s="731">
        <v>8.776718139648438</v>
      </c>
      <c r="U22" s="731"/>
      <c r="V22" s="723">
        <v>0.6322460769446144</v>
      </c>
      <c r="W22" s="723"/>
      <c r="X22" s="733">
        <v>838.750732421875</v>
      </c>
      <c r="Y22" s="733"/>
      <c r="Z22" s="733"/>
      <c r="AA22" s="723">
        <v>0.0499534740049416</v>
      </c>
      <c r="AB22" s="723"/>
      <c r="AC22" s="733">
        <v>1418.268798828125</v>
      </c>
      <c r="AD22" s="733"/>
      <c r="AE22" s="723">
        <v>0.08446782916029172</v>
      </c>
      <c r="AF22" s="723"/>
      <c r="AG22" s="733">
        <v>3917.8003425598145</v>
      </c>
      <c r="AH22" s="733"/>
      <c r="AI22" s="723">
        <v>0.23333241927969595</v>
      </c>
      <c r="AJ22" s="724"/>
    </row>
    <row r="23" spans="2:36" ht="15">
      <c r="B23" s="424"/>
      <c r="C23" s="730" t="s">
        <v>650</v>
      </c>
      <c r="D23" s="730"/>
      <c r="E23" s="730"/>
      <c r="F23" s="730"/>
      <c r="G23" s="730"/>
      <c r="H23" s="730"/>
      <c r="I23" s="730"/>
      <c r="J23" s="730"/>
      <c r="K23" s="731">
        <v>53.404998779296875</v>
      </c>
      <c r="L23" s="731"/>
      <c r="M23" s="731"/>
      <c r="N23" s="732">
        <v>17266.705078125</v>
      </c>
      <c r="O23" s="732"/>
      <c r="P23" s="733">
        <v>10312.0283203125</v>
      </c>
      <c r="Q23" s="733"/>
      <c r="R23" s="731">
        <v>5.3824543952941895</v>
      </c>
      <c r="S23" s="731"/>
      <c r="T23" s="731">
        <v>10.518327713012695</v>
      </c>
      <c r="U23" s="731"/>
      <c r="V23" s="723">
        <v>0.5972203888150436</v>
      </c>
      <c r="W23" s="723"/>
      <c r="X23" s="733">
        <v>1167.9154052734375</v>
      </c>
      <c r="Y23" s="733"/>
      <c r="Z23" s="733"/>
      <c r="AA23" s="723">
        <v>0.06763973786481456</v>
      </c>
      <c r="AB23" s="723"/>
      <c r="AC23" s="733">
        <v>1641.885009765625</v>
      </c>
      <c r="AD23" s="733"/>
      <c r="AE23" s="723">
        <v>0.09508965389382316</v>
      </c>
      <c r="AF23" s="723"/>
      <c r="AG23" s="733">
        <v>4144.873733520508</v>
      </c>
      <c r="AH23" s="733"/>
      <c r="AI23" s="723">
        <v>0.24005006831162032</v>
      </c>
      <c r="AJ23" s="724"/>
    </row>
    <row r="24" spans="2:36" ht="15">
      <c r="B24" s="424"/>
      <c r="C24" s="730" t="s">
        <v>18</v>
      </c>
      <c r="D24" s="730"/>
      <c r="E24" s="730"/>
      <c r="F24" s="730"/>
      <c r="G24" s="730"/>
      <c r="H24" s="730"/>
      <c r="I24" s="730"/>
      <c r="J24" s="730"/>
      <c r="K24" s="731">
        <v>42.7599983215332</v>
      </c>
      <c r="L24" s="731"/>
      <c r="M24" s="731"/>
      <c r="N24" s="732">
        <v>17578.666015625</v>
      </c>
      <c r="O24" s="732"/>
      <c r="P24" s="733">
        <v>11058.5693359375</v>
      </c>
      <c r="Q24" s="733"/>
      <c r="R24" s="731">
        <v>5.957633018493652</v>
      </c>
      <c r="S24" s="731"/>
      <c r="T24" s="731">
        <v>9.338301658630371</v>
      </c>
      <c r="U24" s="731"/>
      <c r="V24" s="723">
        <v>0.6290903602189133</v>
      </c>
      <c r="W24" s="723"/>
      <c r="X24" s="733">
        <v>1444.177001953125</v>
      </c>
      <c r="Y24" s="733"/>
      <c r="Z24" s="733"/>
      <c r="AA24" s="723">
        <v>0.08215509644869819</v>
      </c>
      <c r="AB24" s="723"/>
      <c r="AC24" s="733">
        <v>1548.8499755859375</v>
      </c>
      <c r="AD24" s="733"/>
      <c r="AE24" s="723">
        <v>0.0881096423476744</v>
      </c>
      <c r="AF24" s="723"/>
      <c r="AG24" s="733">
        <v>3527.0656695365906</v>
      </c>
      <c r="AH24" s="733"/>
      <c r="AI24" s="723">
        <v>0.20064467158096738</v>
      </c>
      <c r="AJ24" s="724"/>
    </row>
    <row r="25" spans="2:36" ht="15">
      <c r="B25" s="424"/>
      <c r="C25" s="730" t="s">
        <v>651</v>
      </c>
      <c r="D25" s="730"/>
      <c r="E25" s="730"/>
      <c r="F25" s="730"/>
      <c r="G25" s="730"/>
      <c r="H25" s="730"/>
      <c r="I25" s="730"/>
      <c r="J25" s="730"/>
      <c r="K25" s="731">
        <v>45.51750183105469</v>
      </c>
      <c r="L25" s="731"/>
      <c r="M25" s="731"/>
      <c r="N25" s="732">
        <v>14722.9638671875</v>
      </c>
      <c r="O25" s="732"/>
      <c r="P25" s="733">
        <v>9899.357421875</v>
      </c>
      <c r="Q25" s="733"/>
      <c r="R25" s="731">
        <v>6.804498672485352</v>
      </c>
      <c r="S25" s="731"/>
      <c r="T25" s="731">
        <v>9.081389427185059</v>
      </c>
      <c r="U25" s="731"/>
      <c r="V25" s="723">
        <v>0.6723753118716345</v>
      </c>
      <c r="W25" s="723"/>
      <c r="X25" s="733">
        <v>686.1924438476562</v>
      </c>
      <c r="Y25" s="733"/>
      <c r="Z25" s="733"/>
      <c r="AA25" s="723">
        <v>0.046606950206333576</v>
      </c>
      <c r="AB25" s="723"/>
      <c r="AC25" s="733">
        <v>638.5393676757812</v>
      </c>
      <c r="AD25" s="733"/>
      <c r="AE25" s="723">
        <v>0.04337030053431492</v>
      </c>
      <c r="AF25" s="723"/>
      <c r="AG25" s="733">
        <v>3498.8740234375</v>
      </c>
      <c r="AH25" s="733"/>
      <c r="AI25" s="723">
        <v>0.2376473959319635</v>
      </c>
      <c r="AJ25" s="724"/>
    </row>
    <row r="26" spans="2:36" ht="15.75" thickBot="1">
      <c r="B26" s="424"/>
      <c r="C26" s="728" t="s">
        <v>350</v>
      </c>
      <c r="D26" s="728"/>
      <c r="E26" s="728"/>
      <c r="F26" s="728"/>
      <c r="G26" s="728"/>
      <c r="H26" s="728"/>
      <c r="I26" s="728"/>
      <c r="J26" s="728"/>
      <c r="K26" s="672">
        <v>35.022499084472656</v>
      </c>
      <c r="L26" s="672"/>
      <c r="M26" s="672"/>
      <c r="N26" s="729">
        <v>17754.716796875</v>
      </c>
      <c r="O26" s="729"/>
      <c r="P26" s="722">
        <v>10483.57421875</v>
      </c>
      <c r="Q26" s="722"/>
      <c r="R26" s="672">
        <v>6.279392719268799</v>
      </c>
      <c r="S26" s="672"/>
      <c r="T26" s="672">
        <v>7.954082489013672</v>
      </c>
      <c r="U26" s="672"/>
      <c r="V26" s="719">
        <v>0.5904669918810087</v>
      </c>
      <c r="W26" s="719"/>
      <c r="X26" s="722">
        <v>1087.62841796875</v>
      </c>
      <c r="Y26" s="722"/>
      <c r="Z26" s="722"/>
      <c r="AA26" s="719">
        <v>0.06125856190283942</v>
      </c>
      <c r="AB26" s="719"/>
      <c r="AC26" s="722">
        <v>2533.36669921875</v>
      </c>
      <c r="AD26" s="722"/>
      <c r="AE26" s="719">
        <v>0.1426869675366856</v>
      </c>
      <c r="AF26" s="719"/>
      <c r="AG26" s="722">
        <v>3650.1531372070312</v>
      </c>
      <c r="AH26" s="722"/>
      <c r="AI26" s="719">
        <v>0.20558779838434219</v>
      </c>
      <c r="AJ26" s="720"/>
    </row>
    <row r="27" spans="2:36" ht="15">
      <c r="B27" s="429"/>
      <c r="C27" s="725" t="s">
        <v>653</v>
      </c>
      <c r="D27" s="726"/>
      <c r="E27" s="726"/>
      <c r="F27" s="726"/>
      <c r="G27" s="726"/>
      <c r="H27" s="726"/>
      <c r="I27" s="726"/>
      <c r="J27" s="726"/>
      <c r="K27" s="727">
        <v>545.0950012207031</v>
      </c>
      <c r="L27" s="727"/>
      <c r="M27" s="727"/>
      <c r="N27" s="727">
        <v>17386.349711941282</v>
      </c>
      <c r="O27" s="727"/>
      <c r="P27" s="671">
        <v>10832.464252606535</v>
      </c>
      <c r="Q27" s="671"/>
      <c r="R27" s="681">
        <v>6.347427106940667</v>
      </c>
      <c r="S27" s="681"/>
      <c r="T27" s="681">
        <v>8.84373525707214</v>
      </c>
      <c r="U27" s="681"/>
      <c r="V27" s="682">
        <v>0.6230441945595163</v>
      </c>
      <c r="W27" s="682"/>
      <c r="X27" s="671">
        <v>1151.0337015242083</v>
      </c>
      <c r="Y27" s="671"/>
      <c r="Z27" s="671"/>
      <c r="AA27" s="682">
        <v>0.06620329859888048</v>
      </c>
      <c r="AB27" s="682"/>
      <c r="AC27" s="671">
        <v>1275.2383633804527</v>
      </c>
      <c r="AD27" s="671"/>
      <c r="AE27" s="682">
        <v>0.07334710186489544</v>
      </c>
      <c r="AF27" s="682"/>
      <c r="AG27" s="671">
        <v>4127.609721790212</v>
      </c>
      <c r="AH27" s="671"/>
      <c r="AI27" s="682">
        <v>0.23740519373973532</v>
      </c>
      <c r="AJ27" s="721"/>
    </row>
    <row r="28" spans="2:36" ht="15.75" thickBot="1">
      <c r="B28" s="430"/>
      <c r="C28" s="673" t="s">
        <v>654</v>
      </c>
      <c r="D28" s="707"/>
      <c r="E28" s="707"/>
      <c r="F28" s="707"/>
      <c r="G28" s="707"/>
      <c r="H28" s="707"/>
      <c r="I28" s="707"/>
      <c r="J28" s="707"/>
      <c r="K28" s="708">
        <v>403.44749450683594</v>
      </c>
      <c r="L28" s="708"/>
      <c r="M28" s="708"/>
      <c r="N28" s="708">
        <v>16850.60752140987</v>
      </c>
      <c r="O28" s="708"/>
      <c r="P28" s="688">
        <v>10624.112074264458</v>
      </c>
      <c r="Q28" s="688"/>
      <c r="R28" s="691">
        <v>6.086960995403441</v>
      </c>
      <c r="S28" s="691"/>
      <c r="T28" s="691">
        <v>9.087157197070344</v>
      </c>
      <c r="U28" s="691"/>
      <c r="V28" s="689">
        <v>0.6304883702718601</v>
      </c>
      <c r="W28" s="689"/>
      <c r="X28" s="688">
        <v>1000.9694376500964</v>
      </c>
      <c r="Y28" s="688"/>
      <c r="Z28" s="688"/>
      <c r="AA28" s="689">
        <v>0.05940257265966791</v>
      </c>
      <c r="AB28" s="689"/>
      <c r="AC28" s="688">
        <v>1317.6864191912068</v>
      </c>
      <c r="AD28" s="688"/>
      <c r="AE28" s="689">
        <v>0.0781981550230159</v>
      </c>
      <c r="AF28" s="689"/>
      <c r="AG28" s="688">
        <v>3907.8381657702507</v>
      </c>
      <c r="AH28" s="688"/>
      <c r="AI28" s="689">
        <v>0.2319108175064353</v>
      </c>
      <c r="AJ28" s="690"/>
    </row>
    <row r="29" spans="2:36" ht="17.25" customHeight="1" thickBot="1">
      <c r="B29" s="492"/>
      <c r="C29" s="749" t="s">
        <v>113</v>
      </c>
      <c r="D29" s="750"/>
      <c r="E29" s="750"/>
      <c r="F29" s="750"/>
      <c r="G29" s="751"/>
      <c r="H29" s="493"/>
      <c r="I29" s="493"/>
      <c r="J29" s="493"/>
      <c r="K29" s="686">
        <f>'[3]rozbor_mzdy_dle_skupiny_zamestn'!$K$23:$M$23</f>
        <v>11.5</v>
      </c>
      <c r="L29" s="706"/>
      <c r="M29" s="706"/>
      <c r="N29" s="687">
        <f>'[3]rozbor_mzdy_dle_skupiny_zamestn'!$N$23:$O$23</f>
        <v>25285.056640625</v>
      </c>
      <c r="O29" s="687"/>
      <c r="P29" s="704">
        <f>'[3]rozbor_mzdy_dle_skupiny_zamestn'!$P$23:$Q$23</f>
        <v>16861.73828125</v>
      </c>
      <c r="Q29" s="704"/>
      <c r="R29" s="706">
        <f>'[3]rozbor_mzdy_dle_skupiny_zamestn'!$R$23:$S$23</f>
        <v>11.067065238952637</v>
      </c>
      <c r="S29" s="706"/>
      <c r="T29" s="706">
        <f>'[3]rozbor_mzdy_dle_skupiny_zamestn'!$T$23:$U$23</f>
        <v>8.828304290771484</v>
      </c>
      <c r="U29" s="706"/>
      <c r="V29" s="705">
        <f>'[3]rozbor_mzdy_dle_skupiny_zamestn'!$V$23:$W$23</f>
        <v>0.6668657508229022</v>
      </c>
      <c r="W29" s="705"/>
      <c r="X29" s="704">
        <f>'[3]rozbor_mzdy_dle_skupiny_zamestn'!$X$23:$Z$23</f>
        <v>2494.0419921875</v>
      </c>
      <c r="Y29" s="704"/>
      <c r="Z29" s="704"/>
      <c r="AA29" s="705">
        <f>'[3]rozbor_mzdy_dle_skupiny_zamestn'!$AA$23:$AB$23</f>
        <v>0.09863699447603262</v>
      </c>
      <c r="AB29" s="705"/>
      <c r="AC29" s="704">
        <f>'[3]rozbor_mzdy_dle_skupiny_zamestn'!$AC$23:$AD$23</f>
        <v>1934.868408203125</v>
      </c>
      <c r="AD29" s="704"/>
      <c r="AE29" s="705">
        <f>'[3]rozbor_mzdy_dle_skupiny_zamestn'!$AE$23:$AF$23</f>
        <v>0.07652220976615928</v>
      </c>
      <c r="AF29" s="705"/>
      <c r="AG29" s="704">
        <f>'[3]rozbor_mzdy_dle_skupiny_zamestn'!$AG$23:$AH$23</f>
        <v>3994.4053835868835</v>
      </c>
      <c r="AH29" s="704"/>
      <c r="AI29" s="491">
        <f>'[3]rozbor_mzdy_dle_skupiny_zamestn'!$AI$23:$AJ$23</f>
        <v>0.1579749430803786</v>
      </c>
      <c r="AJ29" s="494"/>
    </row>
    <row r="30" spans="20:31" ht="13.5" thickBot="1">
      <c r="T30" s="452" t="s">
        <v>118</v>
      </c>
      <c r="AE30" s="447"/>
    </row>
    <row r="31" spans="3:31" ht="13.5" thickBot="1">
      <c r="C31" s="752"/>
      <c r="D31" s="753"/>
      <c r="E31" s="753"/>
      <c r="F31" s="753"/>
      <c r="G31" s="754"/>
      <c r="K31" s="773" t="s">
        <v>133</v>
      </c>
      <c r="L31" s="774"/>
      <c r="M31" s="774"/>
      <c r="N31" s="774"/>
      <c r="O31" s="774"/>
      <c r="P31" s="774"/>
      <c r="Q31" s="774"/>
      <c r="R31" s="774"/>
      <c r="S31" s="774"/>
      <c r="T31" s="775"/>
      <c r="V31" s="773" t="s">
        <v>120</v>
      </c>
      <c r="W31" s="774"/>
      <c r="X31" s="774"/>
      <c r="Y31" s="774"/>
      <c r="Z31" s="774"/>
      <c r="AA31" s="774"/>
      <c r="AB31" s="774"/>
      <c r="AC31" s="774"/>
      <c r="AD31" s="774"/>
      <c r="AE31" s="775"/>
    </row>
    <row r="32" spans="3:31" ht="13.5" thickBot="1">
      <c r="C32" s="755"/>
      <c r="D32" s="756"/>
      <c r="E32" s="756"/>
      <c r="F32" s="756"/>
      <c r="G32" s="757"/>
      <c r="K32" s="465" t="s">
        <v>114</v>
      </c>
      <c r="L32" s="466" t="s">
        <v>115</v>
      </c>
      <c r="M32" s="466" t="s">
        <v>114</v>
      </c>
      <c r="N32" s="466" t="s">
        <v>115</v>
      </c>
      <c r="O32" s="466"/>
      <c r="P32" s="466">
        <v>2005</v>
      </c>
      <c r="Q32" s="466"/>
      <c r="R32" s="466">
        <v>2006</v>
      </c>
      <c r="S32" s="466"/>
      <c r="T32" s="467">
        <v>2007</v>
      </c>
      <c r="U32" s="464"/>
      <c r="V32" s="462" t="s">
        <v>114</v>
      </c>
      <c r="W32" s="456" t="s">
        <v>115</v>
      </c>
      <c r="X32" s="456">
        <v>2004</v>
      </c>
      <c r="Y32" s="456" t="s">
        <v>115</v>
      </c>
      <c r="Z32" s="456"/>
      <c r="AA32" s="456">
        <v>2005</v>
      </c>
      <c r="AB32" s="456"/>
      <c r="AC32" s="456">
        <v>2006</v>
      </c>
      <c r="AD32" s="456"/>
      <c r="AE32" s="463">
        <v>2007</v>
      </c>
    </row>
    <row r="33" spans="3:31" ht="12.75">
      <c r="C33" s="760" t="s">
        <v>637</v>
      </c>
      <c r="D33" s="761"/>
      <c r="E33" s="761"/>
      <c r="F33" s="761"/>
      <c r="G33" s="762"/>
      <c r="K33" s="453">
        <v>15587.68</v>
      </c>
      <c r="L33" s="454">
        <v>16109.01</v>
      </c>
      <c r="M33" s="454">
        <v>15587.68</v>
      </c>
      <c r="N33" s="454">
        <v>16109.01</v>
      </c>
      <c r="O33" s="454"/>
      <c r="P33" s="770">
        <v>16640.58</v>
      </c>
      <c r="Q33" s="770"/>
      <c r="R33" s="454">
        <v>17868.03</v>
      </c>
      <c r="S33" s="454"/>
      <c r="T33" s="455">
        <v>18912.28</v>
      </c>
      <c r="U33" s="448"/>
      <c r="V33" s="458">
        <v>143.51</v>
      </c>
      <c r="W33" s="446"/>
      <c r="X33" s="446">
        <v>143.06</v>
      </c>
      <c r="Y33" s="446"/>
      <c r="Z33" s="446"/>
      <c r="AA33" s="766">
        <v>143.03125</v>
      </c>
      <c r="AB33" s="766"/>
      <c r="AC33" s="446">
        <v>142.0399932861328</v>
      </c>
      <c r="AD33" s="446"/>
      <c r="AE33" s="459">
        <v>141.6475067138672</v>
      </c>
    </row>
    <row r="34" spans="3:31" ht="12.75">
      <c r="C34" s="763" t="s">
        <v>638</v>
      </c>
      <c r="D34" s="764"/>
      <c r="E34" s="764"/>
      <c r="F34" s="764"/>
      <c r="G34" s="765"/>
      <c r="K34" s="449">
        <v>12982.62</v>
      </c>
      <c r="L34" s="450">
        <v>13430.59</v>
      </c>
      <c r="M34" s="450">
        <v>12982.62</v>
      </c>
      <c r="N34" s="450">
        <v>13430.59</v>
      </c>
      <c r="O34" s="450"/>
      <c r="P34" s="759">
        <v>14212.43</v>
      </c>
      <c r="Q34" s="759"/>
      <c r="R34" s="450">
        <v>14883.34</v>
      </c>
      <c r="S34" s="450"/>
      <c r="T34" s="451">
        <v>16364.93</v>
      </c>
      <c r="U34" s="448"/>
      <c r="V34" s="460">
        <v>80.8</v>
      </c>
      <c r="W34" s="457"/>
      <c r="X34" s="457">
        <v>87.25</v>
      </c>
      <c r="Y34" s="457"/>
      <c r="Z34" s="457"/>
      <c r="AA34" s="758">
        <v>88.07250213623047</v>
      </c>
      <c r="AB34" s="758"/>
      <c r="AC34" s="457">
        <v>92.11499786376953</v>
      </c>
      <c r="AD34" s="457"/>
      <c r="AE34" s="461">
        <v>92.15249633789062</v>
      </c>
    </row>
    <row r="35" spans="3:31" ht="12.75">
      <c r="C35" s="763" t="s">
        <v>639</v>
      </c>
      <c r="D35" s="764"/>
      <c r="E35" s="764"/>
      <c r="F35" s="764"/>
      <c r="G35" s="765"/>
      <c r="K35" s="449">
        <v>10386.36</v>
      </c>
      <c r="L35" s="450">
        <v>12643.05</v>
      </c>
      <c r="M35" s="450">
        <v>10386.36</v>
      </c>
      <c r="N35" s="450">
        <v>12643.05</v>
      </c>
      <c r="O35" s="450"/>
      <c r="P35" s="759">
        <v>14060.22</v>
      </c>
      <c r="Q35" s="759"/>
      <c r="R35" s="450">
        <v>15188.44</v>
      </c>
      <c r="S35" s="450"/>
      <c r="T35" s="451">
        <v>16160.77</v>
      </c>
      <c r="U35" s="448"/>
      <c r="V35" s="460">
        <v>16.5</v>
      </c>
      <c r="W35" s="457"/>
      <c r="X35" s="457">
        <v>17.3</v>
      </c>
      <c r="Y35" s="457"/>
      <c r="Z35" s="457"/>
      <c r="AA35" s="758">
        <v>18.5</v>
      </c>
      <c r="AB35" s="758"/>
      <c r="AC35" s="457">
        <v>18.825000762939453</v>
      </c>
      <c r="AD35" s="457"/>
      <c r="AE35" s="461">
        <v>19.149999618530273</v>
      </c>
    </row>
    <row r="36" spans="3:31" ht="12.75">
      <c r="C36" s="763" t="s">
        <v>640</v>
      </c>
      <c r="D36" s="764"/>
      <c r="E36" s="764"/>
      <c r="F36" s="764"/>
      <c r="G36" s="765"/>
      <c r="K36" s="449">
        <v>12834.7</v>
      </c>
      <c r="L36" s="450">
        <v>11115.73</v>
      </c>
      <c r="M36" s="450">
        <v>12834.7</v>
      </c>
      <c r="N36" s="450">
        <v>11115.73</v>
      </c>
      <c r="O36" s="450"/>
      <c r="P36" s="759">
        <v>12085.43</v>
      </c>
      <c r="Q36" s="759"/>
      <c r="R36" s="450">
        <v>13172.29</v>
      </c>
      <c r="S36" s="450"/>
      <c r="T36" s="451">
        <v>14779.85</v>
      </c>
      <c r="U36" s="448"/>
      <c r="V36" s="460">
        <v>31.1</v>
      </c>
      <c r="W36" s="457"/>
      <c r="X36" s="457">
        <v>34.75</v>
      </c>
      <c r="Y36" s="457"/>
      <c r="Z36" s="457"/>
      <c r="AA36" s="758">
        <v>34.76499938964844</v>
      </c>
      <c r="AB36" s="758"/>
      <c r="AC36" s="457">
        <v>34.244998931884766</v>
      </c>
      <c r="AD36" s="457"/>
      <c r="AE36" s="461">
        <v>36.787498474121094</v>
      </c>
    </row>
    <row r="37" spans="3:31" ht="12.75">
      <c r="C37" s="763" t="s">
        <v>513</v>
      </c>
      <c r="D37" s="764"/>
      <c r="E37" s="764"/>
      <c r="F37" s="764"/>
      <c r="G37" s="765"/>
      <c r="K37" s="449">
        <v>13235.6</v>
      </c>
      <c r="L37" s="450">
        <v>13623.46</v>
      </c>
      <c r="M37" s="450">
        <v>13235.6</v>
      </c>
      <c r="N37" s="450">
        <v>13623.46</v>
      </c>
      <c r="O37" s="450"/>
      <c r="P37" s="759">
        <v>14219.6</v>
      </c>
      <c r="Q37" s="759"/>
      <c r="R37" s="450">
        <v>15358.03</v>
      </c>
      <c r="S37" s="450"/>
      <c r="T37" s="451">
        <v>16655.73</v>
      </c>
      <c r="U37" s="448"/>
      <c r="V37" s="460">
        <v>27.6</v>
      </c>
      <c r="W37" s="457"/>
      <c r="X37" s="457">
        <v>27.8</v>
      </c>
      <c r="Y37" s="457"/>
      <c r="Z37" s="457"/>
      <c r="AA37" s="758">
        <v>29.100000381469727</v>
      </c>
      <c r="AB37" s="758"/>
      <c r="AC37" s="457">
        <v>29.447500228881836</v>
      </c>
      <c r="AD37" s="457"/>
      <c r="AE37" s="461">
        <v>31.602500915527344</v>
      </c>
    </row>
    <row r="38" spans="3:31" ht="12.75">
      <c r="C38" s="763" t="s">
        <v>116</v>
      </c>
      <c r="D38" s="764"/>
      <c r="E38" s="764"/>
      <c r="F38" s="764"/>
      <c r="G38" s="765"/>
      <c r="K38" s="449">
        <v>12297.96</v>
      </c>
      <c r="L38" s="450">
        <v>12834.39</v>
      </c>
      <c r="M38" s="450">
        <v>12297.96</v>
      </c>
      <c r="N38" s="450">
        <v>12834.39</v>
      </c>
      <c r="O38" s="450"/>
      <c r="P38" s="759">
        <v>13879.92</v>
      </c>
      <c r="Q38" s="759"/>
      <c r="R38" s="450">
        <v>13656.88</v>
      </c>
      <c r="S38" s="450"/>
      <c r="T38" s="451"/>
      <c r="U38" s="448"/>
      <c r="V38" s="460">
        <v>50</v>
      </c>
      <c r="W38" s="457"/>
      <c r="X38" s="457">
        <v>49</v>
      </c>
      <c r="Y38" s="457"/>
      <c r="Z38" s="457"/>
      <c r="AA38" s="758">
        <v>51.8650016784668</v>
      </c>
      <c r="AB38" s="758"/>
      <c r="AC38" s="457">
        <v>25.229999542236328</v>
      </c>
      <c r="AD38" s="457"/>
      <c r="AE38" s="461"/>
    </row>
    <row r="39" spans="3:31" ht="12.75">
      <c r="C39" s="763" t="s">
        <v>117</v>
      </c>
      <c r="D39" s="764"/>
      <c r="E39" s="764"/>
      <c r="F39" s="764"/>
      <c r="G39" s="765"/>
      <c r="K39" s="449">
        <v>13553.37</v>
      </c>
      <c r="L39" s="450">
        <v>12554.06</v>
      </c>
      <c r="M39" s="450">
        <v>13553.37</v>
      </c>
      <c r="N39" s="450">
        <v>12554.06</v>
      </c>
      <c r="O39" s="450"/>
      <c r="P39" s="759">
        <v>12843.5</v>
      </c>
      <c r="Q39" s="759"/>
      <c r="R39" s="450">
        <v>13372.52</v>
      </c>
      <c r="S39" s="450"/>
      <c r="T39" s="451"/>
      <c r="U39" s="448"/>
      <c r="V39" s="460">
        <v>46</v>
      </c>
      <c r="W39" s="457"/>
      <c r="X39" s="457">
        <v>50</v>
      </c>
      <c r="Y39" s="457"/>
      <c r="Z39" s="457"/>
      <c r="AA39" s="758">
        <v>49.5</v>
      </c>
      <c r="AB39" s="758"/>
      <c r="AC39" s="457">
        <v>23.25</v>
      </c>
      <c r="AD39" s="457"/>
      <c r="AE39" s="461"/>
    </row>
    <row r="40" spans="3:31" ht="12.75">
      <c r="C40" s="763" t="s">
        <v>641</v>
      </c>
      <c r="D40" s="764"/>
      <c r="E40" s="764"/>
      <c r="F40" s="764"/>
      <c r="G40" s="765"/>
      <c r="K40" s="449">
        <v>13149.73</v>
      </c>
      <c r="L40" s="450">
        <v>12231.03</v>
      </c>
      <c r="M40" s="450">
        <v>13149.73</v>
      </c>
      <c r="N40" s="450">
        <v>12231.03</v>
      </c>
      <c r="O40" s="450"/>
      <c r="P40" s="759">
        <v>12902.93</v>
      </c>
      <c r="Q40" s="759"/>
      <c r="R40" s="450">
        <v>14613.61</v>
      </c>
      <c r="S40" s="450"/>
      <c r="T40" s="451">
        <v>15774.19</v>
      </c>
      <c r="U40" s="448"/>
      <c r="V40" s="460">
        <v>57.4</v>
      </c>
      <c r="W40" s="457"/>
      <c r="X40" s="457">
        <v>58.885</v>
      </c>
      <c r="Y40" s="457"/>
      <c r="Z40" s="457"/>
      <c r="AA40" s="758">
        <v>58.00749969482422</v>
      </c>
      <c r="AB40" s="758"/>
      <c r="AC40" s="457">
        <v>55.584999084472656</v>
      </c>
      <c r="AD40" s="457"/>
      <c r="AE40" s="461">
        <v>58.75749969482422</v>
      </c>
    </row>
    <row r="41" spans="3:31" ht="12.75">
      <c r="C41" s="763" t="s">
        <v>642</v>
      </c>
      <c r="D41" s="764"/>
      <c r="E41" s="764"/>
      <c r="F41" s="764"/>
      <c r="G41" s="765"/>
      <c r="K41" s="449">
        <v>13968.27</v>
      </c>
      <c r="L41" s="450">
        <v>14323.11</v>
      </c>
      <c r="M41" s="450">
        <v>13968.27</v>
      </c>
      <c r="N41" s="450">
        <v>14323.11</v>
      </c>
      <c r="O41" s="450"/>
      <c r="P41" s="759">
        <v>14137.94</v>
      </c>
      <c r="Q41" s="759"/>
      <c r="R41" s="450">
        <v>16434.09</v>
      </c>
      <c r="S41" s="450"/>
      <c r="T41" s="451">
        <v>18405.56</v>
      </c>
      <c r="U41" s="448"/>
      <c r="V41" s="460">
        <v>55</v>
      </c>
      <c r="W41" s="457"/>
      <c r="X41" s="457">
        <v>55.1</v>
      </c>
      <c r="Y41" s="457"/>
      <c r="Z41" s="457"/>
      <c r="AA41" s="758">
        <v>56.59000015258789</v>
      </c>
      <c r="AB41" s="758"/>
      <c r="AC41" s="457">
        <v>56.67499923706055</v>
      </c>
      <c r="AD41" s="457"/>
      <c r="AE41" s="461">
        <v>57.852500915527344</v>
      </c>
    </row>
    <row r="42" spans="3:31" ht="12.75">
      <c r="C42" s="763" t="s">
        <v>361</v>
      </c>
      <c r="D42" s="764"/>
      <c r="E42" s="764"/>
      <c r="F42" s="764"/>
      <c r="G42" s="765"/>
      <c r="K42" s="449">
        <v>15016.28</v>
      </c>
      <c r="L42" s="450">
        <v>14511.23</v>
      </c>
      <c r="M42" s="450">
        <v>15016.28</v>
      </c>
      <c r="N42" s="450">
        <v>14511.23</v>
      </c>
      <c r="O42" s="450"/>
      <c r="P42" s="759">
        <v>13598.06</v>
      </c>
      <c r="Q42" s="759"/>
      <c r="R42" s="450">
        <v>15996.61</v>
      </c>
      <c r="S42" s="450"/>
      <c r="T42" s="451">
        <v>17068.69</v>
      </c>
      <c r="U42" s="448"/>
      <c r="V42" s="460">
        <v>32.1</v>
      </c>
      <c r="W42" s="457"/>
      <c r="X42" s="457">
        <v>33.85</v>
      </c>
      <c r="Y42" s="457"/>
      <c r="Z42" s="457"/>
      <c r="AA42" s="758">
        <v>35.787498474121094</v>
      </c>
      <c r="AB42" s="758"/>
      <c r="AC42" s="457">
        <v>35.8125</v>
      </c>
      <c r="AD42" s="457"/>
      <c r="AE42" s="461">
        <v>37.875</v>
      </c>
    </row>
    <row r="43" spans="3:31" ht="12.75">
      <c r="C43" s="763" t="s">
        <v>643</v>
      </c>
      <c r="D43" s="764"/>
      <c r="E43" s="764"/>
      <c r="F43" s="764"/>
      <c r="G43" s="765"/>
      <c r="K43" s="449">
        <v>12892.07</v>
      </c>
      <c r="L43" s="450">
        <v>12292.96</v>
      </c>
      <c r="M43" s="450">
        <v>12892.07</v>
      </c>
      <c r="N43" s="450">
        <v>12292.96</v>
      </c>
      <c r="O43" s="450"/>
      <c r="P43" s="759">
        <v>14242.24</v>
      </c>
      <c r="Q43" s="759"/>
      <c r="R43" s="450">
        <v>14944.72</v>
      </c>
      <c r="S43" s="450"/>
      <c r="T43" s="451">
        <v>15565.45</v>
      </c>
      <c r="U43" s="448"/>
      <c r="V43" s="460">
        <v>62.142</v>
      </c>
      <c r="W43" s="457"/>
      <c r="X43" s="457">
        <v>68.04</v>
      </c>
      <c r="Y43" s="457"/>
      <c r="Z43" s="457"/>
      <c r="AA43" s="758">
        <v>69.73500061035156</v>
      </c>
      <c r="AB43" s="758"/>
      <c r="AC43" s="457">
        <v>73.24500274658203</v>
      </c>
      <c r="AD43" s="457"/>
      <c r="AE43" s="461">
        <v>82.70999908447266</v>
      </c>
    </row>
    <row r="44" spans="3:31" ht="12.75">
      <c r="C44" s="763" t="s">
        <v>644</v>
      </c>
      <c r="D44" s="764"/>
      <c r="E44" s="764"/>
      <c r="F44" s="764"/>
      <c r="G44" s="765"/>
      <c r="K44" s="449">
        <v>12455.12</v>
      </c>
      <c r="L44" s="450">
        <v>12558.18</v>
      </c>
      <c r="M44" s="450">
        <v>12455.12</v>
      </c>
      <c r="N44" s="450">
        <v>12558.18</v>
      </c>
      <c r="O44" s="450"/>
      <c r="P44" s="759">
        <v>12735.34</v>
      </c>
      <c r="Q44" s="759"/>
      <c r="R44" s="450">
        <v>13450.27</v>
      </c>
      <c r="S44" s="450"/>
      <c r="T44" s="451">
        <v>14947.19</v>
      </c>
      <c r="U44" s="448"/>
      <c r="V44" s="460">
        <v>51</v>
      </c>
      <c r="W44" s="457"/>
      <c r="X44" s="457">
        <v>51</v>
      </c>
      <c r="Y44" s="457"/>
      <c r="Z44" s="457"/>
      <c r="AA44" s="758">
        <v>52.157501220703125</v>
      </c>
      <c r="AB44" s="758"/>
      <c r="AC44" s="457">
        <v>51.22249984741211</v>
      </c>
      <c r="AD44" s="457"/>
      <c r="AE44" s="461">
        <v>51.435001373291016</v>
      </c>
    </row>
    <row r="45" spans="3:31" ht="12.75">
      <c r="C45" s="763" t="s">
        <v>645</v>
      </c>
      <c r="D45" s="764"/>
      <c r="E45" s="764"/>
      <c r="F45" s="764"/>
      <c r="G45" s="765"/>
      <c r="K45" s="449">
        <v>12629.71</v>
      </c>
      <c r="L45" s="450">
        <v>11312.73</v>
      </c>
      <c r="M45" s="450">
        <v>12629.71</v>
      </c>
      <c r="N45" s="450">
        <v>11312.73</v>
      </c>
      <c r="O45" s="450"/>
      <c r="P45" s="759">
        <v>13991.65</v>
      </c>
      <c r="Q45" s="759"/>
      <c r="R45" s="450">
        <v>14423.57</v>
      </c>
      <c r="S45" s="450"/>
      <c r="T45" s="451">
        <v>16588.96</v>
      </c>
      <c r="U45" s="448"/>
      <c r="V45" s="460">
        <v>95.9</v>
      </c>
      <c r="W45" s="457"/>
      <c r="X45" s="457">
        <v>103.51</v>
      </c>
      <c r="Y45" s="457"/>
      <c r="Z45" s="457"/>
      <c r="AA45" s="758">
        <v>100.62249755859375</v>
      </c>
      <c r="AB45" s="758"/>
      <c r="AC45" s="457">
        <v>98.1624984741211</v>
      </c>
      <c r="AD45" s="457"/>
      <c r="AE45" s="461">
        <v>97.4749984741211</v>
      </c>
    </row>
    <row r="46" spans="3:31" ht="12.75">
      <c r="C46" s="763" t="s">
        <v>647</v>
      </c>
      <c r="D46" s="764"/>
      <c r="E46" s="764"/>
      <c r="F46" s="764"/>
      <c r="G46" s="765"/>
      <c r="K46" s="449">
        <v>12443.09</v>
      </c>
      <c r="L46" s="450">
        <v>12018.06</v>
      </c>
      <c r="M46" s="450">
        <v>12443.09</v>
      </c>
      <c r="N46" s="450">
        <v>12018.06</v>
      </c>
      <c r="O46" s="450"/>
      <c r="P46" s="759">
        <v>13491.33</v>
      </c>
      <c r="Q46" s="759"/>
      <c r="R46" s="450">
        <v>14993.43</v>
      </c>
      <c r="S46" s="450"/>
      <c r="T46" s="451">
        <v>16836.1</v>
      </c>
      <c r="U46" s="448"/>
      <c r="V46" s="460">
        <v>81.25200000000001</v>
      </c>
      <c r="W46" s="457"/>
      <c r="X46" s="457">
        <v>86.064</v>
      </c>
      <c r="Y46" s="457"/>
      <c r="Z46" s="457"/>
      <c r="AA46" s="758">
        <v>81.36849975585938</v>
      </c>
      <c r="AB46" s="758"/>
      <c r="AC46" s="457">
        <v>84.0374984741211</v>
      </c>
      <c r="AD46" s="457"/>
      <c r="AE46" s="461">
        <v>88.94499969482422</v>
      </c>
    </row>
    <row r="47" spans="3:31" ht="12.75">
      <c r="C47" s="763" t="s">
        <v>62</v>
      </c>
      <c r="D47" s="764"/>
      <c r="E47" s="764"/>
      <c r="F47" s="764"/>
      <c r="G47" s="765"/>
      <c r="K47" s="449">
        <v>18422.88</v>
      </c>
      <c r="L47" s="450">
        <v>19674.83</v>
      </c>
      <c r="M47" s="450">
        <v>18422.88</v>
      </c>
      <c r="N47" s="450">
        <v>19674.83</v>
      </c>
      <c r="O47" s="450"/>
      <c r="P47" s="759">
        <v>21702.86</v>
      </c>
      <c r="Q47" s="759"/>
      <c r="R47" s="450">
        <v>24349.25</v>
      </c>
      <c r="S47" s="450"/>
      <c r="T47" s="451">
        <v>25285.06</v>
      </c>
      <c r="U47" s="448"/>
      <c r="V47" s="460">
        <v>10</v>
      </c>
      <c r="W47" s="457"/>
      <c r="X47" s="457">
        <v>10</v>
      </c>
      <c r="Y47" s="457"/>
      <c r="Z47" s="457"/>
      <c r="AA47" s="758">
        <v>10.375</v>
      </c>
      <c r="AB47" s="758"/>
      <c r="AC47" s="457">
        <v>9.989999771118164</v>
      </c>
      <c r="AD47" s="457"/>
      <c r="AE47" s="461">
        <v>11.5</v>
      </c>
    </row>
    <row r="48" spans="3:31" ht="12.75">
      <c r="C48" s="763" t="s">
        <v>343</v>
      </c>
      <c r="D48" s="764"/>
      <c r="E48" s="764"/>
      <c r="F48" s="764"/>
      <c r="G48" s="765"/>
      <c r="K48" s="449">
        <v>12767.54</v>
      </c>
      <c r="L48" s="450">
        <v>15308.38</v>
      </c>
      <c r="M48" s="450">
        <v>12767.54</v>
      </c>
      <c r="N48" s="450">
        <v>15308.38</v>
      </c>
      <c r="O48" s="450"/>
      <c r="P48" s="759">
        <v>13241.85</v>
      </c>
      <c r="Q48" s="759"/>
      <c r="R48" s="450">
        <v>14102.37</v>
      </c>
      <c r="S48" s="450"/>
      <c r="T48" s="451">
        <v>16687.02</v>
      </c>
      <c r="U48" s="448"/>
      <c r="V48" s="460">
        <v>46</v>
      </c>
      <c r="W48" s="457"/>
      <c r="X48" s="457">
        <v>45.95</v>
      </c>
      <c r="Y48" s="457"/>
      <c r="Z48" s="457"/>
      <c r="AA48" s="758">
        <v>47.666751861572266</v>
      </c>
      <c r="AB48" s="758"/>
      <c r="AC48" s="457">
        <v>46.65999984741211</v>
      </c>
      <c r="AD48" s="457"/>
      <c r="AE48" s="461">
        <v>45.13249969482422</v>
      </c>
    </row>
    <row r="49" spans="3:31" ht="12.75">
      <c r="C49" s="763" t="s">
        <v>397</v>
      </c>
      <c r="D49" s="764"/>
      <c r="E49" s="764"/>
      <c r="F49" s="764"/>
      <c r="G49" s="765"/>
      <c r="K49" s="449">
        <v>13038.94</v>
      </c>
      <c r="L49" s="450">
        <v>13303.9</v>
      </c>
      <c r="M49" s="450">
        <v>13038.94</v>
      </c>
      <c r="N49" s="450">
        <v>13303.9</v>
      </c>
      <c r="O49" s="450"/>
      <c r="P49" s="759">
        <v>13948.92</v>
      </c>
      <c r="Q49" s="759"/>
      <c r="R49" s="450">
        <v>15396.71</v>
      </c>
      <c r="S49" s="450"/>
      <c r="T49" s="451">
        <v>17128.08</v>
      </c>
      <c r="U49" s="448"/>
      <c r="V49" s="460">
        <v>78.5</v>
      </c>
      <c r="W49" s="457"/>
      <c r="X49" s="457">
        <v>82.38</v>
      </c>
      <c r="Y49" s="457"/>
      <c r="Z49" s="457"/>
      <c r="AA49" s="758">
        <v>82.4677505493164</v>
      </c>
      <c r="AB49" s="758"/>
      <c r="AC49" s="457">
        <v>83.6875</v>
      </c>
      <c r="AD49" s="457"/>
      <c r="AE49" s="461">
        <v>87.18499755859375</v>
      </c>
    </row>
    <row r="50" spans="3:31" ht="12.75">
      <c r="C50" s="763" t="s">
        <v>648</v>
      </c>
      <c r="D50" s="764"/>
      <c r="E50" s="764"/>
      <c r="F50" s="764"/>
      <c r="G50" s="765"/>
      <c r="K50" s="449">
        <v>14439.44</v>
      </c>
      <c r="L50" s="450">
        <v>14745.26</v>
      </c>
      <c r="M50" s="450">
        <v>14439.44</v>
      </c>
      <c r="N50" s="450">
        <v>14745.26</v>
      </c>
      <c r="O50" s="450"/>
      <c r="P50" s="759">
        <v>15542.72</v>
      </c>
      <c r="Q50" s="759"/>
      <c r="R50" s="450">
        <v>17436.82</v>
      </c>
      <c r="S50" s="450"/>
      <c r="T50" s="451">
        <v>16810.62</v>
      </c>
      <c r="U50" s="448"/>
      <c r="V50" s="460">
        <v>32</v>
      </c>
      <c r="W50" s="457"/>
      <c r="X50" s="457">
        <v>34</v>
      </c>
      <c r="Y50" s="457"/>
      <c r="Z50" s="457"/>
      <c r="AA50" s="758">
        <v>33.25</v>
      </c>
      <c r="AB50" s="758"/>
      <c r="AC50" s="457">
        <v>32.125</v>
      </c>
      <c r="AD50" s="457"/>
      <c r="AE50" s="461">
        <v>34.11000061035156</v>
      </c>
    </row>
    <row r="51" spans="3:31" ht="12.75">
      <c r="C51" s="763" t="s">
        <v>649</v>
      </c>
      <c r="D51" s="764"/>
      <c r="E51" s="764"/>
      <c r="F51" s="764"/>
      <c r="G51" s="765"/>
      <c r="K51" s="449">
        <v>12853.69</v>
      </c>
      <c r="L51" s="450">
        <v>13385.35</v>
      </c>
      <c r="M51" s="450">
        <v>12853.69</v>
      </c>
      <c r="N51" s="450">
        <v>13385.35</v>
      </c>
      <c r="O51" s="450"/>
      <c r="P51" s="759">
        <v>14283.53</v>
      </c>
      <c r="Q51" s="759"/>
      <c r="R51" s="450">
        <v>15012.57</v>
      </c>
      <c r="S51" s="450"/>
      <c r="T51" s="451">
        <v>16790.64</v>
      </c>
      <c r="U51" s="448"/>
      <c r="V51" s="460">
        <v>59.6</v>
      </c>
      <c r="W51" s="457"/>
      <c r="X51" s="457">
        <v>58.5</v>
      </c>
      <c r="Y51" s="457"/>
      <c r="Z51" s="457"/>
      <c r="AA51" s="758">
        <v>59.275001525878906</v>
      </c>
      <c r="AB51" s="758"/>
      <c r="AC51" s="457">
        <v>60.00749969482422</v>
      </c>
      <c r="AD51" s="457"/>
      <c r="AE51" s="461">
        <v>60.314998626708984</v>
      </c>
    </row>
    <row r="52" spans="3:31" ht="12.75">
      <c r="C52" s="763" t="s">
        <v>650</v>
      </c>
      <c r="D52" s="764"/>
      <c r="E52" s="764"/>
      <c r="F52" s="764"/>
      <c r="G52" s="765"/>
      <c r="K52" s="449">
        <v>13067.98</v>
      </c>
      <c r="L52" s="450">
        <v>13291</v>
      </c>
      <c r="M52" s="450">
        <v>13067.98</v>
      </c>
      <c r="N52" s="450">
        <v>13291</v>
      </c>
      <c r="O52" s="450"/>
      <c r="P52" s="759">
        <v>15015.71</v>
      </c>
      <c r="Q52" s="759"/>
      <c r="R52" s="450">
        <v>15971.21</v>
      </c>
      <c r="S52" s="450"/>
      <c r="T52" s="451">
        <v>17266.71</v>
      </c>
      <c r="U52" s="448"/>
      <c r="V52" s="460">
        <v>57.01</v>
      </c>
      <c r="W52" s="457"/>
      <c r="X52" s="457">
        <v>52.745</v>
      </c>
      <c r="Y52" s="457"/>
      <c r="Z52" s="457"/>
      <c r="AA52" s="758">
        <v>52.20425033569336</v>
      </c>
      <c r="AB52" s="758"/>
      <c r="AC52" s="457">
        <v>51.85499954223633</v>
      </c>
      <c r="AD52" s="457"/>
      <c r="AE52" s="461">
        <v>53.404998779296875</v>
      </c>
    </row>
    <row r="53" spans="3:31" ht="12.75">
      <c r="C53" s="763" t="s">
        <v>18</v>
      </c>
      <c r="D53" s="764"/>
      <c r="E53" s="764"/>
      <c r="F53" s="764"/>
      <c r="G53" s="765"/>
      <c r="K53" s="449">
        <v>13740.36</v>
      </c>
      <c r="L53" s="450">
        <v>14575.25</v>
      </c>
      <c r="M53" s="450">
        <v>13740.36</v>
      </c>
      <c r="N53" s="450">
        <v>14575.25</v>
      </c>
      <c r="O53" s="450"/>
      <c r="P53" s="759">
        <v>14598.4</v>
      </c>
      <c r="Q53" s="759"/>
      <c r="R53" s="450">
        <v>15754.22</v>
      </c>
      <c r="S53" s="450"/>
      <c r="T53" s="451">
        <v>17578.67</v>
      </c>
      <c r="U53" s="448"/>
      <c r="V53" s="460">
        <v>38</v>
      </c>
      <c r="W53" s="457"/>
      <c r="X53" s="457">
        <v>40.75</v>
      </c>
      <c r="Y53" s="457"/>
      <c r="Z53" s="457"/>
      <c r="AA53" s="758">
        <v>41.622501373291016</v>
      </c>
      <c r="AB53" s="758"/>
      <c r="AC53" s="457">
        <v>41.7400016784668</v>
      </c>
      <c r="AD53" s="457"/>
      <c r="AE53" s="461">
        <v>42.7599983215332</v>
      </c>
    </row>
    <row r="54" spans="3:31" ht="12.75">
      <c r="C54" s="763" t="s">
        <v>651</v>
      </c>
      <c r="D54" s="764"/>
      <c r="E54" s="764"/>
      <c r="F54" s="764"/>
      <c r="G54" s="765"/>
      <c r="K54" s="449">
        <v>13584.37</v>
      </c>
      <c r="L54" s="450">
        <v>12789.86</v>
      </c>
      <c r="M54" s="450">
        <v>13584.37</v>
      </c>
      <c r="N54" s="450">
        <v>12789.86</v>
      </c>
      <c r="O54" s="450"/>
      <c r="P54" s="759">
        <v>13776.74</v>
      </c>
      <c r="Q54" s="759"/>
      <c r="R54" s="450">
        <v>14291.68</v>
      </c>
      <c r="S54" s="450"/>
      <c r="T54" s="451">
        <v>14722.96</v>
      </c>
      <c r="U54" s="448"/>
      <c r="V54" s="460">
        <v>39.5</v>
      </c>
      <c r="W54" s="457"/>
      <c r="X54" s="457">
        <v>40.75</v>
      </c>
      <c r="Y54" s="457"/>
      <c r="Z54" s="457"/>
      <c r="AA54" s="758">
        <v>40.845001220703125</v>
      </c>
      <c r="AB54" s="758"/>
      <c r="AC54" s="457">
        <v>43.35749816894531</v>
      </c>
      <c r="AD54" s="457"/>
      <c r="AE54" s="461">
        <v>45.51750183105469</v>
      </c>
    </row>
    <row r="55" spans="3:31" ht="12.75">
      <c r="C55" s="763" t="s">
        <v>350</v>
      </c>
      <c r="D55" s="764"/>
      <c r="E55" s="764"/>
      <c r="F55" s="764"/>
      <c r="G55" s="765"/>
      <c r="K55" s="449">
        <v>12907.07</v>
      </c>
      <c r="L55" s="450">
        <v>12815.32</v>
      </c>
      <c r="M55" s="450">
        <v>12907.07</v>
      </c>
      <c r="N55" s="450">
        <v>12815.32</v>
      </c>
      <c r="O55" s="450"/>
      <c r="P55" s="759">
        <v>13827.72</v>
      </c>
      <c r="Q55" s="759"/>
      <c r="R55" s="450">
        <v>14996.89</v>
      </c>
      <c r="S55" s="450"/>
      <c r="T55" s="451">
        <v>17754.72</v>
      </c>
      <c r="U55" s="448"/>
      <c r="V55" s="460">
        <v>28</v>
      </c>
      <c r="W55" s="457"/>
      <c r="X55" s="457">
        <v>31</v>
      </c>
      <c r="Y55" s="457"/>
      <c r="Z55" s="457"/>
      <c r="AA55" s="758">
        <v>35.165000915527344</v>
      </c>
      <c r="AB55" s="758"/>
      <c r="AC55" s="457">
        <v>35.6349983215332</v>
      </c>
      <c r="AD55" s="457"/>
      <c r="AE55" s="461">
        <v>35.022499084472656</v>
      </c>
    </row>
    <row r="56" spans="3:31" ht="13.5" thickBot="1">
      <c r="C56" s="767" t="s">
        <v>646</v>
      </c>
      <c r="D56" s="768"/>
      <c r="E56" s="768"/>
      <c r="F56" s="768"/>
      <c r="G56" s="769"/>
      <c r="K56" s="469"/>
      <c r="L56" s="470"/>
      <c r="M56" s="470"/>
      <c r="N56" s="470"/>
      <c r="O56" s="470"/>
      <c r="P56" s="771"/>
      <c r="Q56" s="771"/>
      <c r="R56" s="470">
        <v>14451.28</v>
      </c>
      <c r="S56" s="470"/>
      <c r="T56" s="471">
        <v>14685.85</v>
      </c>
      <c r="U56" s="448"/>
      <c r="V56" s="472"/>
      <c r="W56" s="473"/>
      <c r="X56" s="473"/>
      <c r="Y56" s="473"/>
      <c r="Z56" s="473"/>
      <c r="AA56" s="772"/>
      <c r="AB56" s="772"/>
      <c r="AC56" s="473">
        <v>50</v>
      </c>
      <c r="AD56" s="473"/>
      <c r="AE56" s="474">
        <v>103.17500305175781</v>
      </c>
    </row>
    <row r="57" spans="3:31" ht="13.5" thickBot="1">
      <c r="C57" s="767" t="s">
        <v>168</v>
      </c>
      <c r="D57" s="768"/>
      <c r="E57" s="768"/>
      <c r="F57" s="768"/>
      <c r="G57" s="769"/>
      <c r="K57" s="475">
        <f>SUM(K33:K56)</f>
        <v>308254.83</v>
      </c>
      <c r="L57" s="476">
        <f aca="true" t="shared" si="0" ref="L57:AE57">SUM(L33:L56)</f>
        <v>311446.74</v>
      </c>
      <c r="M57" s="476">
        <f t="shared" si="0"/>
        <v>308254.83</v>
      </c>
      <c r="N57" s="476">
        <f t="shared" si="0"/>
        <v>311446.74</v>
      </c>
      <c r="O57" s="476">
        <f t="shared" si="0"/>
        <v>0</v>
      </c>
      <c r="P57" s="476">
        <f t="shared" si="0"/>
        <v>328979.62</v>
      </c>
      <c r="Q57" s="476">
        <f t="shared" si="0"/>
        <v>0</v>
      </c>
      <c r="R57" s="476">
        <f t="shared" si="0"/>
        <v>370118.8300000001</v>
      </c>
      <c r="S57" s="476">
        <f t="shared" si="0"/>
        <v>0</v>
      </c>
      <c r="T57" s="476">
        <f t="shared" si="0"/>
        <v>372770.03</v>
      </c>
      <c r="U57" s="476">
        <f t="shared" si="0"/>
        <v>0</v>
      </c>
      <c r="V57" s="476">
        <f t="shared" si="0"/>
        <v>1218.914</v>
      </c>
      <c r="W57" s="476">
        <f t="shared" si="0"/>
        <v>0</v>
      </c>
      <c r="X57" s="476">
        <f t="shared" si="0"/>
        <v>1261.6839999999997</v>
      </c>
      <c r="Y57" s="476">
        <f t="shared" si="0"/>
        <v>0</v>
      </c>
      <c r="Z57" s="476">
        <f t="shared" si="0"/>
        <v>0</v>
      </c>
      <c r="AA57" s="476">
        <f t="shared" si="0"/>
        <v>1271.9735088348389</v>
      </c>
      <c r="AB57" s="476">
        <f t="shared" si="0"/>
        <v>0</v>
      </c>
      <c r="AC57" s="476">
        <f t="shared" si="0"/>
        <v>1274.9499855041504</v>
      </c>
      <c r="AD57" s="476">
        <f t="shared" si="0"/>
        <v>0</v>
      </c>
      <c r="AE57" s="477">
        <f t="shared" si="0"/>
        <v>1314.5124988555908</v>
      </c>
    </row>
  </sheetData>
  <mergeCells count="419">
    <mergeCell ref="C57:G57"/>
    <mergeCell ref="K31:T31"/>
    <mergeCell ref="V31:AE31"/>
    <mergeCell ref="AA53:AB53"/>
    <mergeCell ref="AA54:AB54"/>
    <mergeCell ref="AA45:AB45"/>
    <mergeCell ref="AA46:AB46"/>
    <mergeCell ref="AA47:AB47"/>
    <mergeCell ref="AA48:AB48"/>
    <mergeCell ref="AA41:AB41"/>
    <mergeCell ref="AA42:AB42"/>
    <mergeCell ref="AA55:AB55"/>
    <mergeCell ref="AA56:AB56"/>
    <mergeCell ref="AA49:AB49"/>
    <mergeCell ref="AA50:AB50"/>
    <mergeCell ref="AA51:AB51"/>
    <mergeCell ref="AA52:AB52"/>
    <mergeCell ref="AA43:AB43"/>
    <mergeCell ref="AA44:AB44"/>
    <mergeCell ref="P56:Q56"/>
    <mergeCell ref="P52:Q52"/>
    <mergeCell ref="P53:Q53"/>
    <mergeCell ref="P54:Q54"/>
    <mergeCell ref="P55:Q55"/>
    <mergeCell ref="P48:Q48"/>
    <mergeCell ref="P49:Q49"/>
    <mergeCell ref="P50:Q50"/>
    <mergeCell ref="P51:Q51"/>
    <mergeCell ref="P44:Q44"/>
    <mergeCell ref="P45:Q45"/>
    <mergeCell ref="P46:Q46"/>
    <mergeCell ref="P47:Q47"/>
    <mergeCell ref="P40:Q40"/>
    <mergeCell ref="P41:Q41"/>
    <mergeCell ref="P42:Q42"/>
    <mergeCell ref="P43:Q43"/>
    <mergeCell ref="C37:G37"/>
    <mergeCell ref="C38:G38"/>
    <mergeCell ref="C39:G39"/>
    <mergeCell ref="P33:Q33"/>
    <mergeCell ref="P34:Q34"/>
    <mergeCell ref="P35:Q35"/>
    <mergeCell ref="P36:Q36"/>
    <mergeCell ref="C51:G51"/>
    <mergeCell ref="C52:G52"/>
    <mergeCell ref="C49:G49"/>
    <mergeCell ref="C50:G50"/>
    <mergeCell ref="C55:G55"/>
    <mergeCell ref="C56:G56"/>
    <mergeCell ref="C53:G53"/>
    <mergeCell ref="C54:G54"/>
    <mergeCell ref="C48:G48"/>
    <mergeCell ref="C45:G45"/>
    <mergeCell ref="C46:G46"/>
    <mergeCell ref="C43:G43"/>
    <mergeCell ref="C44:G44"/>
    <mergeCell ref="C47:G47"/>
    <mergeCell ref="C41:G41"/>
    <mergeCell ref="C42:G42"/>
    <mergeCell ref="AA33:AB33"/>
    <mergeCell ref="AA34:AB34"/>
    <mergeCell ref="AA35:AB35"/>
    <mergeCell ref="AA36:AB36"/>
    <mergeCell ref="AA37:AB37"/>
    <mergeCell ref="AA38:AB38"/>
    <mergeCell ref="C40:G40"/>
    <mergeCell ref="P37:Q37"/>
    <mergeCell ref="C29:G29"/>
    <mergeCell ref="C31:G32"/>
    <mergeCell ref="AA39:AB39"/>
    <mergeCell ref="AA40:AB40"/>
    <mergeCell ref="P38:Q38"/>
    <mergeCell ref="P39:Q39"/>
    <mergeCell ref="C33:G33"/>
    <mergeCell ref="C34:G34"/>
    <mergeCell ref="C35:G35"/>
    <mergeCell ref="C36:G36"/>
    <mergeCell ref="K3:O3"/>
    <mergeCell ref="P3:W3"/>
    <mergeCell ref="X3:AB3"/>
    <mergeCell ref="C4:J4"/>
    <mergeCell ref="K4:M4"/>
    <mergeCell ref="C3:J3"/>
    <mergeCell ref="N4:O4"/>
    <mergeCell ref="AA4:AB4"/>
    <mergeCell ref="X4:Z4"/>
    <mergeCell ref="Q5:R5"/>
    <mergeCell ref="S5:T5"/>
    <mergeCell ref="U5:V5"/>
    <mergeCell ref="R4:S4"/>
    <mergeCell ref="T4:U4"/>
    <mergeCell ref="V4:W4"/>
    <mergeCell ref="P4:Q4"/>
    <mergeCell ref="B5:I5"/>
    <mergeCell ref="J5:K5"/>
    <mergeCell ref="L5:N5"/>
    <mergeCell ref="O5:P5"/>
    <mergeCell ref="AF5:AG5"/>
    <mergeCell ref="AH5:AI5"/>
    <mergeCell ref="W5:Y5"/>
    <mergeCell ref="Z5:AA5"/>
    <mergeCell ref="AB5:AC5"/>
    <mergeCell ref="AD5:AE5"/>
    <mergeCell ref="B6:I6"/>
    <mergeCell ref="J6:K6"/>
    <mergeCell ref="L6:N6"/>
    <mergeCell ref="O6:P6"/>
    <mergeCell ref="AD6:AE6"/>
    <mergeCell ref="AF6:AG6"/>
    <mergeCell ref="Q6:R6"/>
    <mergeCell ref="S6:T6"/>
    <mergeCell ref="U6:V6"/>
    <mergeCell ref="W6:Y6"/>
    <mergeCell ref="AH6:AI6"/>
    <mergeCell ref="B7:I7"/>
    <mergeCell ref="J7:K7"/>
    <mergeCell ref="L7:N7"/>
    <mergeCell ref="O7:P7"/>
    <mergeCell ref="Q7:R7"/>
    <mergeCell ref="S7:T7"/>
    <mergeCell ref="U7:V7"/>
    <mergeCell ref="Z6:AA6"/>
    <mergeCell ref="AB6:AC6"/>
    <mergeCell ref="AF7:AG7"/>
    <mergeCell ref="AH7:AI7"/>
    <mergeCell ref="W7:Y7"/>
    <mergeCell ref="Z7:AA7"/>
    <mergeCell ref="AB7:AC7"/>
    <mergeCell ref="AD7:AE7"/>
    <mergeCell ref="B8:I8"/>
    <mergeCell ref="J8:K8"/>
    <mergeCell ref="L8:N8"/>
    <mergeCell ref="O8:P8"/>
    <mergeCell ref="AD8:AE8"/>
    <mergeCell ref="AF8:AG8"/>
    <mergeCell ref="Q8:R8"/>
    <mergeCell ref="S8:T8"/>
    <mergeCell ref="U8:V8"/>
    <mergeCell ref="W8:Y8"/>
    <mergeCell ref="AH8:AI8"/>
    <mergeCell ref="B9:I9"/>
    <mergeCell ref="J9:K9"/>
    <mergeCell ref="L9:N9"/>
    <mergeCell ref="O9:P9"/>
    <mergeCell ref="Q9:R9"/>
    <mergeCell ref="S9:T9"/>
    <mergeCell ref="U9:V9"/>
    <mergeCell ref="Z8:AA8"/>
    <mergeCell ref="AB8:AC8"/>
    <mergeCell ref="AF9:AG9"/>
    <mergeCell ref="AH9:AI9"/>
    <mergeCell ref="W9:Y9"/>
    <mergeCell ref="Z9:AA9"/>
    <mergeCell ref="AB9:AC9"/>
    <mergeCell ref="AD9:AE9"/>
    <mergeCell ref="B10:I10"/>
    <mergeCell ref="J10:K10"/>
    <mergeCell ref="L10:N10"/>
    <mergeCell ref="O10:P10"/>
    <mergeCell ref="AD10:AE10"/>
    <mergeCell ref="AF10:AG10"/>
    <mergeCell ref="Q10:R10"/>
    <mergeCell ref="S10:T10"/>
    <mergeCell ref="U10:V10"/>
    <mergeCell ref="W10:Y10"/>
    <mergeCell ref="AH10:AI10"/>
    <mergeCell ref="B11:I11"/>
    <mergeCell ref="J11:K11"/>
    <mergeCell ref="L11:N11"/>
    <mergeCell ref="O11:P11"/>
    <mergeCell ref="Q11:R11"/>
    <mergeCell ref="S11:T11"/>
    <mergeCell ref="U11:V11"/>
    <mergeCell ref="Z10:AA10"/>
    <mergeCell ref="AB10:AC10"/>
    <mergeCell ref="AF11:AG11"/>
    <mergeCell ref="AH11:AI11"/>
    <mergeCell ref="W11:Y11"/>
    <mergeCell ref="Z11:AA11"/>
    <mergeCell ref="AB11:AC11"/>
    <mergeCell ref="AD11:AE11"/>
    <mergeCell ref="B12:I12"/>
    <mergeCell ref="J12:K12"/>
    <mergeCell ref="L12:N12"/>
    <mergeCell ref="O12:P12"/>
    <mergeCell ref="AD12:AE12"/>
    <mergeCell ref="AF12:AG12"/>
    <mergeCell ref="Q12:R12"/>
    <mergeCell ref="S12:T12"/>
    <mergeCell ref="U12:V12"/>
    <mergeCell ref="W12:Y12"/>
    <mergeCell ref="AH12:AI12"/>
    <mergeCell ref="B13:I13"/>
    <mergeCell ref="J13:K13"/>
    <mergeCell ref="L13:N13"/>
    <mergeCell ref="O13:P13"/>
    <mergeCell ref="Q13:R13"/>
    <mergeCell ref="S13:T13"/>
    <mergeCell ref="U13:V13"/>
    <mergeCell ref="Z12:AA12"/>
    <mergeCell ref="AB12:AC12"/>
    <mergeCell ref="AF13:AG13"/>
    <mergeCell ref="AH13:AI13"/>
    <mergeCell ref="W13:Y13"/>
    <mergeCell ref="Z13:AA13"/>
    <mergeCell ref="AB13:AC13"/>
    <mergeCell ref="AD13:AE13"/>
    <mergeCell ref="B14:I14"/>
    <mergeCell ref="J14:K14"/>
    <mergeCell ref="L14:N14"/>
    <mergeCell ref="O14:P14"/>
    <mergeCell ref="AD14:AE14"/>
    <mergeCell ref="AF14:AG14"/>
    <mergeCell ref="Q14:R14"/>
    <mergeCell ref="S14:T14"/>
    <mergeCell ref="U14:V14"/>
    <mergeCell ref="W14:Y14"/>
    <mergeCell ref="AH14:AI14"/>
    <mergeCell ref="B15:I15"/>
    <mergeCell ref="J15:K15"/>
    <mergeCell ref="L15:N15"/>
    <mergeCell ref="O15:P15"/>
    <mergeCell ref="Q15:R15"/>
    <mergeCell ref="S15:T15"/>
    <mergeCell ref="U15:V15"/>
    <mergeCell ref="Z14:AA14"/>
    <mergeCell ref="AB14:AC14"/>
    <mergeCell ref="AF15:AG15"/>
    <mergeCell ref="AH15:AI15"/>
    <mergeCell ref="W15:Y15"/>
    <mergeCell ref="Z15:AA15"/>
    <mergeCell ref="AB15:AC15"/>
    <mergeCell ref="AD15:AE15"/>
    <mergeCell ref="B16:I16"/>
    <mergeCell ref="J16:K16"/>
    <mergeCell ref="L16:N16"/>
    <mergeCell ref="O16:P16"/>
    <mergeCell ref="Q16:R16"/>
    <mergeCell ref="S16:T16"/>
    <mergeCell ref="U16:V16"/>
    <mergeCell ref="W16:Y16"/>
    <mergeCell ref="AH16:AI16"/>
    <mergeCell ref="Z16:AA16"/>
    <mergeCell ref="AB16:AC16"/>
    <mergeCell ref="AD16:AE16"/>
    <mergeCell ref="AF16:AG16"/>
    <mergeCell ref="AD17:AE17"/>
    <mergeCell ref="AF17:AG17"/>
    <mergeCell ref="AH17:AI17"/>
    <mergeCell ref="Z17:AA17"/>
    <mergeCell ref="AB17:AC17"/>
    <mergeCell ref="C18:J18"/>
    <mergeCell ref="K18:M18"/>
    <mergeCell ref="N18:O18"/>
    <mergeCell ref="P18:Q18"/>
    <mergeCell ref="AC18:AD18"/>
    <mergeCell ref="AE18:AF18"/>
    <mergeCell ref="AG18:AH18"/>
    <mergeCell ref="R18:S18"/>
    <mergeCell ref="T18:U18"/>
    <mergeCell ref="V18:W18"/>
    <mergeCell ref="X18:Z18"/>
    <mergeCell ref="AI18:AJ18"/>
    <mergeCell ref="C19:J19"/>
    <mergeCell ref="K19:M19"/>
    <mergeCell ref="N19:O19"/>
    <mergeCell ref="P19:Q19"/>
    <mergeCell ref="R19:S19"/>
    <mergeCell ref="T19:U19"/>
    <mergeCell ref="V19:W19"/>
    <mergeCell ref="AA18:AB18"/>
    <mergeCell ref="AG19:AH19"/>
    <mergeCell ref="AI19:AJ19"/>
    <mergeCell ref="X19:Z19"/>
    <mergeCell ref="AA19:AB19"/>
    <mergeCell ref="AC19:AD19"/>
    <mergeCell ref="AE19:AF19"/>
    <mergeCell ref="C20:J20"/>
    <mergeCell ref="K20:M20"/>
    <mergeCell ref="N20:O20"/>
    <mergeCell ref="P20:Q20"/>
    <mergeCell ref="AC20:AD20"/>
    <mergeCell ref="AE20:AF20"/>
    <mergeCell ref="AG20:AH20"/>
    <mergeCell ref="R20:S20"/>
    <mergeCell ref="T20:U20"/>
    <mergeCell ref="V20:W20"/>
    <mergeCell ref="X20:Z20"/>
    <mergeCell ref="AI20:AJ20"/>
    <mergeCell ref="C21:J21"/>
    <mergeCell ref="K21:M21"/>
    <mergeCell ref="N21:O21"/>
    <mergeCell ref="P21:Q21"/>
    <mergeCell ref="R21:S21"/>
    <mergeCell ref="T21:U21"/>
    <mergeCell ref="V21:W21"/>
    <mergeCell ref="AA20:AB20"/>
    <mergeCell ref="AG21:AH21"/>
    <mergeCell ref="AI21:AJ21"/>
    <mergeCell ref="X21:Z21"/>
    <mergeCell ref="AA21:AB21"/>
    <mergeCell ref="AC21:AD21"/>
    <mergeCell ref="AE21:AF21"/>
    <mergeCell ref="C22:J22"/>
    <mergeCell ref="K22:M22"/>
    <mergeCell ref="N22:O22"/>
    <mergeCell ref="P22:Q22"/>
    <mergeCell ref="AC22:AD22"/>
    <mergeCell ref="AE22:AF22"/>
    <mergeCell ref="AG22:AH22"/>
    <mergeCell ref="R22:S22"/>
    <mergeCell ref="T22:U22"/>
    <mergeCell ref="V22:W22"/>
    <mergeCell ref="X22:Z22"/>
    <mergeCell ref="AI22:AJ22"/>
    <mergeCell ref="C23:J23"/>
    <mergeCell ref="K23:M23"/>
    <mergeCell ref="N23:O23"/>
    <mergeCell ref="P23:Q23"/>
    <mergeCell ref="R23:S23"/>
    <mergeCell ref="T23:U23"/>
    <mergeCell ref="V23:W23"/>
    <mergeCell ref="AA22:AB22"/>
    <mergeCell ref="AG23:AH23"/>
    <mergeCell ref="AI23:AJ23"/>
    <mergeCell ref="X23:Z23"/>
    <mergeCell ref="AA23:AB23"/>
    <mergeCell ref="AC23:AD23"/>
    <mergeCell ref="AE23:AF23"/>
    <mergeCell ref="C24:J24"/>
    <mergeCell ref="K24:M24"/>
    <mergeCell ref="N24:O24"/>
    <mergeCell ref="P24:Q24"/>
    <mergeCell ref="AG25:AH25"/>
    <mergeCell ref="AC24:AD24"/>
    <mergeCell ref="AE24:AF24"/>
    <mergeCell ref="AG24:AH24"/>
    <mergeCell ref="AC25:AD25"/>
    <mergeCell ref="AE25:AF25"/>
    <mergeCell ref="R25:S25"/>
    <mergeCell ref="T25:U25"/>
    <mergeCell ref="V25:W25"/>
    <mergeCell ref="AA24:AB24"/>
    <mergeCell ref="R24:S24"/>
    <mergeCell ref="T24:U24"/>
    <mergeCell ref="V24:W24"/>
    <mergeCell ref="X24:Z24"/>
    <mergeCell ref="X25:Z25"/>
    <mergeCell ref="AA25:AB25"/>
    <mergeCell ref="C25:J25"/>
    <mergeCell ref="K25:M25"/>
    <mergeCell ref="N25:O25"/>
    <mergeCell ref="P25:Q25"/>
    <mergeCell ref="T26:U26"/>
    <mergeCell ref="V26:W26"/>
    <mergeCell ref="X26:Z26"/>
    <mergeCell ref="C26:J26"/>
    <mergeCell ref="K26:M26"/>
    <mergeCell ref="N26:O26"/>
    <mergeCell ref="P26:Q26"/>
    <mergeCell ref="AA27:AB27"/>
    <mergeCell ref="AC27:AD27"/>
    <mergeCell ref="AE27:AF27"/>
    <mergeCell ref="C27:J27"/>
    <mergeCell ref="K27:M27"/>
    <mergeCell ref="N27:O27"/>
    <mergeCell ref="P27:Q27"/>
    <mergeCell ref="AI26:AJ26"/>
    <mergeCell ref="AA26:AB26"/>
    <mergeCell ref="AG27:AH27"/>
    <mergeCell ref="AG4:AH4"/>
    <mergeCell ref="AI27:AJ27"/>
    <mergeCell ref="AC26:AD26"/>
    <mergeCell ref="AE26:AF26"/>
    <mergeCell ref="AG26:AH26"/>
    <mergeCell ref="AI25:AJ25"/>
    <mergeCell ref="AI24:AJ24"/>
    <mergeCell ref="AC3:AF3"/>
    <mergeCell ref="AG3:AJ3"/>
    <mergeCell ref="AI4:AJ4"/>
    <mergeCell ref="AC4:AD4"/>
    <mergeCell ref="AE4:AF4"/>
    <mergeCell ref="B17:I17"/>
    <mergeCell ref="J17:K17"/>
    <mergeCell ref="L17:N17"/>
    <mergeCell ref="O17:P17"/>
    <mergeCell ref="C28:J28"/>
    <mergeCell ref="K28:M28"/>
    <mergeCell ref="N28:O28"/>
    <mergeCell ref="P28:Q28"/>
    <mergeCell ref="V28:W28"/>
    <mergeCell ref="Q17:R17"/>
    <mergeCell ref="S17:T17"/>
    <mergeCell ref="U17:V17"/>
    <mergeCell ref="W17:Y17"/>
    <mergeCell ref="R27:S27"/>
    <mergeCell ref="T27:U27"/>
    <mergeCell ref="V27:W27"/>
    <mergeCell ref="X27:Z27"/>
    <mergeCell ref="R26:S26"/>
    <mergeCell ref="K29:M29"/>
    <mergeCell ref="N29:O29"/>
    <mergeCell ref="AG28:AH28"/>
    <mergeCell ref="AI28:AJ28"/>
    <mergeCell ref="X28:Z28"/>
    <mergeCell ref="AA28:AB28"/>
    <mergeCell ref="AC28:AD28"/>
    <mergeCell ref="AE28:AF28"/>
    <mergeCell ref="R28:S28"/>
    <mergeCell ref="T28:U28"/>
    <mergeCell ref="P29:Q29"/>
    <mergeCell ref="R29:S29"/>
    <mergeCell ref="T29:U29"/>
    <mergeCell ref="V29:W29"/>
    <mergeCell ref="AG29:AH29"/>
    <mergeCell ref="X29:Z29"/>
    <mergeCell ref="AA29:AB29"/>
    <mergeCell ref="AC29:AD29"/>
    <mergeCell ref="AE29:AF29"/>
  </mergeCell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SheetLayoutView="100" workbookViewId="0" topLeftCell="A1">
      <selection activeCell="J28" sqref="J28"/>
    </sheetView>
  </sheetViews>
  <sheetFormatPr defaultColWidth="9.00390625" defaultRowHeight="12.75"/>
  <cols>
    <col min="1" max="1" width="28.125" style="209" customWidth="1"/>
    <col min="2" max="7" width="9.75390625" style="8" customWidth="1"/>
    <col min="8" max="8" width="8.125" style="8" customWidth="1"/>
    <col min="9" max="9" width="8.875" style="209" customWidth="1"/>
    <col min="10" max="10" width="9.125" style="209" customWidth="1"/>
    <col min="11" max="11" width="9.25390625" style="209" customWidth="1"/>
    <col min="12" max="12" width="8.625" style="209" customWidth="1"/>
    <col min="13" max="16" width="9.125" style="209" customWidth="1"/>
  </cols>
  <sheetData>
    <row r="1" spans="1:14" ht="15.75">
      <c r="A1" s="788"/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</row>
    <row r="2" spans="1:14" ht="16.5" thickBot="1">
      <c r="A2" s="210"/>
      <c r="B2" s="211"/>
      <c r="C2" s="211"/>
      <c r="D2" s="211"/>
      <c r="E2" s="211"/>
      <c r="F2" s="211"/>
      <c r="G2" s="211"/>
      <c r="H2" s="211"/>
      <c r="L2" s="9"/>
      <c r="N2" s="10" t="s">
        <v>307</v>
      </c>
    </row>
    <row r="3" spans="1:14" ht="24" customHeight="1" thickBot="1">
      <c r="A3" s="791" t="s">
        <v>165</v>
      </c>
      <c r="B3" s="792" t="s">
        <v>413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4" ht="13.5" thickBot="1">
      <c r="A4" s="791"/>
      <c r="B4" s="790" t="s">
        <v>308</v>
      </c>
      <c r="C4" s="790"/>
      <c r="D4" s="790"/>
      <c r="E4" s="790" t="s">
        <v>417</v>
      </c>
      <c r="F4" s="790"/>
      <c r="G4" s="790"/>
      <c r="H4" s="793" t="s">
        <v>309</v>
      </c>
      <c r="I4" s="793"/>
      <c r="J4" s="790" t="s">
        <v>418</v>
      </c>
      <c r="K4" s="790"/>
      <c r="L4" s="790"/>
      <c r="M4" s="790" t="s">
        <v>419</v>
      </c>
      <c r="N4" s="790"/>
    </row>
    <row r="5" spans="1:14" ht="13.5" thickBot="1">
      <c r="A5" s="791"/>
      <c r="B5" s="66" t="s">
        <v>166</v>
      </c>
      <c r="C5" s="67" t="s">
        <v>167</v>
      </c>
      <c r="D5" s="68" t="s">
        <v>168</v>
      </c>
      <c r="E5" s="66" t="s">
        <v>166</v>
      </c>
      <c r="F5" s="67" t="s">
        <v>167</v>
      </c>
      <c r="G5" s="68" t="s">
        <v>168</v>
      </c>
      <c r="H5" s="69" t="s">
        <v>168</v>
      </c>
      <c r="I5" s="69" t="s">
        <v>169</v>
      </c>
      <c r="J5" s="70" t="s">
        <v>166</v>
      </c>
      <c r="K5" s="67" t="s">
        <v>167</v>
      </c>
      <c r="L5" s="68" t="s">
        <v>168</v>
      </c>
      <c r="M5" s="69" t="s">
        <v>168</v>
      </c>
      <c r="N5" s="68" t="s">
        <v>169</v>
      </c>
    </row>
    <row r="6" spans="1:14" ht="13.5" thickBot="1">
      <c r="A6" s="791"/>
      <c r="B6" s="183" t="s">
        <v>170</v>
      </c>
      <c r="C6" s="184" t="s">
        <v>170</v>
      </c>
      <c r="D6" s="185"/>
      <c r="E6" s="183" t="s">
        <v>170</v>
      </c>
      <c r="F6" s="184" t="s">
        <v>170</v>
      </c>
      <c r="G6" s="185"/>
      <c r="H6" s="189" t="s">
        <v>171</v>
      </c>
      <c r="I6" s="189" t="s">
        <v>172</v>
      </c>
      <c r="J6" s="197" t="s">
        <v>170</v>
      </c>
      <c r="K6" s="184" t="s">
        <v>170</v>
      </c>
      <c r="L6" s="185"/>
      <c r="M6" s="189" t="s">
        <v>171</v>
      </c>
      <c r="N6" s="185" t="s">
        <v>172</v>
      </c>
    </row>
    <row r="7" spans="1:14" ht="13.5" customHeight="1">
      <c r="A7" s="96" t="s">
        <v>173</v>
      </c>
      <c r="B7" s="212"/>
      <c r="C7" s="213"/>
      <c r="D7" s="214">
        <f aca="true" t="shared" si="0" ref="D7:D18">SUM(B7:C7)</f>
        <v>0</v>
      </c>
      <c r="E7" s="212"/>
      <c r="F7" s="213"/>
      <c r="G7" s="214">
        <f aca="true" t="shared" si="1" ref="G7:G18">SUM(E7:F7)</f>
        <v>0</v>
      </c>
      <c r="H7" s="215">
        <f aca="true" t="shared" si="2" ref="H7:H38">+G7-D7</f>
        <v>0</v>
      </c>
      <c r="I7" s="304"/>
      <c r="J7" s="212"/>
      <c r="K7" s="213"/>
      <c r="L7" s="214">
        <f aca="true" t="shared" si="3" ref="L7:L18">SUM(J7:K7)</f>
        <v>0</v>
      </c>
      <c r="M7" s="215">
        <f aca="true" t="shared" si="4" ref="M7:M38">+L7-G7</f>
        <v>0</v>
      </c>
      <c r="N7" s="216"/>
    </row>
    <row r="8" spans="1:14" ht="13.5" customHeight="1">
      <c r="A8" s="78" t="s">
        <v>174</v>
      </c>
      <c r="B8" s="81">
        <v>7369</v>
      </c>
      <c r="C8" s="80">
        <v>1096</v>
      </c>
      <c r="D8" s="217">
        <f t="shared" si="0"/>
        <v>8465</v>
      </c>
      <c r="E8" s="81">
        <v>27575</v>
      </c>
      <c r="F8" s="80">
        <v>1061</v>
      </c>
      <c r="G8" s="217">
        <f t="shared" si="1"/>
        <v>28636</v>
      </c>
      <c r="H8" s="218">
        <f t="shared" si="2"/>
        <v>20171</v>
      </c>
      <c r="I8" s="75">
        <f aca="true" t="shared" si="5" ref="I8:I22">+G8/D8</f>
        <v>3.382870643827525</v>
      </c>
      <c r="J8" s="81">
        <v>27635</v>
      </c>
      <c r="K8" s="80">
        <v>1070</v>
      </c>
      <c r="L8" s="217">
        <f t="shared" si="3"/>
        <v>28705</v>
      </c>
      <c r="M8" s="218">
        <f t="shared" si="4"/>
        <v>69</v>
      </c>
      <c r="N8" s="77">
        <f aca="true" t="shared" si="6" ref="N8:N22">+L8/G8</f>
        <v>1.0024095544070402</v>
      </c>
    </row>
    <row r="9" spans="1:14" ht="13.5" customHeight="1">
      <c r="A9" s="78" t="s">
        <v>175</v>
      </c>
      <c r="B9" s="81"/>
      <c r="C9" s="80"/>
      <c r="D9" s="217">
        <f t="shared" si="0"/>
        <v>0</v>
      </c>
      <c r="E9" s="81"/>
      <c r="F9" s="80"/>
      <c r="G9" s="217">
        <f t="shared" si="1"/>
        <v>0</v>
      </c>
      <c r="H9" s="218">
        <f t="shared" si="2"/>
        <v>0</v>
      </c>
      <c r="I9" s="75"/>
      <c r="J9" s="81"/>
      <c r="K9" s="80"/>
      <c r="L9" s="217">
        <f t="shared" si="3"/>
        <v>0</v>
      </c>
      <c r="M9" s="218">
        <f t="shared" si="4"/>
        <v>0</v>
      </c>
      <c r="N9" s="77"/>
    </row>
    <row r="10" spans="1:14" ht="13.5" customHeight="1">
      <c r="A10" s="78" t="s">
        <v>176</v>
      </c>
      <c r="B10" s="81"/>
      <c r="C10" s="80"/>
      <c r="D10" s="217">
        <f t="shared" si="0"/>
        <v>0</v>
      </c>
      <c r="E10" s="81"/>
      <c r="F10" s="80"/>
      <c r="G10" s="217">
        <f t="shared" si="1"/>
        <v>0</v>
      </c>
      <c r="H10" s="218">
        <f t="shared" si="2"/>
        <v>0</v>
      </c>
      <c r="I10" s="75"/>
      <c r="J10" s="81"/>
      <c r="K10" s="80"/>
      <c r="L10" s="217">
        <f t="shared" si="3"/>
        <v>0</v>
      </c>
      <c r="M10" s="218">
        <f t="shared" si="4"/>
        <v>0</v>
      </c>
      <c r="N10" s="77"/>
    </row>
    <row r="11" spans="1:14" ht="13.5" customHeight="1">
      <c r="A11" s="78" t="s">
        <v>177</v>
      </c>
      <c r="B11" s="81">
        <v>325</v>
      </c>
      <c r="C11" s="80">
        <v>59</v>
      </c>
      <c r="D11" s="217">
        <f t="shared" si="0"/>
        <v>384</v>
      </c>
      <c r="E11" s="81">
        <v>727</v>
      </c>
      <c r="F11" s="80">
        <v>499</v>
      </c>
      <c r="G11" s="217">
        <f t="shared" si="1"/>
        <v>1226</v>
      </c>
      <c r="H11" s="218">
        <f t="shared" si="2"/>
        <v>842</v>
      </c>
      <c r="I11" s="75">
        <f t="shared" si="5"/>
        <v>3.1927083333333335</v>
      </c>
      <c r="J11" s="81">
        <f>724+750</f>
        <v>1474</v>
      </c>
      <c r="K11" s="80">
        <v>455</v>
      </c>
      <c r="L11" s="217">
        <f t="shared" si="3"/>
        <v>1929</v>
      </c>
      <c r="M11" s="218">
        <f t="shared" si="4"/>
        <v>703</v>
      </c>
      <c r="N11" s="77">
        <f t="shared" si="6"/>
        <v>1.5734094616639478</v>
      </c>
    </row>
    <row r="12" spans="1:14" ht="13.5" customHeight="1">
      <c r="A12" s="82" t="s">
        <v>178</v>
      </c>
      <c r="B12" s="81">
        <v>311</v>
      </c>
      <c r="C12" s="80">
        <v>59</v>
      </c>
      <c r="D12" s="217">
        <f t="shared" si="0"/>
        <v>370</v>
      </c>
      <c r="E12" s="81">
        <v>352</v>
      </c>
      <c r="F12" s="80">
        <v>43</v>
      </c>
      <c r="G12" s="217">
        <f t="shared" si="1"/>
        <v>395</v>
      </c>
      <c r="H12" s="218">
        <f t="shared" si="2"/>
        <v>25</v>
      </c>
      <c r="I12" s="75">
        <f t="shared" si="5"/>
        <v>1.0675675675675675</v>
      </c>
      <c r="J12" s="81">
        <f>325+750</f>
        <v>1075</v>
      </c>
      <c r="K12" s="80">
        <v>40</v>
      </c>
      <c r="L12" s="217">
        <f t="shared" si="3"/>
        <v>1115</v>
      </c>
      <c r="M12" s="218">
        <f t="shared" si="4"/>
        <v>720</v>
      </c>
      <c r="N12" s="77">
        <f t="shared" si="6"/>
        <v>2.8227848101265822</v>
      </c>
    </row>
    <row r="13" spans="1:14" ht="13.5" customHeight="1">
      <c r="A13" s="82" t="s">
        <v>179</v>
      </c>
      <c r="B13" s="81">
        <v>42</v>
      </c>
      <c r="C13" s="80"/>
      <c r="D13" s="217">
        <f t="shared" si="0"/>
        <v>42</v>
      </c>
      <c r="E13" s="81"/>
      <c r="F13" s="80"/>
      <c r="G13" s="217">
        <f t="shared" si="1"/>
        <v>0</v>
      </c>
      <c r="H13" s="218">
        <f t="shared" si="2"/>
        <v>-42</v>
      </c>
      <c r="I13" s="75">
        <f t="shared" si="5"/>
        <v>0</v>
      </c>
      <c r="J13" s="81"/>
      <c r="K13" s="80"/>
      <c r="L13" s="217">
        <f t="shared" si="3"/>
        <v>0</v>
      </c>
      <c r="M13" s="218">
        <f t="shared" si="4"/>
        <v>0</v>
      </c>
      <c r="N13" s="77"/>
    </row>
    <row r="14" spans="1:14" ht="23.25" customHeight="1">
      <c r="A14" s="82" t="s">
        <v>180</v>
      </c>
      <c r="B14" s="81"/>
      <c r="C14" s="80"/>
      <c r="D14" s="217">
        <f t="shared" si="0"/>
        <v>0</v>
      </c>
      <c r="E14" s="81"/>
      <c r="F14" s="80"/>
      <c r="G14" s="217">
        <f t="shared" si="1"/>
        <v>0</v>
      </c>
      <c r="H14" s="218">
        <f t="shared" si="2"/>
        <v>0</v>
      </c>
      <c r="I14" s="75"/>
      <c r="J14" s="81"/>
      <c r="K14" s="80"/>
      <c r="L14" s="217">
        <f t="shared" si="3"/>
        <v>0</v>
      </c>
      <c r="M14" s="218">
        <f t="shared" si="4"/>
        <v>0</v>
      </c>
      <c r="N14" s="77"/>
    </row>
    <row r="15" spans="1:14" ht="13.5" customHeight="1">
      <c r="A15" s="78" t="s">
        <v>181</v>
      </c>
      <c r="B15" s="81">
        <v>46794</v>
      </c>
      <c r="C15" s="80"/>
      <c r="D15" s="217">
        <f t="shared" si="0"/>
        <v>46794</v>
      </c>
      <c r="E15" s="81">
        <v>35269</v>
      </c>
      <c r="F15" s="80"/>
      <c r="G15" s="217">
        <f t="shared" si="1"/>
        <v>35269</v>
      </c>
      <c r="H15" s="218">
        <f t="shared" si="2"/>
        <v>-11525</v>
      </c>
      <c r="I15" s="75">
        <f t="shared" si="5"/>
        <v>0.7537077403085866</v>
      </c>
      <c r="J15" s="102">
        <v>27671</v>
      </c>
      <c r="K15" s="104"/>
      <c r="L15" s="217">
        <f t="shared" si="3"/>
        <v>27671</v>
      </c>
      <c r="M15" s="218">
        <f t="shared" si="4"/>
        <v>-7598</v>
      </c>
      <c r="N15" s="77">
        <f t="shared" si="6"/>
        <v>0.7845700189968527</v>
      </c>
    </row>
    <row r="16" spans="1:14" ht="13.5" customHeight="1">
      <c r="A16" s="297" t="s">
        <v>310</v>
      </c>
      <c r="B16" s="81">
        <v>46794</v>
      </c>
      <c r="C16" s="80"/>
      <c r="D16" s="217">
        <f t="shared" si="0"/>
        <v>46794</v>
      </c>
      <c r="E16" s="81">
        <v>10</v>
      </c>
      <c r="F16" s="80"/>
      <c r="G16" s="217">
        <f t="shared" si="1"/>
        <v>10</v>
      </c>
      <c r="H16" s="218">
        <f t="shared" si="2"/>
        <v>-46784</v>
      </c>
      <c r="I16" s="75">
        <f t="shared" si="5"/>
        <v>0.00021370261144591188</v>
      </c>
      <c r="J16" s="102">
        <v>916</v>
      </c>
      <c r="K16" s="80"/>
      <c r="L16" s="217">
        <f t="shared" si="3"/>
        <v>916</v>
      </c>
      <c r="M16" s="218">
        <f t="shared" si="4"/>
        <v>906</v>
      </c>
      <c r="N16" s="77">
        <f t="shared" si="6"/>
        <v>91.6</v>
      </c>
    </row>
    <row r="17" spans="1:14" ht="13.5" customHeight="1">
      <c r="A17" s="297" t="s">
        <v>311</v>
      </c>
      <c r="B17" s="81"/>
      <c r="C17" s="80"/>
      <c r="D17" s="217">
        <f t="shared" si="0"/>
        <v>0</v>
      </c>
      <c r="E17" s="81">
        <v>35259</v>
      </c>
      <c r="F17" s="80"/>
      <c r="G17" s="217">
        <f t="shared" si="1"/>
        <v>35259</v>
      </c>
      <c r="H17" s="218">
        <f t="shared" si="2"/>
        <v>35259</v>
      </c>
      <c r="I17" s="75"/>
      <c r="J17" s="102">
        <v>26755</v>
      </c>
      <c r="K17" s="80"/>
      <c r="L17" s="217">
        <f t="shared" si="3"/>
        <v>26755</v>
      </c>
      <c r="M17" s="218">
        <f t="shared" si="4"/>
        <v>-8504</v>
      </c>
      <c r="N17" s="77">
        <f t="shared" si="6"/>
        <v>0.7588133526191895</v>
      </c>
    </row>
    <row r="18" spans="1:14" ht="13.5" customHeight="1" thickBot="1">
      <c r="A18" s="298" t="s">
        <v>416</v>
      </c>
      <c r="B18" s="305"/>
      <c r="C18" s="306"/>
      <c r="D18" s="217">
        <f t="shared" si="0"/>
        <v>0</v>
      </c>
      <c r="E18" s="305"/>
      <c r="F18" s="306"/>
      <c r="G18" s="217">
        <f t="shared" si="1"/>
        <v>0</v>
      </c>
      <c r="H18" s="307"/>
      <c r="I18" s="308"/>
      <c r="J18" s="301"/>
      <c r="K18" s="306"/>
      <c r="L18" s="217">
        <f t="shared" si="3"/>
        <v>0</v>
      </c>
      <c r="M18" s="307"/>
      <c r="N18" s="309"/>
    </row>
    <row r="19" spans="1:14" ht="13.5" customHeight="1" thickBot="1">
      <c r="A19" s="182" t="s">
        <v>182</v>
      </c>
      <c r="B19" s="186">
        <f aca="true" t="shared" si="7" ref="B19:G19">SUM(B7+B8+B9+B10+B11+B13+B15)</f>
        <v>54530</v>
      </c>
      <c r="C19" s="187">
        <f t="shared" si="7"/>
        <v>1155</v>
      </c>
      <c r="D19" s="188">
        <f t="shared" si="7"/>
        <v>55685</v>
      </c>
      <c r="E19" s="186">
        <f t="shared" si="7"/>
        <v>63571</v>
      </c>
      <c r="F19" s="187">
        <f t="shared" si="7"/>
        <v>1560</v>
      </c>
      <c r="G19" s="188">
        <f t="shared" si="7"/>
        <v>65131</v>
      </c>
      <c r="H19" s="190">
        <f t="shared" si="2"/>
        <v>9446</v>
      </c>
      <c r="I19" s="108">
        <f t="shared" si="5"/>
        <v>1.1696327556792674</v>
      </c>
      <c r="J19" s="198">
        <f>SUM(J7+J8+J9+J10+J11+J13+J15)</f>
        <v>56780</v>
      </c>
      <c r="K19" s="187">
        <f>SUM(K7+K8+K9+K10+K11+K13+K15)</f>
        <v>1525</v>
      </c>
      <c r="L19" s="188">
        <f>SUM(L7+L8+L9+L10+L11+L13+L15)</f>
        <v>58305</v>
      </c>
      <c r="M19" s="190">
        <f t="shared" si="4"/>
        <v>-6826</v>
      </c>
      <c r="N19" s="199">
        <f t="shared" si="6"/>
        <v>0.8951958360841995</v>
      </c>
    </row>
    <row r="20" spans="1:14" ht="13.5" customHeight="1">
      <c r="A20" s="96" t="s">
        <v>183</v>
      </c>
      <c r="B20" s="71">
        <v>6985</v>
      </c>
      <c r="C20" s="72">
        <v>283</v>
      </c>
      <c r="D20" s="73">
        <f aca="true" t="shared" si="8" ref="D20:D37">SUM(B20:C20)</f>
        <v>7268</v>
      </c>
      <c r="E20" s="71">
        <v>7405</v>
      </c>
      <c r="F20" s="72">
        <v>288</v>
      </c>
      <c r="G20" s="97">
        <f aca="true" t="shared" si="9" ref="G20:G37">SUM(E20:F20)</f>
        <v>7693</v>
      </c>
      <c r="H20" s="98">
        <f t="shared" si="2"/>
        <v>425</v>
      </c>
      <c r="I20" s="99">
        <f t="shared" si="5"/>
        <v>1.0584755090809026</v>
      </c>
      <c r="J20" s="76">
        <v>7380</v>
      </c>
      <c r="K20" s="72">
        <v>335</v>
      </c>
      <c r="L20" s="100">
        <f aca="true" t="shared" si="10" ref="L20:L37">SUM(J20:K20)</f>
        <v>7715</v>
      </c>
      <c r="M20" s="98">
        <f t="shared" si="4"/>
        <v>22</v>
      </c>
      <c r="N20" s="101">
        <f t="shared" si="6"/>
        <v>1.002859742623164</v>
      </c>
    </row>
    <row r="21" spans="1:14" ht="21" customHeight="1">
      <c r="A21" s="82" t="s">
        <v>184</v>
      </c>
      <c r="B21" s="71">
        <v>911</v>
      </c>
      <c r="C21" s="72">
        <v>10</v>
      </c>
      <c r="D21" s="73">
        <f t="shared" si="8"/>
        <v>921</v>
      </c>
      <c r="E21" s="71">
        <v>1482</v>
      </c>
      <c r="F21" s="72">
        <v>15</v>
      </c>
      <c r="G21" s="97">
        <f t="shared" si="9"/>
        <v>1497</v>
      </c>
      <c r="H21" s="74">
        <f t="shared" si="2"/>
        <v>576</v>
      </c>
      <c r="I21" s="75">
        <f t="shared" si="5"/>
        <v>1.6254071661237786</v>
      </c>
      <c r="J21" s="76">
        <v>1080</v>
      </c>
      <c r="K21" s="72">
        <v>20</v>
      </c>
      <c r="L21" s="100">
        <f t="shared" si="10"/>
        <v>1100</v>
      </c>
      <c r="M21" s="74">
        <f t="shared" si="4"/>
        <v>-397</v>
      </c>
      <c r="N21" s="77">
        <f t="shared" si="6"/>
        <v>0.7348029392117569</v>
      </c>
    </row>
    <row r="22" spans="1:14" ht="13.5" customHeight="1">
      <c r="A22" s="78" t="s">
        <v>185</v>
      </c>
      <c r="B22" s="79">
        <v>2909</v>
      </c>
      <c r="C22" s="80">
        <v>91</v>
      </c>
      <c r="D22" s="73">
        <f t="shared" si="8"/>
        <v>3000</v>
      </c>
      <c r="E22" s="79">
        <v>2882</v>
      </c>
      <c r="F22" s="80">
        <v>406</v>
      </c>
      <c r="G22" s="97">
        <f t="shared" si="9"/>
        <v>3288</v>
      </c>
      <c r="H22" s="74">
        <f t="shared" si="2"/>
        <v>288</v>
      </c>
      <c r="I22" s="75">
        <f t="shared" si="5"/>
        <v>1.096</v>
      </c>
      <c r="J22" s="81">
        <v>3200</v>
      </c>
      <c r="K22" s="80">
        <v>350</v>
      </c>
      <c r="L22" s="100">
        <f t="shared" si="10"/>
        <v>3550</v>
      </c>
      <c r="M22" s="74">
        <f t="shared" si="4"/>
        <v>262</v>
      </c>
      <c r="N22" s="77">
        <f t="shared" si="6"/>
        <v>1.079683698296837</v>
      </c>
    </row>
    <row r="23" spans="1:14" ht="13.5" customHeight="1">
      <c r="A23" s="82" t="s">
        <v>186</v>
      </c>
      <c r="B23" s="79"/>
      <c r="C23" s="80"/>
      <c r="D23" s="73">
        <f t="shared" si="8"/>
        <v>0</v>
      </c>
      <c r="E23" s="79"/>
      <c r="F23" s="80"/>
      <c r="G23" s="97">
        <f t="shared" si="9"/>
        <v>0</v>
      </c>
      <c r="H23" s="74">
        <f t="shared" si="2"/>
        <v>0</v>
      </c>
      <c r="I23" s="75"/>
      <c r="J23" s="81"/>
      <c r="K23" s="80"/>
      <c r="L23" s="100">
        <f t="shared" si="10"/>
        <v>0</v>
      </c>
      <c r="M23" s="74">
        <f t="shared" si="4"/>
        <v>0</v>
      </c>
      <c r="N23" s="77"/>
    </row>
    <row r="24" spans="1:14" ht="13.5" customHeight="1">
      <c r="A24" s="78" t="s">
        <v>298</v>
      </c>
      <c r="B24" s="79"/>
      <c r="C24" s="80"/>
      <c r="D24" s="73">
        <f t="shared" si="8"/>
        <v>0</v>
      </c>
      <c r="E24" s="79">
        <v>59</v>
      </c>
      <c r="F24" s="80">
        <v>6</v>
      </c>
      <c r="G24" s="97">
        <f t="shared" si="9"/>
        <v>65</v>
      </c>
      <c r="H24" s="74">
        <f t="shared" si="2"/>
        <v>65</v>
      </c>
      <c r="I24" s="75"/>
      <c r="J24" s="81">
        <v>64</v>
      </c>
      <c r="K24" s="80">
        <v>6</v>
      </c>
      <c r="L24" s="100">
        <f t="shared" si="10"/>
        <v>70</v>
      </c>
      <c r="M24" s="74">
        <f t="shared" si="4"/>
        <v>5</v>
      </c>
      <c r="N24" s="77">
        <f aca="true" t="shared" si="11" ref="N24:N38">+L24/G24</f>
        <v>1.0769230769230769</v>
      </c>
    </row>
    <row r="25" spans="1:14" ht="13.5" customHeight="1">
      <c r="A25" s="78" t="s">
        <v>187</v>
      </c>
      <c r="B25" s="81">
        <v>2103</v>
      </c>
      <c r="C25" s="80">
        <v>52</v>
      </c>
      <c r="D25" s="73">
        <f t="shared" si="8"/>
        <v>2155</v>
      </c>
      <c r="E25" s="81">
        <v>3944</v>
      </c>
      <c r="F25" s="80">
        <v>51</v>
      </c>
      <c r="G25" s="97">
        <f t="shared" si="9"/>
        <v>3995</v>
      </c>
      <c r="H25" s="74">
        <f t="shared" si="2"/>
        <v>1840</v>
      </c>
      <c r="I25" s="75">
        <f aca="true" t="shared" si="12" ref="I25:I38">+G25/D25</f>
        <v>1.8538283062645011</v>
      </c>
      <c r="J25" s="81">
        <v>2311</v>
      </c>
      <c r="K25" s="80">
        <v>92</v>
      </c>
      <c r="L25" s="100">
        <f t="shared" si="10"/>
        <v>2403</v>
      </c>
      <c r="M25" s="74">
        <f t="shared" si="4"/>
        <v>-1592</v>
      </c>
      <c r="N25" s="77">
        <f t="shared" si="11"/>
        <v>0.6015018773466834</v>
      </c>
    </row>
    <row r="26" spans="1:14" ht="13.5" customHeight="1">
      <c r="A26" s="82" t="s">
        <v>188</v>
      </c>
      <c r="B26" s="79">
        <v>1189</v>
      </c>
      <c r="C26" s="80">
        <v>16</v>
      </c>
      <c r="D26" s="73">
        <f t="shared" si="8"/>
        <v>1205</v>
      </c>
      <c r="E26" s="79">
        <v>3024</v>
      </c>
      <c r="F26" s="80">
        <v>37</v>
      </c>
      <c r="G26" s="97">
        <f t="shared" si="9"/>
        <v>3061</v>
      </c>
      <c r="H26" s="74">
        <f t="shared" si="2"/>
        <v>1856</v>
      </c>
      <c r="I26" s="75">
        <f t="shared" si="12"/>
        <v>2.5402489626556015</v>
      </c>
      <c r="J26" s="102">
        <v>1340</v>
      </c>
      <c r="K26" s="80">
        <v>60</v>
      </c>
      <c r="L26" s="100">
        <f t="shared" si="10"/>
        <v>1400</v>
      </c>
      <c r="M26" s="74">
        <f t="shared" si="4"/>
        <v>-1661</v>
      </c>
      <c r="N26" s="77">
        <f t="shared" si="11"/>
        <v>0.4573668735707285</v>
      </c>
    </row>
    <row r="27" spans="1:14" ht="13.5" customHeight="1">
      <c r="A27" s="78" t="s">
        <v>189</v>
      </c>
      <c r="B27" s="79">
        <v>883</v>
      </c>
      <c r="C27" s="80">
        <v>28</v>
      </c>
      <c r="D27" s="73">
        <f t="shared" si="8"/>
        <v>911</v>
      </c>
      <c r="E27" s="79">
        <v>918</v>
      </c>
      <c r="F27" s="80">
        <v>14</v>
      </c>
      <c r="G27" s="97">
        <f t="shared" si="9"/>
        <v>932</v>
      </c>
      <c r="H27" s="74">
        <f t="shared" si="2"/>
        <v>21</v>
      </c>
      <c r="I27" s="75">
        <f t="shared" si="12"/>
        <v>1.0230515916575191</v>
      </c>
      <c r="J27" s="102">
        <v>969</v>
      </c>
      <c r="K27" s="80">
        <v>32</v>
      </c>
      <c r="L27" s="100">
        <f t="shared" si="10"/>
        <v>1001</v>
      </c>
      <c r="M27" s="74">
        <f t="shared" si="4"/>
        <v>69</v>
      </c>
      <c r="N27" s="77">
        <f t="shared" si="11"/>
        <v>1.0740343347639485</v>
      </c>
    </row>
    <row r="28" spans="1:14" ht="13.5" customHeight="1">
      <c r="A28" s="103" t="s">
        <v>190</v>
      </c>
      <c r="B28" s="81">
        <v>38988</v>
      </c>
      <c r="C28" s="80">
        <v>407</v>
      </c>
      <c r="D28" s="73">
        <f t="shared" si="8"/>
        <v>39395</v>
      </c>
      <c r="E28" s="81">
        <v>44583</v>
      </c>
      <c r="F28" s="80">
        <v>364</v>
      </c>
      <c r="G28" s="97">
        <f t="shared" si="9"/>
        <v>44947</v>
      </c>
      <c r="H28" s="74">
        <f t="shared" si="2"/>
        <v>5552</v>
      </c>
      <c r="I28" s="75">
        <f t="shared" si="12"/>
        <v>1.140931590303338</v>
      </c>
      <c r="J28" s="81">
        <v>46715</v>
      </c>
      <c r="K28" s="80">
        <v>432</v>
      </c>
      <c r="L28" s="100">
        <f t="shared" si="10"/>
        <v>47147</v>
      </c>
      <c r="M28" s="74">
        <f t="shared" si="4"/>
        <v>2200</v>
      </c>
      <c r="N28" s="77">
        <f t="shared" si="11"/>
        <v>1.0489465370325048</v>
      </c>
    </row>
    <row r="29" spans="1:14" ht="13.5" customHeight="1">
      <c r="A29" s="82" t="s">
        <v>191</v>
      </c>
      <c r="B29" s="79">
        <v>28449</v>
      </c>
      <c r="C29" s="80">
        <v>303</v>
      </c>
      <c r="D29" s="73">
        <f t="shared" si="8"/>
        <v>28752</v>
      </c>
      <c r="E29" s="79">
        <v>32556</v>
      </c>
      <c r="F29" s="80">
        <v>272</v>
      </c>
      <c r="G29" s="97">
        <f t="shared" si="9"/>
        <v>32828</v>
      </c>
      <c r="H29" s="74">
        <f t="shared" si="2"/>
        <v>4076</v>
      </c>
      <c r="I29" s="75">
        <f t="shared" si="12"/>
        <v>1.1417640511964384</v>
      </c>
      <c r="J29" s="102">
        <v>34147</v>
      </c>
      <c r="K29" s="104">
        <v>320</v>
      </c>
      <c r="L29" s="100">
        <f t="shared" si="10"/>
        <v>34467</v>
      </c>
      <c r="M29" s="74">
        <f t="shared" si="4"/>
        <v>1639</v>
      </c>
      <c r="N29" s="77">
        <f t="shared" si="11"/>
        <v>1.049926891677836</v>
      </c>
    </row>
    <row r="30" spans="1:14" ht="13.5" customHeight="1">
      <c r="A30" s="103" t="s">
        <v>192</v>
      </c>
      <c r="B30" s="79">
        <v>28266</v>
      </c>
      <c r="C30" s="80">
        <v>296</v>
      </c>
      <c r="D30" s="73">
        <f t="shared" si="8"/>
        <v>28562</v>
      </c>
      <c r="E30" s="79">
        <v>32325</v>
      </c>
      <c r="F30" s="80">
        <v>263</v>
      </c>
      <c r="G30" s="97">
        <f t="shared" si="9"/>
        <v>32588</v>
      </c>
      <c r="H30" s="74">
        <f t="shared" si="2"/>
        <v>4026</v>
      </c>
      <c r="I30" s="75">
        <f t="shared" si="12"/>
        <v>1.1409565156501646</v>
      </c>
      <c r="J30" s="81">
        <v>33897</v>
      </c>
      <c r="K30" s="80">
        <v>320</v>
      </c>
      <c r="L30" s="100">
        <f t="shared" si="10"/>
        <v>34217</v>
      </c>
      <c r="M30" s="74">
        <f t="shared" si="4"/>
        <v>1629</v>
      </c>
      <c r="N30" s="77">
        <f t="shared" si="11"/>
        <v>1.0499877255431447</v>
      </c>
    </row>
    <row r="31" spans="1:14" ht="13.5" customHeight="1">
      <c r="A31" s="82" t="s">
        <v>193</v>
      </c>
      <c r="B31" s="79">
        <v>173</v>
      </c>
      <c r="C31" s="80">
        <v>7</v>
      </c>
      <c r="D31" s="73">
        <f t="shared" si="8"/>
        <v>180</v>
      </c>
      <c r="E31" s="79">
        <v>231</v>
      </c>
      <c r="F31" s="80">
        <v>9</v>
      </c>
      <c r="G31" s="97">
        <f t="shared" si="9"/>
        <v>240</v>
      </c>
      <c r="H31" s="74">
        <f t="shared" si="2"/>
        <v>60</v>
      </c>
      <c r="I31" s="75">
        <f t="shared" si="12"/>
        <v>1.3333333333333333</v>
      </c>
      <c r="J31" s="81">
        <v>250</v>
      </c>
      <c r="K31" s="80"/>
      <c r="L31" s="100">
        <f t="shared" si="10"/>
        <v>250</v>
      </c>
      <c r="M31" s="74">
        <f t="shared" si="4"/>
        <v>10</v>
      </c>
      <c r="N31" s="77">
        <f t="shared" si="11"/>
        <v>1.0416666666666667</v>
      </c>
    </row>
    <row r="32" spans="1:14" ht="13.5" customHeight="1">
      <c r="A32" s="82" t="s">
        <v>194</v>
      </c>
      <c r="B32" s="79">
        <v>10539</v>
      </c>
      <c r="C32" s="80">
        <v>104</v>
      </c>
      <c r="D32" s="73">
        <f t="shared" si="8"/>
        <v>10643</v>
      </c>
      <c r="E32" s="79">
        <v>12027</v>
      </c>
      <c r="F32" s="80">
        <v>92</v>
      </c>
      <c r="G32" s="97">
        <f t="shared" si="9"/>
        <v>12119</v>
      </c>
      <c r="H32" s="74">
        <f t="shared" si="2"/>
        <v>1476</v>
      </c>
      <c r="I32" s="75">
        <f t="shared" si="12"/>
        <v>1.1386827022456074</v>
      </c>
      <c r="J32" s="81">
        <v>12568</v>
      </c>
      <c r="K32" s="80">
        <v>112</v>
      </c>
      <c r="L32" s="100">
        <f t="shared" si="10"/>
        <v>12680</v>
      </c>
      <c r="M32" s="74">
        <f t="shared" si="4"/>
        <v>561</v>
      </c>
      <c r="N32" s="77">
        <f t="shared" si="11"/>
        <v>1.0462909480980278</v>
      </c>
    </row>
    <row r="33" spans="1:14" ht="13.5" customHeight="1">
      <c r="A33" s="103" t="s">
        <v>195</v>
      </c>
      <c r="B33" s="79">
        <v>9</v>
      </c>
      <c r="C33" s="80">
        <v>12</v>
      </c>
      <c r="D33" s="73">
        <f t="shared" si="8"/>
        <v>21</v>
      </c>
      <c r="E33" s="79">
        <v>12</v>
      </c>
      <c r="F33" s="80">
        <v>4</v>
      </c>
      <c r="G33" s="97">
        <f t="shared" si="9"/>
        <v>16</v>
      </c>
      <c r="H33" s="74">
        <f t="shared" si="2"/>
        <v>-5</v>
      </c>
      <c r="I33" s="75">
        <f t="shared" si="12"/>
        <v>0.7619047619047619</v>
      </c>
      <c r="J33" s="81">
        <v>12</v>
      </c>
      <c r="K33" s="80">
        <v>4</v>
      </c>
      <c r="L33" s="100">
        <f t="shared" si="10"/>
        <v>16</v>
      </c>
      <c r="M33" s="74">
        <f t="shared" si="4"/>
        <v>0</v>
      </c>
      <c r="N33" s="77">
        <f t="shared" si="11"/>
        <v>1</v>
      </c>
    </row>
    <row r="34" spans="1:14" ht="13.5" customHeight="1">
      <c r="A34" s="103" t="s">
        <v>196</v>
      </c>
      <c r="B34" s="79">
        <v>361</v>
      </c>
      <c r="C34" s="80">
        <v>30</v>
      </c>
      <c r="D34" s="73">
        <f t="shared" si="8"/>
        <v>391</v>
      </c>
      <c r="E34" s="79">
        <v>972</v>
      </c>
      <c r="F34" s="80">
        <v>57</v>
      </c>
      <c r="G34" s="97">
        <f t="shared" si="9"/>
        <v>1029</v>
      </c>
      <c r="H34" s="74">
        <f t="shared" si="2"/>
        <v>638</v>
      </c>
      <c r="I34" s="75">
        <f t="shared" si="12"/>
        <v>2.631713554987212</v>
      </c>
      <c r="J34" s="81">
        <v>957</v>
      </c>
      <c r="K34" s="80">
        <v>30</v>
      </c>
      <c r="L34" s="100">
        <f t="shared" si="10"/>
        <v>987</v>
      </c>
      <c r="M34" s="74">
        <f t="shared" si="4"/>
        <v>-42</v>
      </c>
      <c r="N34" s="77">
        <f t="shared" si="11"/>
        <v>0.9591836734693877</v>
      </c>
    </row>
    <row r="35" spans="1:14" ht="13.5" customHeight="1">
      <c r="A35" s="82" t="s">
        <v>197</v>
      </c>
      <c r="B35" s="79">
        <v>2761</v>
      </c>
      <c r="C35" s="80">
        <v>105</v>
      </c>
      <c r="D35" s="73">
        <f t="shared" si="8"/>
        <v>2866</v>
      </c>
      <c r="E35" s="79">
        <v>2549</v>
      </c>
      <c r="F35" s="80">
        <v>95</v>
      </c>
      <c r="G35" s="97">
        <f t="shared" si="9"/>
        <v>2644</v>
      </c>
      <c r="H35" s="74">
        <f t="shared" si="2"/>
        <v>-222</v>
      </c>
      <c r="I35" s="75">
        <f t="shared" si="12"/>
        <v>0.9225401256106072</v>
      </c>
      <c r="J35" s="102">
        <v>2421</v>
      </c>
      <c r="K35" s="80">
        <v>100</v>
      </c>
      <c r="L35" s="100">
        <f t="shared" si="10"/>
        <v>2521</v>
      </c>
      <c r="M35" s="74">
        <f t="shared" si="4"/>
        <v>-123</v>
      </c>
      <c r="N35" s="77">
        <f t="shared" si="11"/>
        <v>0.9534795763993948</v>
      </c>
    </row>
    <row r="36" spans="1:14" ht="22.5" customHeight="1">
      <c r="A36" s="82" t="s">
        <v>198</v>
      </c>
      <c r="B36" s="79">
        <v>2752</v>
      </c>
      <c r="C36" s="80">
        <v>105</v>
      </c>
      <c r="D36" s="73">
        <f t="shared" si="8"/>
        <v>2857</v>
      </c>
      <c r="E36" s="79">
        <v>2549</v>
      </c>
      <c r="F36" s="80">
        <v>95</v>
      </c>
      <c r="G36" s="97">
        <f t="shared" si="9"/>
        <v>2644</v>
      </c>
      <c r="H36" s="74">
        <f t="shared" si="2"/>
        <v>-213</v>
      </c>
      <c r="I36" s="75">
        <f t="shared" si="12"/>
        <v>0.9254462723136156</v>
      </c>
      <c r="J36" s="102">
        <v>2421</v>
      </c>
      <c r="K36" s="80">
        <v>100</v>
      </c>
      <c r="L36" s="100">
        <f t="shared" si="10"/>
        <v>2521</v>
      </c>
      <c r="M36" s="74">
        <f t="shared" si="4"/>
        <v>-123</v>
      </c>
      <c r="N36" s="77">
        <f t="shared" si="11"/>
        <v>0.9534795763993948</v>
      </c>
    </row>
    <row r="37" spans="1:14" ht="13.5" customHeight="1" thickBot="1">
      <c r="A37" s="105" t="s">
        <v>199</v>
      </c>
      <c r="B37" s="83"/>
      <c r="C37" s="84"/>
      <c r="D37" s="73">
        <f t="shared" si="8"/>
        <v>0</v>
      </c>
      <c r="E37" s="83">
        <v>558</v>
      </c>
      <c r="F37" s="84"/>
      <c r="G37" s="97">
        <f t="shared" si="9"/>
        <v>558</v>
      </c>
      <c r="H37" s="85">
        <f t="shared" si="2"/>
        <v>558</v>
      </c>
      <c r="I37" s="86"/>
      <c r="J37" s="106"/>
      <c r="K37" s="84"/>
      <c r="L37" s="100">
        <f t="shared" si="10"/>
        <v>0</v>
      </c>
      <c r="M37" s="85">
        <f t="shared" si="4"/>
        <v>-558</v>
      </c>
      <c r="N37" s="87"/>
    </row>
    <row r="38" spans="1:14" ht="13.5" customHeight="1" thickBot="1">
      <c r="A38" s="88" t="s">
        <v>200</v>
      </c>
      <c r="B38" s="89">
        <f aca="true" t="shared" si="13" ref="B38:G38">SUM(B20+B22+B23+B24+B25+B28+B33+B34+B35+B37)</f>
        <v>54116</v>
      </c>
      <c r="C38" s="90">
        <f t="shared" si="13"/>
        <v>980</v>
      </c>
      <c r="D38" s="91">
        <f t="shared" si="13"/>
        <v>55096</v>
      </c>
      <c r="E38" s="89">
        <f t="shared" si="13"/>
        <v>62964</v>
      </c>
      <c r="F38" s="90">
        <f t="shared" si="13"/>
        <v>1271</v>
      </c>
      <c r="G38" s="91">
        <f t="shared" si="13"/>
        <v>64235</v>
      </c>
      <c r="H38" s="92">
        <f t="shared" si="2"/>
        <v>9139</v>
      </c>
      <c r="I38" s="93">
        <f t="shared" si="12"/>
        <v>1.1658741106432409</v>
      </c>
      <c r="J38" s="94">
        <f>SUM(J20+J22+J23+J24+J25+J28+J33+J34+J35+J37)</f>
        <v>63060</v>
      </c>
      <c r="K38" s="90">
        <f>SUM(K20+K22+K23+K24+K25+K28+K33+K34+K35+K37)</f>
        <v>1349</v>
      </c>
      <c r="L38" s="91">
        <f>SUM(L20+L22+L23+L24+L25+L28+L33+L34+L35+L37)</f>
        <v>64409</v>
      </c>
      <c r="M38" s="92">
        <f t="shared" si="4"/>
        <v>174</v>
      </c>
      <c r="N38" s="95">
        <f t="shared" si="11"/>
        <v>1.0027088036117382</v>
      </c>
    </row>
    <row r="39" spans="1:14" ht="13.5" customHeight="1" thickBot="1">
      <c r="A39" s="88" t="s">
        <v>201</v>
      </c>
      <c r="B39" s="787">
        <f>+D19-D38</f>
        <v>589</v>
      </c>
      <c r="C39" s="787"/>
      <c r="D39" s="787"/>
      <c r="E39" s="787">
        <f>+G19-G38</f>
        <v>896</v>
      </c>
      <c r="F39" s="787"/>
      <c r="G39" s="787">
        <v>-50784</v>
      </c>
      <c r="H39" s="107"/>
      <c r="I39" s="108"/>
      <c r="J39" s="789">
        <f>+L19-L38</f>
        <v>-6104</v>
      </c>
      <c r="K39" s="789"/>
      <c r="L39" s="789">
        <v>0</v>
      </c>
      <c r="M39" s="92"/>
      <c r="N39" s="95"/>
    </row>
    <row r="40" spans="1:16" ht="20.25" customHeight="1" thickBot="1">
      <c r="A40" s="109" t="s">
        <v>202</v>
      </c>
      <c r="B40" s="787"/>
      <c r="C40" s="787"/>
      <c r="D40" s="787"/>
      <c r="E40" s="787"/>
      <c r="F40" s="787"/>
      <c r="G40" s="787"/>
      <c r="H40"/>
      <c r="I40"/>
      <c r="J40"/>
      <c r="K40"/>
      <c r="L40"/>
      <c r="M40"/>
      <c r="N40"/>
      <c r="O40"/>
      <c r="P40"/>
    </row>
    <row r="41" spans="2:8" ht="14.25" customHeight="1" thickBot="1">
      <c r="B41" s="209"/>
      <c r="C41" s="209"/>
      <c r="D41" s="219"/>
      <c r="E41" s="209"/>
      <c r="F41" s="209"/>
      <c r="G41" s="209"/>
      <c r="H41" s="209"/>
    </row>
    <row r="42" spans="1:16" ht="13.5" thickBot="1">
      <c r="A42" s="805" t="s">
        <v>312</v>
      </c>
      <c r="B42" s="805"/>
      <c r="C42" s="799" t="s">
        <v>203</v>
      </c>
      <c r="D42" s="805" t="s">
        <v>420</v>
      </c>
      <c r="E42" s="805"/>
      <c r="F42" s="805"/>
      <c r="G42" s="799" t="s">
        <v>203</v>
      </c>
      <c r="H42" s="785" t="s">
        <v>421</v>
      </c>
      <c r="I42" s="785"/>
      <c r="J42" s="785"/>
      <c r="K42" s="785"/>
      <c r="L42" s="799" t="s">
        <v>203</v>
      </c>
      <c r="O42"/>
      <c r="P42"/>
    </row>
    <row r="43" spans="1:16" ht="13.5" thickBot="1">
      <c r="A43" s="805"/>
      <c r="B43" s="805"/>
      <c r="C43" s="799"/>
      <c r="D43" s="805"/>
      <c r="E43" s="805"/>
      <c r="F43" s="805"/>
      <c r="G43" s="799"/>
      <c r="H43" s="786"/>
      <c r="I43" s="786"/>
      <c r="J43" s="786"/>
      <c r="K43" s="786"/>
      <c r="L43" s="810"/>
      <c r="O43"/>
      <c r="P43"/>
    </row>
    <row r="44" spans="1:16" ht="12.75">
      <c r="A44" s="794" t="s">
        <v>373</v>
      </c>
      <c r="B44" s="794"/>
      <c r="C44" s="110">
        <v>119</v>
      </c>
      <c r="D44" s="795" t="s">
        <v>374</v>
      </c>
      <c r="E44" s="795"/>
      <c r="F44" s="795"/>
      <c r="G44" s="118">
        <v>339</v>
      </c>
      <c r="H44" s="796" t="s">
        <v>374</v>
      </c>
      <c r="I44" s="796"/>
      <c r="J44" s="796"/>
      <c r="K44" s="796"/>
      <c r="L44" s="578">
        <v>300</v>
      </c>
      <c r="O44"/>
      <c r="P44"/>
    </row>
    <row r="45" spans="1:16" ht="12.75">
      <c r="A45" s="797" t="s">
        <v>532</v>
      </c>
      <c r="B45" s="797"/>
      <c r="C45" s="113">
        <v>648</v>
      </c>
      <c r="D45" s="795" t="s">
        <v>533</v>
      </c>
      <c r="E45" s="795"/>
      <c r="F45" s="795"/>
      <c r="G45" s="119">
        <v>137</v>
      </c>
      <c r="H45" s="796" t="s">
        <v>534</v>
      </c>
      <c r="I45" s="796"/>
      <c r="J45" s="796"/>
      <c r="K45" s="796"/>
      <c r="L45" s="578">
        <v>30</v>
      </c>
      <c r="O45"/>
      <c r="P45"/>
    </row>
    <row r="46" spans="1:16" ht="12.75">
      <c r="A46" s="797" t="s">
        <v>374</v>
      </c>
      <c r="B46" s="797"/>
      <c r="C46" s="113">
        <v>339</v>
      </c>
      <c r="D46" s="795" t="s">
        <v>535</v>
      </c>
      <c r="E46" s="795"/>
      <c r="F46" s="795"/>
      <c r="G46" s="119">
        <v>54</v>
      </c>
      <c r="H46" s="796" t="s">
        <v>536</v>
      </c>
      <c r="I46" s="796"/>
      <c r="J46" s="796"/>
      <c r="K46" s="796"/>
      <c r="L46" s="578">
        <v>200</v>
      </c>
      <c r="O46"/>
      <c r="P46"/>
    </row>
    <row r="47" spans="1:16" ht="12.75">
      <c r="A47" s="797" t="s">
        <v>375</v>
      </c>
      <c r="B47" s="797"/>
      <c r="C47" s="115">
        <v>60</v>
      </c>
      <c r="D47" s="797"/>
      <c r="E47" s="797"/>
      <c r="F47" s="797"/>
      <c r="G47" s="121"/>
      <c r="H47" s="796" t="s">
        <v>538</v>
      </c>
      <c r="I47" s="796"/>
      <c r="J47" s="796"/>
      <c r="K47" s="796"/>
      <c r="L47" s="578">
        <v>450</v>
      </c>
      <c r="O47"/>
      <c r="P47"/>
    </row>
    <row r="48" spans="1:16" ht="12.75">
      <c r="A48" s="797" t="s">
        <v>247</v>
      </c>
      <c r="B48" s="797"/>
      <c r="C48" s="115">
        <v>1477</v>
      </c>
      <c r="D48" s="797"/>
      <c r="E48" s="797"/>
      <c r="F48" s="797"/>
      <c r="G48" s="121"/>
      <c r="H48" s="796" t="s">
        <v>204</v>
      </c>
      <c r="I48" s="796"/>
      <c r="J48" s="796"/>
      <c r="K48" s="796"/>
      <c r="L48" s="578">
        <v>1471</v>
      </c>
      <c r="O48"/>
      <c r="P48"/>
    </row>
    <row r="49" spans="1:16" ht="12.75">
      <c r="A49" s="797"/>
      <c r="B49" s="797"/>
      <c r="C49" s="115"/>
      <c r="D49" s="797"/>
      <c r="E49" s="797"/>
      <c r="F49" s="797"/>
      <c r="G49" s="121"/>
      <c r="H49" s="796" t="s">
        <v>545</v>
      </c>
      <c r="I49" s="796"/>
      <c r="J49" s="796"/>
      <c r="K49" s="796"/>
      <c r="L49" s="578">
        <v>300</v>
      </c>
      <c r="O49"/>
      <c r="P49"/>
    </row>
    <row r="50" spans="1:16" ht="13.5" thickBot="1">
      <c r="A50" s="800"/>
      <c r="B50" s="800"/>
      <c r="C50" s="115"/>
      <c r="D50" s="801"/>
      <c r="E50" s="801"/>
      <c r="F50" s="801"/>
      <c r="G50" s="121"/>
      <c r="H50" s="796"/>
      <c r="I50" s="796"/>
      <c r="J50" s="796"/>
      <c r="K50" s="796"/>
      <c r="L50" s="578"/>
      <c r="O50"/>
      <c r="P50"/>
    </row>
    <row r="51" spans="1:16" ht="13.5" thickBot="1">
      <c r="A51" s="811"/>
      <c r="B51" s="811"/>
      <c r="C51" s="117">
        <f>SUM(C44:C50)</f>
        <v>2643</v>
      </c>
      <c r="D51" s="812" t="s">
        <v>168</v>
      </c>
      <c r="E51" s="812"/>
      <c r="F51" s="812"/>
      <c r="G51" s="117">
        <f>SUM(G44:G50)</f>
        <v>530</v>
      </c>
      <c r="H51" s="813" t="s">
        <v>168</v>
      </c>
      <c r="I51" s="813"/>
      <c r="J51" s="813"/>
      <c r="K51" s="813"/>
      <c r="L51" s="468">
        <f>SUM(L44:L50)</f>
        <v>2751</v>
      </c>
      <c r="M51" s="17"/>
      <c r="N51" s="17"/>
      <c r="O51"/>
      <c r="P51"/>
    </row>
    <row r="52" spans="1:16" s="1" customFormat="1" ht="13.5" customHeight="1" thickBot="1">
      <c r="A52" s="18"/>
      <c r="B52" s="5"/>
      <c r="C52" s="5"/>
      <c r="D52" s="5"/>
      <c r="E52" s="5"/>
      <c r="F52" s="5"/>
      <c r="G52" s="5"/>
      <c r="H52" s="6"/>
      <c r="I52" s="220"/>
      <c r="J52" s="220"/>
      <c r="K52" s="220"/>
      <c r="L52" s="220"/>
      <c r="M52" s="220"/>
      <c r="N52" s="220"/>
      <c r="O52" s="220"/>
      <c r="P52" s="220"/>
    </row>
    <row r="53" spans="1:16" ht="13.5" thickBot="1">
      <c r="A53" s="805" t="s">
        <v>429</v>
      </c>
      <c r="B53" s="805"/>
      <c r="C53" s="799" t="s">
        <v>203</v>
      </c>
      <c r="D53" s="806" t="s">
        <v>430</v>
      </c>
      <c r="E53" s="806"/>
      <c r="F53" s="806"/>
      <c r="G53" s="798" t="s">
        <v>203</v>
      </c>
      <c r="H53" s="785" t="s">
        <v>431</v>
      </c>
      <c r="I53" s="785"/>
      <c r="J53" s="785"/>
      <c r="K53" s="785"/>
      <c r="L53" s="799" t="s">
        <v>203</v>
      </c>
      <c r="O53"/>
      <c r="P53"/>
    </row>
    <row r="54" spans="1:16" ht="13.5" thickBot="1">
      <c r="A54" s="805"/>
      <c r="B54" s="805"/>
      <c r="C54" s="799"/>
      <c r="D54" s="806"/>
      <c r="E54" s="806"/>
      <c r="F54" s="806"/>
      <c r="G54" s="798"/>
      <c r="H54" s="785"/>
      <c r="I54" s="785"/>
      <c r="J54" s="785"/>
      <c r="K54" s="785"/>
      <c r="L54" s="799"/>
      <c r="O54"/>
      <c r="P54"/>
    </row>
    <row r="55" spans="1:16" ht="12.75">
      <c r="A55" s="803" t="s">
        <v>283</v>
      </c>
      <c r="B55" s="803"/>
      <c r="C55" s="110">
        <v>200</v>
      </c>
      <c r="D55" s="804" t="s">
        <v>537</v>
      </c>
      <c r="E55" s="804"/>
      <c r="F55" s="804"/>
      <c r="G55" s="118">
        <v>1928</v>
      </c>
      <c r="H55" s="802" t="s">
        <v>538</v>
      </c>
      <c r="I55" s="802"/>
      <c r="J55" s="802"/>
      <c r="K55" s="802"/>
      <c r="L55" s="112">
        <v>450</v>
      </c>
      <c r="O55"/>
      <c r="P55"/>
    </row>
    <row r="56" spans="1:16" ht="13.5" customHeight="1">
      <c r="A56" s="781" t="s">
        <v>539</v>
      </c>
      <c r="B56" s="781"/>
      <c r="C56" s="113">
        <v>50</v>
      </c>
      <c r="D56" s="782" t="s">
        <v>540</v>
      </c>
      <c r="E56" s="782"/>
      <c r="F56" s="782"/>
      <c r="G56" s="119">
        <v>500</v>
      </c>
      <c r="H56" s="776" t="s">
        <v>541</v>
      </c>
      <c r="I56" s="776"/>
      <c r="J56" s="776"/>
      <c r="K56" s="776"/>
      <c r="L56" s="120">
        <v>200</v>
      </c>
      <c r="O56"/>
      <c r="P56"/>
    </row>
    <row r="57" spans="1:16" ht="13.5" customHeight="1">
      <c r="A57" s="781" t="s">
        <v>376</v>
      </c>
      <c r="B57" s="781"/>
      <c r="C57" s="113">
        <v>150</v>
      </c>
      <c r="D57" s="782" t="s">
        <v>541</v>
      </c>
      <c r="E57" s="782"/>
      <c r="F57" s="782"/>
      <c r="G57" s="119">
        <v>180</v>
      </c>
      <c r="H57" s="776" t="s">
        <v>346</v>
      </c>
      <c r="I57" s="776"/>
      <c r="J57" s="776"/>
      <c r="K57" s="776"/>
      <c r="L57" s="120">
        <v>400</v>
      </c>
      <c r="O57"/>
      <c r="P57"/>
    </row>
    <row r="58" spans="1:16" ht="13.5" customHeight="1">
      <c r="A58" s="781" t="s">
        <v>542</v>
      </c>
      <c r="B58" s="781"/>
      <c r="C58" s="113">
        <v>130</v>
      </c>
      <c r="D58" s="782" t="s">
        <v>346</v>
      </c>
      <c r="E58" s="782"/>
      <c r="F58" s="782"/>
      <c r="G58" s="119">
        <v>400</v>
      </c>
      <c r="H58" s="776" t="s">
        <v>543</v>
      </c>
      <c r="I58" s="776"/>
      <c r="J58" s="776"/>
      <c r="K58" s="776"/>
      <c r="L58" s="120">
        <v>50</v>
      </c>
      <c r="O58"/>
      <c r="P58"/>
    </row>
    <row r="59" spans="1:16" ht="13.5" customHeight="1">
      <c r="A59" s="781" t="s">
        <v>544</v>
      </c>
      <c r="B59" s="781"/>
      <c r="C59" s="115">
        <v>600</v>
      </c>
      <c r="D59" s="782" t="s">
        <v>543</v>
      </c>
      <c r="E59" s="782"/>
      <c r="F59" s="782"/>
      <c r="G59" s="121">
        <v>53</v>
      </c>
      <c r="H59" s="776" t="s">
        <v>545</v>
      </c>
      <c r="I59" s="776"/>
      <c r="J59" s="776"/>
      <c r="K59" s="776"/>
      <c r="L59" s="122">
        <v>300</v>
      </c>
      <c r="O59"/>
      <c r="P59"/>
    </row>
    <row r="60" spans="1:16" ht="13.5" customHeight="1">
      <c r="A60" s="781" t="s">
        <v>546</v>
      </c>
      <c r="B60" s="781"/>
      <c r="C60" s="115">
        <v>60</v>
      </c>
      <c r="D60" s="782"/>
      <c r="E60" s="782"/>
      <c r="F60" s="782"/>
      <c r="G60" s="121"/>
      <c r="H60" s="776"/>
      <c r="I60" s="776"/>
      <c r="J60" s="776"/>
      <c r="K60" s="776"/>
      <c r="L60" s="122"/>
      <c r="O60"/>
      <c r="P60"/>
    </row>
    <row r="61" spans="1:16" ht="13.5" customHeight="1">
      <c r="A61" s="781" t="s">
        <v>284</v>
      </c>
      <c r="B61" s="781"/>
      <c r="C61" s="113">
        <v>664</v>
      </c>
      <c r="D61" s="782"/>
      <c r="E61" s="782"/>
      <c r="F61" s="782"/>
      <c r="G61" s="119"/>
      <c r="H61" s="776"/>
      <c r="I61" s="776"/>
      <c r="J61" s="776"/>
      <c r="K61" s="776"/>
      <c r="L61" s="120"/>
      <c r="O61"/>
      <c r="P61"/>
    </row>
    <row r="62" spans="1:16" ht="13.5" thickBot="1">
      <c r="A62" s="780"/>
      <c r="B62" s="780"/>
      <c r="C62" s="310"/>
      <c r="D62" s="783"/>
      <c r="E62" s="783"/>
      <c r="F62" s="783"/>
      <c r="G62" s="123"/>
      <c r="H62" s="777"/>
      <c r="I62" s="777"/>
      <c r="J62" s="777"/>
      <c r="K62" s="777"/>
      <c r="L62" s="124"/>
      <c r="O62"/>
      <c r="P62"/>
    </row>
    <row r="63" spans="1:16" ht="13.5" thickBot="1">
      <c r="A63" s="779" t="s">
        <v>168</v>
      </c>
      <c r="B63" s="779"/>
      <c r="C63" s="117">
        <f>SUM(C55:C62)</f>
        <v>1854</v>
      </c>
      <c r="D63" s="784" t="s">
        <v>168</v>
      </c>
      <c r="E63" s="784"/>
      <c r="F63" s="784"/>
      <c r="G63" s="125">
        <f>SUM(G55:G62)</f>
        <v>3061</v>
      </c>
      <c r="H63" s="778" t="s">
        <v>168</v>
      </c>
      <c r="I63" s="778"/>
      <c r="J63" s="778"/>
      <c r="K63" s="778"/>
      <c r="L63" s="117">
        <f>SUM(L55:L62)</f>
        <v>1400</v>
      </c>
      <c r="M63" s="17"/>
      <c r="N63" s="17"/>
      <c r="O63"/>
      <c r="P63"/>
    </row>
    <row r="64" spans="1:14" s="1" customFormat="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1" customFormat="1" ht="13.5" thickBot="1">
      <c r="A65" s="19"/>
      <c r="B65" s="19"/>
      <c r="C65" s="19"/>
      <c r="D65" s="19"/>
      <c r="E65" s="19"/>
      <c r="F65" s="19"/>
      <c r="G65" s="314"/>
      <c r="H65" s="19"/>
      <c r="I65" s="19"/>
      <c r="J65" s="19"/>
      <c r="K65" s="19"/>
      <c r="L65" s="19"/>
      <c r="M65" s="19"/>
      <c r="N65" s="19"/>
    </row>
    <row r="66" spans="1:14" s="1" customFormat="1" ht="26.25" customHeight="1" thickBot="1">
      <c r="A66" s="833" t="s">
        <v>106</v>
      </c>
      <c r="B66" s="834"/>
      <c r="C66" s="834"/>
      <c r="D66" s="834"/>
      <c r="E66" s="835"/>
      <c r="F66" s="836" t="s">
        <v>107</v>
      </c>
      <c r="G66" s="837"/>
      <c r="H66" s="837"/>
      <c r="I66" s="837"/>
      <c r="J66" s="837"/>
      <c r="K66" s="837"/>
      <c r="L66" s="838"/>
      <c r="M66" s="19"/>
      <c r="N66" s="19"/>
    </row>
    <row r="67" spans="1:14" s="1" customFormat="1" ht="14.25" customHeight="1" thickBot="1">
      <c r="A67" s="397" t="s">
        <v>231</v>
      </c>
      <c r="B67" s="398" t="s">
        <v>96</v>
      </c>
      <c r="C67" s="839" t="s">
        <v>232</v>
      </c>
      <c r="D67" s="839"/>
      <c r="E67" s="399" t="s">
        <v>97</v>
      </c>
      <c r="F67" s="840" t="s">
        <v>231</v>
      </c>
      <c r="G67" s="841"/>
      <c r="H67" s="398" t="s">
        <v>96</v>
      </c>
      <c r="I67" s="839" t="s">
        <v>232</v>
      </c>
      <c r="J67" s="839"/>
      <c r="K67" s="839"/>
      <c r="L67" s="400" t="s">
        <v>97</v>
      </c>
      <c r="M67" s="19"/>
      <c r="N67" s="19"/>
    </row>
    <row r="68" spans="1:14" s="1" customFormat="1" ht="12.75">
      <c r="A68" s="401" t="s">
        <v>98</v>
      </c>
      <c r="B68" s="402">
        <v>1477</v>
      </c>
      <c r="C68" s="842" t="s">
        <v>99</v>
      </c>
      <c r="D68" s="842"/>
      <c r="E68" s="403"/>
      <c r="F68" s="843" t="s">
        <v>98</v>
      </c>
      <c r="G68" s="844"/>
      <c r="H68" s="402">
        <v>2337</v>
      </c>
      <c r="I68" s="842" t="s">
        <v>99</v>
      </c>
      <c r="J68" s="844"/>
      <c r="K68" s="844"/>
      <c r="L68" s="403"/>
      <c r="M68" s="19"/>
      <c r="N68" s="19"/>
    </row>
    <row r="69" spans="1:14" s="1" customFormat="1" ht="12.75">
      <c r="A69" s="404" t="s">
        <v>100</v>
      </c>
      <c r="B69" s="405">
        <v>73</v>
      </c>
      <c r="C69" s="845" t="s">
        <v>101</v>
      </c>
      <c r="D69" s="845"/>
      <c r="E69" s="406"/>
      <c r="F69" s="846" t="s">
        <v>102</v>
      </c>
      <c r="G69" s="847"/>
      <c r="H69" s="405">
        <v>631</v>
      </c>
      <c r="I69" s="845" t="s">
        <v>101</v>
      </c>
      <c r="J69" s="847"/>
      <c r="K69" s="847"/>
      <c r="L69" s="406"/>
      <c r="M69" s="19"/>
      <c r="N69" s="19"/>
    </row>
    <row r="70" spans="1:14" s="1" customFormat="1" ht="12.75">
      <c r="A70" s="404" t="s">
        <v>103</v>
      </c>
      <c r="B70" s="405">
        <v>91</v>
      </c>
      <c r="C70" s="845" t="s">
        <v>657</v>
      </c>
      <c r="D70" s="845"/>
      <c r="E70" s="406">
        <v>113</v>
      </c>
      <c r="F70" s="845" t="s">
        <v>103</v>
      </c>
      <c r="G70" s="845"/>
      <c r="H70" s="405">
        <v>50</v>
      </c>
      <c r="I70" s="845" t="s">
        <v>658</v>
      </c>
      <c r="J70" s="847"/>
      <c r="K70" s="847"/>
      <c r="L70" s="406">
        <v>150</v>
      </c>
      <c r="M70" s="19"/>
      <c r="N70" s="19"/>
    </row>
    <row r="71" spans="1:14" s="1" customFormat="1" ht="13.5" thickBot="1">
      <c r="A71" s="407" t="s">
        <v>657</v>
      </c>
      <c r="B71" s="408">
        <v>809</v>
      </c>
      <c r="C71" s="848"/>
      <c r="D71" s="848"/>
      <c r="E71" s="409"/>
      <c r="F71" s="849"/>
      <c r="G71" s="850"/>
      <c r="H71" s="408"/>
      <c r="I71" s="848"/>
      <c r="J71" s="850"/>
      <c r="K71" s="850"/>
      <c r="L71" s="409"/>
      <c r="M71" s="19"/>
      <c r="N71" s="19"/>
    </row>
    <row r="72" spans="1:14" s="1" customFormat="1" ht="13.5" thickBot="1">
      <c r="A72" s="410" t="s">
        <v>168</v>
      </c>
      <c r="B72" s="411">
        <f>SUM(B68:B71)</f>
        <v>2450</v>
      </c>
      <c r="C72" s="851" t="s">
        <v>168</v>
      </c>
      <c r="D72" s="851"/>
      <c r="E72" s="413">
        <f>SUM(E68:E71)</f>
        <v>113</v>
      </c>
      <c r="F72" s="852" t="s">
        <v>168</v>
      </c>
      <c r="G72" s="853"/>
      <c r="H72" s="412">
        <f>SUM(H68:H71)</f>
        <v>3018</v>
      </c>
      <c r="I72" s="851" t="s">
        <v>168</v>
      </c>
      <c r="J72" s="853"/>
      <c r="K72" s="853"/>
      <c r="L72" s="413">
        <f>SUM(L68:L71)</f>
        <v>150</v>
      </c>
      <c r="M72" s="19"/>
      <c r="N72" s="19"/>
    </row>
    <row r="73" spans="1:14" s="1" customFormat="1" ht="13.5" thickBot="1">
      <c r="A73" s="414" t="s">
        <v>105</v>
      </c>
      <c r="B73" s="415">
        <f>B72-E72</f>
        <v>2337</v>
      </c>
      <c r="C73" s="19"/>
      <c r="D73" s="19"/>
      <c r="E73" s="19"/>
      <c r="F73" s="854" t="s">
        <v>105</v>
      </c>
      <c r="G73" s="701"/>
      <c r="H73" s="416">
        <f>H72-L72</f>
        <v>2868</v>
      </c>
      <c r="I73" s="19"/>
      <c r="J73" s="19"/>
      <c r="K73" s="19"/>
      <c r="L73" s="19"/>
      <c r="M73" s="19"/>
      <c r="N73" s="19"/>
    </row>
    <row r="74" spans="1:14" s="1" customFormat="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s="1" customFormat="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2" s="1" customFormat="1" ht="12.75">
      <c r="A76" s="20"/>
      <c r="B76" s="21"/>
      <c r="C76" s="21"/>
      <c r="D76" s="21"/>
      <c r="E76" s="2"/>
      <c r="F76" s="4"/>
      <c r="G76" s="4"/>
      <c r="H76" s="20"/>
      <c r="I76" s="21"/>
      <c r="J76" s="21"/>
      <c r="K76" s="21"/>
      <c r="L76" s="2"/>
    </row>
    <row r="77" spans="1:12" s="1" customFormat="1" ht="13.5" thickBot="1">
      <c r="A77" s="20"/>
      <c r="B77" s="21"/>
      <c r="C77" s="21"/>
      <c r="D77" s="21"/>
      <c r="E77" s="2"/>
      <c r="F77" s="4"/>
      <c r="G77" s="4"/>
      <c r="H77" s="20"/>
      <c r="I77" s="21"/>
      <c r="J77" s="21" t="s">
        <v>307</v>
      </c>
      <c r="K77" s="21"/>
      <c r="L77" s="2"/>
    </row>
    <row r="78" spans="1:15" s="1" customFormat="1" ht="13.5" thickBot="1">
      <c r="A78" s="822" t="s">
        <v>227</v>
      </c>
      <c r="B78" s="807" t="s">
        <v>435</v>
      </c>
      <c r="C78" s="808" t="s">
        <v>436</v>
      </c>
      <c r="D78" s="808"/>
      <c r="E78" s="808"/>
      <c r="F78" s="808"/>
      <c r="G78" s="808"/>
      <c r="H78" s="808"/>
      <c r="I78" s="808"/>
      <c r="J78" s="809" t="s">
        <v>437</v>
      </c>
      <c r="K78" s="209"/>
      <c r="L78" s="814" t="s">
        <v>205</v>
      </c>
      <c r="M78" s="814"/>
      <c r="N78" s="221">
        <v>2006</v>
      </c>
      <c r="O78" s="222">
        <v>2007</v>
      </c>
    </row>
    <row r="79" spans="1:15" s="1" customFormat="1" ht="13.5" thickBot="1">
      <c r="A79" s="822"/>
      <c r="B79" s="807"/>
      <c r="C79" s="815" t="s">
        <v>228</v>
      </c>
      <c r="D79" s="816" t="s">
        <v>229</v>
      </c>
      <c r="E79" s="816"/>
      <c r="F79" s="816"/>
      <c r="G79" s="816"/>
      <c r="H79" s="816"/>
      <c r="I79" s="816"/>
      <c r="J79" s="809"/>
      <c r="K79" s="209"/>
      <c r="L79" s="223" t="s">
        <v>273</v>
      </c>
      <c r="M79" s="224"/>
      <c r="N79" s="225"/>
      <c r="O79" s="226"/>
    </row>
    <row r="80" spans="1:15" s="1" customFormat="1" ht="13.5" thickBot="1">
      <c r="A80" s="822"/>
      <c r="B80" s="807"/>
      <c r="C80" s="815"/>
      <c r="D80" s="227">
        <v>1</v>
      </c>
      <c r="E80" s="227">
        <v>2</v>
      </c>
      <c r="F80" s="227">
        <v>3</v>
      </c>
      <c r="G80" s="227">
        <v>4</v>
      </c>
      <c r="H80" s="227">
        <v>5</v>
      </c>
      <c r="I80" s="228">
        <v>6</v>
      </c>
      <c r="J80" s="809"/>
      <c r="K80" s="209"/>
      <c r="L80" s="224" t="s">
        <v>206</v>
      </c>
      <c r="M80" s="223"/>
      <c r="N80" s="229">
        <v>0</v>
      </c>
      <c r="O80" s="230">
        <v>0</v>
      </c>
    </row>
    <row r="81" spans="1:15" s="1" customFormat="1" ht="13.5" thickBot="1">
      <c r="A81" s="231">
        <v>150882</v>
      </c>
      <c r="B81" s="232">
        <v>36631</v>
      </c>
      <c r="C81" s="233">
        <f>SUM(D81:I81)</f>
        <v>2521</v>
      </c>
      <c r="D81" s="234">
        <v>288</v>
      </c>
      <c r="E81" s="234">
        <v>672</v>
      </c>
      <c r="F81" s="234">
        <v>87</v>
      </c>
      <c r="G81" s="234">
        <v>339</v>
      </c>
      <c r="H81" s="233">
        <v>1135</v>
      </c>
      <c r="I81" s="235"/>
      <c r="J81" s="236">
        <f>SUM(A81-B81-C81)</f>
        <v>111730</v>
      </c>
      <c r="K81" s="209"/>
      <c r="L81" s="237" t="s">
        <v>207</v>
      </c>
      <c r="M81" s="238"/>
      <c r="N81" s="239">
        <v>0</v>
      </c>
      <c r="O81" s="240">
        <v>0</v>
      </c>
    </row>
    <row r="82" spans="1:12" s="1" customFormat="1" ht="12.75">
      <c r="A82" s="20"/>
      <c r="B82" s="21"/>
      <c r="C82" s="21"/>
      <c r="D82" s="21"/>
      <c r="E82" s="2"/>
      <c r="F82" s="200"/>
      <c r="G82" s="4"/>
      <c r="H82" s="20"/>
      <c r="I82" s="21"/>
      <c r="J82" s="21"/>
      <c r="K82" s="21"/>
      <c r="L82" s="2"/>
    </row>
    <row r="83" spans="1:12" s="1" customFormat="1" ht="13.5" thickBot="1">
      <c r="A83" s="20"/>
      <c r="B83" s="21"/>
      <c r="C83" s="21"/>
      <c r="D83" s="21"/>
      <c r="E83" s="2"/>
      <c r="F83" s="200"/>
      <c r="G83" s="4"/>
      <c r="H83" s="20"/>
      <c r="I83" s="21"/>
      <c r="J83" s="21"/>
      <c r="K83" s="21"/>
      <c r="L83" s="21" t="s">
        <v>307</v>
      </c>
    </row>
    <row r="84" spans="1:12" s="1" customFormat="1" ht="13.5" thickBot="1">
      <c r="A84" s="817" t="s">
        <v>255</v>
      </c>
      <c r="B84" s="818" t="s">
        <v>438</v>
      </c>
      <c r="C84" s="819" t="s">
        <v>439</v>
      </c>
      <c r="D84" s="819"/>
      <c r="E84" s="819"/>
      <c r="F84" s="819"/>
      <c r="G84" s="820" t="s">
        <v>440</v>
      </c>
      <c r="H84" s="821" t="s">
        <v>230</v>
      </c>
      <c r="I84" s="790" t="s">
        <v>441</v>
      </c>
      <c r="J84" s="790"/>
      <c r="K84" s="790"/>
      <c r="L84" s="790"/>
    </row>
    <row r="85" spans="1:12" s="1" customFormat="1" ht="18.75" thickBot="1">
      <c r="A85" s="817"/>
      <c r="B85" s="818"/>
      <c r="C85" s="241" t="s">
        <v>321</v>
      </c>
      <c r="D85" s="242" t="s">
        <v>231</v>
      </c>
      <c r="E85" s="242" t="s">
        <v>232</v>
      </c>
      <c r="F85" s="243" t="s">
        <v>322</v>
      </c>
      <c r="G85" s="820"/>
      <c r="H85" s="821"/>
      <c r="I85" s="244" t="s">
        <v>442</v>
      </c>
      <c r="J85" s="245" t="s">
        <v>231</v>
      </c>
      <c r="K85" s="245" t="s">
        <v>232</v>
      </c>
      <c r="L85" s="246" t="s">
        <v>443</v>
      </c>
    </row>
    <row r="86" spans="1:12" s="1" customFormat="1" ht="12.75">
      <c r="A86" s="247" t="s">
        <v>233</v>
      </c>
      <c r="B86" s="248">
        <v>11501</v>
      </c>
      <c r="C86" s="249" t="s">
        <v>234</v>
      </c>
      <c r="D86" s="250" t="s">
        <v>234</v>
      </c>
      <c r="E86" s="250" t="s">
        <v>234</v>
      </c>
      <c r="F86" s="251"/>
      <c r="G86" s="252">
        <v>12973</v>
      </c>
      <c r="H86" s="253" t="s">
        <v>234</v>
      </c>
      <c r="I86" s="254" t="s">
        <v>234</v>
      </c>
      <c r="J86" s="255" t="s">
        <v>234</v>
      </c>
      <c r="K86" s="255" t="s">
        <v>234</v>
      </c>
      <c r="L86" s="256" t="s">
        <v>234</v>
      </c>
    </row>
    <row r="87" spans="1:12" s="1" customFormat="1" ht="12.75">
      <c r="A87" s="257" t="s">
        <v>235</v>
      </c>
      <c r="B87" s="134">
        <v>316</v>
      </c>
      <c r="C87" s="258">
        <v>316</v>
      </c>
      <c r="D87" s="135">
        <v>73</v>
      </c>
      <c r="E87" s="135"/>
      <c r="F87" s="136">
        <f>C87+D87-E87</f>
        <v>389</v>
      </c>
      <c r="G87" s="259">
        <v>389</v>
      </c>
      <c r="H87" s="260">
        <f>+G87-F87</f>
        <v>0</v>
      </c>
      <c r="I87" s="258">
        <v>389</v>
      </c>
      <c r="J87" s="135">
        <v>265</v>
      </c>
      <c r="K87" s="135"/>
      <c r="L87" s="136">
        <f>I87+J87-K87</f>
        <v>654</v>
      </c>
    </row>
    <row r="88" spans="1:12" s="1" customFormat="1" ht="12.75">
      <c r="A88" s="257" t="s">
        <v>236</v>
      </c>
      <c r="B88" s="134">
        <v>1477</v>
      </c>
      <c r="C88" s="258">
        <v>1477</v>
      </c>
      <c r="D88" s="135">
        <v>973</v>
      </c>
      <c r="E88" s="135">
        <v>113</v>
      </c>
      <c r="F88" s="136">
        <f>C88+D88-E88</f>
        <v>2337</v>
      </c>
      <c r="G88" s="259">
        <v>2337</v>
      </c>
      <c r="H88" s="260">
        <f>+G88-F88</f>
        <v>0</v>
      </c>
      <c r="I88" s="258">
        <v>2337</v>
      </c>
      <c r="J88" s="135">
        <v>681</v>
      </c>
      <c r="K88" s="135">
        <v>150</v>
      </c>
      <c r="L88" s="136">
        <f>I88+J88-K88</f>
        <v>2868</v>
      </c>
    </row>
    <row r="89" spans="1:12" s="1" customFormat="1" ht="12.75">
      <c r="A89" s="257" t="s">
        <v>256</v>
      </c>
      <c r="B89" s="134">
        <v>5429</v>
      </c>
      <c r="C89" s="258">
        <v>5429</v>
      </c>
      <c r="D89" s="135">
        <v>2653</v>
      </c>
      <c r="E89" s="135">
        <v>2001</v>
      </c>
      <c r="F89" s="136">
        <f>C89+D89-E89</f>
        <v>6081</v>
      </c>
      <c r="G89" s="259">
        <v>6081</v>
      </c>
      <c r="H89" s="260">
        <f>+G89-F89</f>
        <v>0</v>
      </c>
      <c r="I89" s="261">
        <v>6081</v>
      </c>
      <c r="J89" s="262">
        <v>2521</v>
      </c>
      <c r="K89" s="262">
        <f>L51</f>
        <v>2751</v>
      </c>
      <c r="L89" s="136">
        <f>I89+J89-K89</f>
        <v>5851</v>
      </c>
    </row>
    <row r="90" spans="1:12" s="1" customFormat="1" ht="12.75">
      <c r="A90" s="257" t="s">
        <v>237</v>
      </c>
      <c r="B90" s="134">
        <v>4279</v>
      </c>
      <c r="C90" s="263" t="s">
        <v>234</v>
      </c>
      <c r="D90" s="250" t="s">
        <v>234</v>
      </c>
      <c r="E90" s="264" t="s">
        <v>234</v>
      </c>
      <c r="F90" s="136"/>
      <c r="G90" s="259">
        <v>4166</v>
      </c>
      <c r="H90" s="263" t="s">
        <v>234</v>
      </c>
      <c r="I90" s="263" t="s">
        <v>234</v>
      </c>
      <c r="J90" s="250" t="s">
        <v>234</v>
      </c>
      <c r="K90" s="264" t="s">
        <v>234</v>
      </c>
      <c r="L90" s="120">
        <v>0</v>
      </c>
    </row>
    <row r="91" spans="1:12" s="1" customFormat="1" ht="13.5" thickBot="1">
      <c r="A91" s="265" t="s">
        <v>238</v>
      </c>
      <c r="B91" s="141">
        <v>150</v>
      </c>
      <c r="C91" s="266">
        <v>131</v>
      </c>
      <c r="D91" s="142">
        <v>652</v>
      </c>
      <c r="E91" s="142">
        <v>581</v>
      </c>
      <c r="F91" s="143">
        <v>202</v>
      </c>
      <c r="G91" s="267">
        <v>219</v>
      </c>
      <c r="H91" s="268">
        <f>+G91-F91</f>
        <v>17</v>
      </c>
      <c r="I91" s="266">
        <v>202</v>
      </c>
      <c r="J91" s="142">
        <v>684</v>
      </c>
      <c r="K91" s="142">
        <v>650</v>
      </c>
      <c r="L91" s="143">
        <f>I91+J91-K91</f>
        <v>236</v>
      </c>
    </row>
    <row r="92" spans="1:15" s="1" customFormat="1" ht="15">
      <c r="A92" s="20"/>
      <c r="B92" s="21"/>
      <c r="C92" s="21"/>
      <c r="D92" s="21"/>
      <c r="E92" s="2"/>
      <c r="F92" s="200"/>
      <c r="G92" s="4"/>
      <c r="H92" s="20"/>
      <c r="I92" s="21"/>
      <c r="J92" s="21"/>
      <c r="K92" s="21"/>
      <c r="L92" s="2"/>
      <c r="O92" s="315"/>
    </row>
    <row r="93" spans="1:12" s="1" customFormat="1" ht="12.75">
      <c r="A93" s="20"/>
      <c r="B93" s="21"/>
      <c r="C93" s="21"/>
      <c r="D93" s="21"/>
      <c r="E93" s="2"/>
      <c r="F93" s="200"/>
      <c r="G93" s="4"/>
      <c r="H93" s="20"/>
      <c r="I93" s="21"/>
      <c r="J93" s="21"/>
      <c r="K93" s="21"/>
      <c r="L93" s="2"/>
    </row>
    <row r="94" spans="1:12" s="1" customFormat="1" ht="12.75">
      <c r="A94" s="20"/>
      <c r="B94" s="21"/>
      <c r="C94" s="21"/>
      <c r="D94" s="21"/>
      <c r="E94" s="2"/>
      <c r="F94" s="200"/>
      <c r="G94" s="4"/>
      <c r="H94" s="20"/>
      <c r="I94" s="21"/>
      <c r="J94" s="21"/>
      <c r="K94" s="21"/>
      <c r="L94" s="2"/>
    </row>
    <row r="95" spans="1:12" s="1" customFormat="1" ht="12.75">
      <c r="A95" s="20"/>
      <c r="B95" s="21"/>
      <c r="C95" s="21"/>
      <c r="D95" s="21"/>
      <c r="E95" s="2"/>
      <c r="F95" s="200"/>
      <c r="G95" s="4"/>
      <c r="H95" s="20"/>
      <c r="I95" s="21"/>
      <c r="J95" s="21"/>
      <c r="K95" s="21"/>
      <c r="L95" s="2"/>
    </row>
    <row r="96" spans="1:12" s="1" customFormat="1" ht="12.75">
      <c r="A96" s="20"/>
      <c r="B96" s="21"/>
      <c r="C96" s="21"/>
      <c r="D96" s="21"/>
      <c r="E96" s="2"/>
      <c r="F96" s="200"/>
      <c r="G96" s="4"/>
      <c r="H96" s="20"/>
      <c r="I96" s="21"/>
      <c r="J96" s="21"/>
      <c r="K96" s="21"/>
      <c r="L96" s="2"/>
    </row>
    <row r="97" spans="1:12" s="1" customFormat="1" ht="12.75">
      <c r="A97" s="20"/>
      <c r="B97" s="21"/>
      <c r="C97" s="21"/>
      <c r="D97" s="21"/>
      <c r="E97" s="2"/>
      <c r="F97" s="4"/>
      <c r="G97" s="4"/>
      <c r="H97" s="20"/>
      <c r="I97" s="21"/>
      <c r="J97" s="21"/>
      <c r="K97" s="21"/>
      <c r="L97" s="2"/>
    </row>
    <row r="98" spans="1:12" s="1" customFormat="1" ht="12.75">
      <c r="A98" s="20"/>
      <c r="B98" s="21"/>
      <c r="C98" s="21"/>
      <c r="D98" s="21"/>
      <c r="E98" s="2"/>
      <c r="F98" s="4"/>
      <c r="G98" s="4"/>
      <c r="H98" s="20"/>
      <c r="I98" s="21"/>
      <c r="J98" s="21"/>
      <c r="K98" s="21"/>
      <c r="L98" s="2"/>
    </row>
    <row r="99" spans="8:12" ht="13.5" thickBot="1">
      <c r="H99" s="21" t="s">
        <v>307</v>
      </c>
      <c r="L99" s="21" t="s">
        <v>307</v>
      </c>
    </row>
    <row r="100" spans="1:12" ht="13.5" thickBot="1">
      <c r="A100" s="823" t="s">
        <v>444</v>
      </c>
      <c r="B100" s="824" t="s">
        <v>168</v>
      </c>
      <c r="C100" s="810" t="s">
        <v>239</v>
      </c>
      <c r="D100" s="810"/>
      <c r="E100" s="810"/>
      <c r="F100" s="810"/>
      <c r="G100" s="810"/>
      <c r="H100" s="810"/>
      <c r="I100" s="24"/>
      <c r="J100" s="825" t="s">
        <v>208</v>
      </c>
      <c r="K100" s="825"/>
      <c r="L100" s="825"/>
    </row>
    <row r="101" spans="1:12" ht="13.5" thickBot="1">
      <c r="A101" s="823"/>
      <c r="B101" s="824"/>
      <c r="C101" s="126" t="s">
        <v>240</v>
      </c>
      <c r="D101" s="127" t="s">
        <v>241</v>
      </c>
      <c r="E101" s="127" t="s">
        <v>242</v>
      </c>
      <c r="F101" s="127" t="s">
        <v>243</v>
      </c>
      <c r="G101" s="128" t="s">
        <v>244</v>
      </c>
      <c r="H101" s="129" t="s">
        <v>228</v>
      </c>
      <c r="I101" s="24"/>
      <c r="J101" s="130"/>
      <c r="K101" s="131" t="s">
        <v>209</v>
      </c>
      <c r="L101" s="132" t="s">
        <v>210</v>
      </c>
    </row>
    <row r="102" spans="1:12" ht="12.75">
      <c r="A102" s="133" t="s">
        <v>245</v>
      </c>
      <c r="B102" s="134">
        <v>2850</v>
      </c>
      <c r="C102" s="135">
        <v>41</v>
      </c>
      <c r="D102" s="135">
        <v>112</v>
      </c>
      <c r="E102" s="135">
        <v>91</v>
      </c>
      <c r="F102" s="135">
        <v>98</v>
      </c>
      <c r="G102" s="134">
        <v>992</v>
      </c>
      <c r="H102" s="136">
        <f>SUM(C102:G102)</f>
        <v>1334</v>
      </c>
      <c r="I102" s="24"/>
      <c r="J102" s="137">
        <v>2007</v>
      </c>
      <c r="K102" s="138">
        <v>32588</v>
      </c>
      <c r="L102" s="139">
        <v>32588</v>
      </c>
    </row>
    <row r="103" spans="1:12" ht="13.5" thickBot="1">
      <c r="A103" s="140" t="s">
        <v>246</v>
      </c>
      <c r="B103" s="141">
        <v>3393</v>
      </c>
      <c r="C103" s="142"/>
      <c r="D103" s="142"/>
      <c r="E103" s="142"/>
      <c r="F103" s="142"/>
      <c r="G103" s="141"/>
      <c r="H103" s="143">
        <f>SUM(C103:G103)</f>
        <v>0</v>
      </c>
      <c r="I103" s="24"/>
      <c r="J103" s="144">
        <v>2008</v>
      </c>
      <c r="K103" s="145">
        <f>L30</f>
        <v>34217</v>
      </c>
      <c r="L103" s="146"/>
    </row>
    <row r="104" ht="12.75" customHeight="1"/>
    <row r="105" ht="13.5" thickBot="1">
      <c r="J105" s="269" t="s">
        <v>323</v>
      </c>
    </row>
    <row r="106" spans="1:10" ht="21" customHeight="1" thickBot="1">
      <c r="A106" s="823" t="s">
        <v>211</v>
      </c>
      <c r="B106" s="826" t="s">
        <v>212</v>
      </c>
      <c r="C106" s="826"/>
      <c r="D106" s="826"/>
      <c r="E106" s="827" t="s">
        <v>274</v>
      </c>
      <c r="F106" s="827"/>
      <c r="G106" s="827"/>
      <c r="H106" s="828" t="s">
        <v>213</v>
      </c>
      <c r="I106" s="828"/>
      <c r="J106" s="828"/>
    </row>
    <row r="107" spans="1:10" ht="12.75">
      <c r="A107" s="823"/>
      <c r="B107" s="147">
        <v>2006</v>
      </c>
      <c r="C107" s="147">
        <v>2007</v>
      </c>
      <c r="D107" s="147" t="s">
        <v>214</v>
      </c>
      <c r="E107" s="147">
        <v>2006</v>
      </c>
      <c r="F107" s="147">
        <v>2007</v>
      </c>
      <c r="G107" s="148" t="s">
        <v>214</v>
      </c>
      <c r="H107" s="149">
        <v>2006</v>
      </c>
      <c r="I107" s="147">
        <v>2007</v>
      </c>
      <c r="J107" s="148" t="s">
        <v>214</v>
      </c>
    </row>
    <row r="108" spans="1:10" ht="18.75">
      <c r="A108" s="150" t="s">
        <v>215</v>
      </c>
      <c r="B108" s="151">
        <v>10.5</v>
      </c>
      <c r="C108" s="151">
        <v>10.5</v>
      </c>
      <c r="D108" s="151">
        <f aca="true" t="shared" si="14" ref="D108:D118">+C108-B108</f>
        <v>0</v>
      </c>
      <c r="E108" s="151">
        <v>10.5</v>
      </c>
      <c r="F108" s="151">
        <v>10.5</v>
      </c>
      <c r="G108" s="152">
        <f aca="true" t="shared" si="15" ref="G108:G118">+F108-E108</f>
        <v>0</v>
      </c>
      <c r="H108" s="153">
        <v>21337</v>
      </c>
      <c r="I108" s="154">
        <v>22877</v>
      </c>
      <c r="J108" s="155">
        <f aca="true" t="shared" si="16" ref="J108:J118">+I108-H108</f>
        <v>1540</v>
      </c>
    </row>
    <row r="109" spans="1:10" ht="12.75">
      <c r="A109" s="150" t="s">
        <v>248</v>
      </c>
      <c r="B109" s="151">
        <v>23.02</v>
      </c>
      <c r="C109" s="151">
        <v>24.18</v>
      </c>
      <c r="D109" s="151">
        <f t="shared" si="14"/>
        <v>1.1600000000000001</v>
      </c>
      <c r="E109" s="151">
        <v>23.1</v>
      </c>
      <c r="F109" s="151">
        <v>23.1</v>
      </c>
      <c r="G109" s="152">
        <f t="shared" si="15"/>
        <v>0</v>
      </c>
      <c r="H109" s="153">
        <v>22140</v>
      </c>
      <c r="I109" s="156">
        <v>23159</v>
      </c>
      <c r="J109" s="155">
        <f t="shared" si="16"/>
        <v>1019</v>
      </c>
    </row>
    <row r="110" spans="1:10" ht="12.75">
      <c r="A110" s="150" t="s">
        <v>216</v>
      </c>
      <c r="B110" s="151">
        <v>1.17</v>
      </c>
      <c r="C110" s="151">
        <v>2</v>
      </c>
      <c r="D110" s="151">
        <f t="shared" si="14"/>
        <v>0.8300000000000001</v>
      </c>
      <c r="E110" s="151">
        <v>2</v>
      </c>
      <c r="F110" s="151">
        <v>2</v>
      </c>
      <c r="G110" s="152">
        <f t="shared" si="15"/>
        <v>0</v>
      </c>
      <c r="H110" s="153">
        <v>19850</v>
      </c>
      <c r="I110" s="156">
        <v>18266</v>
      </c>
      <c r="J110" s="155">
        <f t="shared" si="16"/>
        <v>-1584</v>
      </c>
    </row>
    <row r="111" spans="1:10" ht="12.75">
      <c r="A111" s="150" t="s">
        <v>217</v>
      </c>
      <c r="B111" s="151">
        <v>9.16</v>
      </c>
      <c r="C111" s="151">
        <v>7.44</v>
      </c>
      <c r="D111" s="151">
        <f t="shared" si="14"/>
        <v>-1.7199999999999998</v>
      </c>
      <c r="E111" s="151">
        <v>8</v>
      </c>
      <c r="F111" s="151">
        <v>7</v>
      </c>
      <c r="G111" s="152">
        <f t="shared" si="15"/>
        <v>-1</v>
      </c>
      <c r="H111" s="153">
        <v>14740</v>
      </c>
      <c r="I111" s="156">
        <v>16006</v>
      </c>
      <c r="J111" s="155">
        <f t="shared" si="16"/>
        <v>1266</v>
      </c>
    </row>
    <row r="112" spans="1:10" ht="12.75">
      <c r="A112" s="150" t="s">
        <v>547</v>
      </c>
      <c r="B112" s="151">
        <v>0.34</v>
      </c>
      <c r="C112" s="151">
        <v>0.3</v>
      </c>
      <c r="D112" s="151">
        <f t="shared" si="14"/>
        <v>-0.040000000000000036</v>
      </c>
      <c r="E112" s="151">
        <v>0.3</v>
      </c>
      <c r="F112" s="151">
        <v>0.3</v>
      </c>
      <c r="G112" s="152">
        <f t="shared" si="15"/>
        <v>0</v>
      </c>
      <c r="H112" s="153">
        <v>32656</v>
      </c>
      <c r="I112" s="156">
        <v>35168</v>
      </c>
      <c r="J112" s="155">
        <f t="shared" si="16"/>
        <v>2512</v>
      </c>
    </row>
    <row r="113" spans="1:10" ht="12.75">
      <c r="A113" s="150" t="s">
        <v>297</v>
      </c>
      <c r="B113" s="151">
        <v>2.3</v>
      </c>
      <c r="C113" s="151">
        <v>2.358</v>
      </c>
      <c r="D113" s="151">
        <f t="shared" si="14"/>
        <v>0.058000000000000274</v>
      </c>
      <c r="E113" s="151">
        <v>2</v>
      </c>
      <c r="F113" s="151">
        <v>2.6</v>
      </c>
      <c r="G113" s="152">
        <f t="shared" si="15"/>
        <v>0.6000000000000001</v>
      </c>
      <c r="H113" s="153">
        <v>18619</v>
      </c>
      <c r="I113" s="156">
        <v>19196</v>
      </c>
      <c r="J113" s="155">
        <f t="shared" si="16"/>
        <v>577</v>
      </c>
    </row>
    <row r="114" spans="1:10" ht="12.75">
      <c r="A114" s="150" t="s">
        <v>218</v>
      </c>
      <c r="B114" s="151">
        <v>50.39</v>
      </c>
      <c r="C114" s="151">
        <v>48.314</v>
      </c>
      <c r="D114" s="151">
        <f t="shared" si="14"/>
        <v>-2.0760000000000005</v>
      </c>
      <c r="E114" s="151">
        <v>46.79</v>
      </c>
      <c r="F114" s="151">
        <v>47.79</v>
      </c>
      <c r="G114" s="152">
        <f t="shared" si="15"/>
        <v>1</v>
      </c>
      <c r="H114" s="153">
        <v>19503</v>
      </c>
      <c r="I114" s="156">
        <v>21575</v>
      </c>
      <c r="J114" s="155">
        <f t="shared" si="16"/>
        <v>2072</v>
      </c>
    </row>
    <row r="115" spans="1:10" ht="12.75">
      <c r="A115" s="150" t="s">
        <v>219</v>
      </c>
      <c r="B115" s="151">
        <v>9.5</v>
      </c>
      <c r="C115" s="151">
        <v>11.076</v>
      </c>
      <c r="D115" s="151">
        <f t="shared" si="14"/>
        <v>1.5760000000000005</v>
      </c>
      <c r="E115" s="151">
        <v>11</v>
      </c>
      <c r="F115" s="151">
        <v>12</v>
      </c>
      <c r="G115" s="152">
        <f t="shared" si="15"/>
        <v>1</v>
      </c>
      <c r="H115" s="153">
        <v>14975</v>
      </c>
      <c r="I115" s="156">
        <v>15020</v>
      </c>
      <c r="J115" s="155">
        <f t="shared" si="16"/>
        <v>45</v>
      </c>
    </row>
    <row r="116" spans="1:10" ht="12.75">
      <c r="A116" s="150" t="s">
        <v>220</v>
      </c>
      <c r="B116" s="151">
        <v>2</v>
      </c>
      <c r="C116" s="151">
        <v>2</v>
      </c>
      <c r="D116" s="151">
        <f t="shared" si="14"/>
        <v>0</v>
      </c>
      <c r="E116" s="151">
        <v>2</v>
      </c>
      <c r="F116" s="151">
        <v>2</v>
      </c>
      <c r="G116" s="152">
        <f t="shared" si="15"/>
        <v>0</v>
      </c>
      <c r="H116" s="153">
        <v>15209</v>
      </c>
      <c r="I116" s="156">
        <v>15134</v>
      </c>
      <c r="J116" s="155">
        <f t="shared" si="16"/>
        <v>-75</v>
      </c>
    </row>
    <row r="117" spans="1:10" ht="12.75">
      <c r="A117" s="150" t="s">
        <v>221</v>
      </c>
      <c r="B117" s="151">
        <v>33.66</v>
      </c>
      <c r="C117" s="151">
        <v>33.713</v>
      </c>
      <c r="D117" s="151">
        <f t="shared" si="14"/>
        <v>0.05300000000000438</v>
      </c>
      <c r="E117" s="151">
        <v>33.9</v>
      </c>
      <c r="F117" s="151">
        <v>33.6</v>
      </c>
      <c r="G117" s="152">
        <f t="shared" si="15"/>
        <v>-0.29999999999999716</v>
      </c>
      <c r="H117" s="153">
        <v>12976</v>
      </c>
      <c r="I117" s="156">
        <v>13794</v>
      </c>
      <c r="J117" s="155">
        <f t="shared" si="16"/>
        <v>818</v>
      </c>
    </row>
    <row r="118" spans="1:10" ht="13.5" thickBot="1">
      <c r="A118" s="157" t="s">
        <v>168</v>
      </c>
      <c r="B118" s="158">
        <v>142.04</v>
      </c>
      <c r="C118" s="158">
        <v>141.881</v>
      </c>
      <c r="D118" s="158">
        <f t="shared" si="14"/>
        <v>-0.15899999999999181</v>
      </c>
      <c r="E118" s="158">
        <v>139.59</v>
      </c>
      <c r="F118" s="158">
        <v>140.89</v>
      </c>
      <c r="G118" s="159">
        <f t="shared" si="15"/>
        <v>1.299999999999983</v>
      </c>
      <c r="H118" s="160">
        <v>17868</v>
      </c>
      <c r="I118" s="161">
        <v>19140</v>
      </c>
      <c r="J118" s="162">
        <f t="shared" si="16"/>
        <v>1272</v>
      </c>
    </row>
    <row r="119" ht="13.5" thickBot="1"/>
    <row r="120" spans="1:16" ht="12.75">
      <c r="A120" s="829" t="s">
        <v>222</v>
      </c>
      <c r="B120" s="829"/>
      <c r="C120" s="829"/>
      <c r="D120" s="24"/>
      <c r="E120" s="829" t="s">
        <v>223</v>
      </c>
      <c r="F120" s="829"/>
      <c r="G120" s="829"/>
      <c r="H120"/>
      <c r="I120"/>
      <c r="J120"/>
      <c r="K120"/>
      <c r="L120"/>
      <c r="M120"/>
      <c r="N120"/>
      <c r="O120"/>
      <c r="P120"/>
    </row>
    <row r="121" spans="1:16" ht="13.5" thickBot="1">
      <c r="A121" s="130" t="s">
        <v>224</v>
      </c>
      <c r="B121" s="131" t="s">
        <v>225</v>
      </c>
      <c r="C121" s="132" t="s">
        <v>210</v>
      </c>
      <c r="D121" s="24"/>
      <c r="E121" s="130"/>
      <c r="F121" s="832" t="s">
        <v>226</v>
      </c>
      <c r="G121" s="832"/>
      <c r="H121"/>
      <c r="I121"/>
      <c r="J121"/>
      <c r="K121"/>
      <c r="L121"/>
      <c r="M121"/>
      <c r="N121"/>
      <c r="O121"/>
      <c r="P121"/>
    </row>
    <row r="122" spans="1:16" ht="12.75">
      <c r="A122" s="137">
        <v>2007</v>
      </c>
      <c r="B122" s="138">
        <v>144</v>
      </c>
      <c r="C122" s="139">
        <v>141.881</v>
      </c>
      <c r="D122" s="24"/>
      <c r="E122" s="137">
        <v>2007</v>
      </c>
      <c r="F122" s="830">
        <v>172</v>
      </c>
      <c r="G122" s="830"/>
      <c r="H122"/>
      <c r="I122"/>
      <c r="J122"/>
      <c r="K122"/>
      <c r="L122"/>
      <c r="M122"/>
      <c r="N122"/>
      <c r="O122"/>
      <c r="P122"/>
    </row>
    <row r="123" spans="1:16" ht="13.5" thickBot="1">
      <c r="A123" s="144">
        <v>2008</v>
      </c>
      <c r="B123" s="145">
        <v>144</v>
      </c>
      <c r="C123" s="146"/>
      <c r="D123" s="24"/>
      <c r="E123" s="144">
        <v>2008</v>
      </c>
      <c r="F123" s="831">
        <v>172</v>
      </c>
      <c r="G123" s="831"/>
      <c r="H123"/>
      <c r="I123"/>
      <c r="J123"/>
      <c r="K123"/>
      <c r="L123"/>
      <c r="M123"/>
      <c r="N123"/>
      <c r="O123"/>
      <c r="P123"/>
    </row>
  </sheetData>
  <mergeCells count="123">
    <mergeCell ref="C72:D72"/>
    <mergeCell ref="F72:G72"/>
    <mergeCell ref="I72:K72"/>
    <mergeCell ref="F73:G73"/>
    <mergeCell ref="C70:D70"/>
    <mergeCell ref="F70:G70"/>
    <mergeCell ref="I70:K70"/>
    <mergeCell ref="C71:D71"/>
    <mergeCell ref="F71:G71"/>
    <mergeCell ref="I71:K71"/>
    <mergeCell ref="C68:D68"/>
    <mergeCell ref="F68:G68"/>
    <mergeCell ref="I68:K68"/>
    <mergeCell ref="C69:D69"/>
    <mergeCell ref="F69:G69"/>
    <mergeCell ref="I69:K69"/>
    <mergeCell ref="A66:E66"/>
    <mergeCell ref="F66:L66"/>
    <mergeCell ref="C67:D67"/>
    <mergeCell ref="F67:G67"/>
    <mergeCell ref="I67:K67"/>
    <mergeCell ref="A120:C120"/>
    <mergeCell ref="E120:G120"/>
    <mergeCell ref="F122:G122"/>
    <mergeCell ref="F123:G123"/>
    <mergeCell ref="F121:G121"/>
    <mergeCell ref="A106:A107"/>
    <mergeCell ref="B106:D106"/>
    <mergeCell ref="E106:G106"/>
    <mergeCell ref="H106:J106"/>
    <mergeCell ref="A100:A101"/>
    <mergeCell ref="B100:B101"/>
    <mergeCell ref="C100:H100"/>
    <mergeCell ref="J100:L100"/>
    <mergeCell ref="L78:M78"/>
    <mergeCell ref="C79:C80"/>
    <mergeCell ref="D79:I79"/>
    <mergeCell ref="A84:A85"/>
    <mergeCell ref="B84:B85"/>
    <mergeCell ref="C84:F84"/>
    <mergeCell ref="G84:G85"/>
    <mergeCell ref="H84:H85"/>
    <mergeCell ref="I84:L84"/>
    <mergeCell ref="A78:A80"/>
    <mergeCell ref="B78:B80"/>
    <mergeCell ref="C78:I78"/>
    <mergeCell ref="J78:J80"/>
    <mergeCell ref="L42:L43"/>
    <mergeCell ref="A51:B51"/>
    <mergeCell ref="D51:F51"/>
    <mergeCell ref="H51:K51"/>
    <mergeCell ref="H59:K59"/>
    <mergeCell ref="A60:B60"/>
    <mergeCell ref="D60:F60"/>
    <mergeCell ref="B40:D40"/>
    <mergeCell ref="E40:G40"/>
    <mergeCell ref="A42:B43"/>
    <mergeCell ref="C42:C43"/>
    <mergeCell ref="D42:F43"/>
    <mergeCell ref="G42:G43"/>
    <mergeCell ref="B4:D4"/>
    <mergeCell ref="E4:G4"/>
    <mergeCell ref="A59:B59"/>
    <mergeCell ref="D59:F59"/>
    <mergeCell ref="A57:B57"/>
    <mergeCell ref="A55:B55"/>
    <mergeCell ref="D55:F55"/>
    <mergeCell ref="A53:B54"/>
    <mergeCell ref="C53:C54"/>
    <mergeCell ref="D53:F54"/>
    <mergeCell ref="H60:K60"/>
    <mergeCell ref="H57:K57"/>
    <mergeCell ref="A58:B58"/>
    <mergeCell ref="D58:F58"/>
    <mergeCell ref="H58:K58"/>
    <mergeCell ref="D57:F57"/>
    <mergeCell ref="H55:K55"/>
    <mergeCell ref="A56:B56"/>
    <mergeCell ref="H56:K56"/>
    <mergeCell ref="D56:F56"/>
    <mergeCell ref="G53:G54"/>
    <mergeCell ref="H53:K54"/>
    <mergeCell ref="L53:L54"/>
    <mergeCell ref="A50:B50"/>
    <mergeCell ref="D50:F50"/>
    <mergeCell ref="H50:K50"/>
    <mergeCell ref="A48:B48"/>
    <mergeCell ref="D48:F48"/>
    <mergeCell ref="H48:K48"/>
    <mergeCell ref="A49:B49"/>
    <mergeCell ref="D49:F49"/>
    <mergeCell ref="H49:K49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H42:K43"/>
    <mergeCell ref="B39:D39"/>
    <mergeCell ref="E39:G39"/>
    <mergeCell ref="A1:N1"/>
    <mergeCell ref="J39:L39"/>
    <mergeCell ref="J4:L4"/>
    <mergeCell ref="A3:A6"/>
    <mergeCell ref="B3:N3"/>
    <mergeCell ref="H4:I4"/>
    <mergeCell ref="M4:N4"/>
    <mergeCell ref="H61:K61"/>
    <mergeCell ref="H62:K62"/>
    <mergeCell ref="H63:K63"/>
    <mergeCell ref="A63:B63"/>
    <mergeCell ref="A62:B62"/>
    <mergeCell ref="A61:B61"/>
    <mergeCell ref="D61:F61"/>
    <mergeCell ref="D62:F62"/>
    <mergeCell ref="D63:F63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SheetLayoutView="100" workbookViewId="0" topLeftCell="A1">
      <selection activeCell="J28" sqref="J28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875"/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307</v>
      </c>
    </row>
    <row r="3" spans="1:14" ht="24" customHeight="1" thickBot="1">
      <c r="A3" s="876" t="s">
        <v>165</v>
      </c>
      <c r="B3" s="792" t="s">
        <v>407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4" ht="14.25" thickBot="1" thickTop="1">
      <c r="A4" s="876"/>
      <c r="B4" s="790" t="s">
        <v>308</v>
      </c>
      <c r="C4" s="790"/>
      <c r="D4" s="790"/>
      <c r="E4" s="790" t="s">
        <v>417</v>
      </c>
      <c r="F4" s="790"/>
      <c r="G4" s="790"/>
      <c r="H4" s="793" t="s">
        <v>309</v>
      </c>
      <c r="I4" s="793"/>
      <c r="J4" s="790" t="s">
        <v>418</v>
      </c>
      <c r="K4" s="790"/>
      <c r="L4" s="790"/>
      <c r="M4" s="790" t="s">
        <v>419</v>
      </c>
      <c r="N4" s="790"/>
    </row>
    <row r="5" spans="1:14" ht="14.25" thickBot="1" thickTop="1">
      <c r="A5" s="876"/>
      <c r="B5" s="66" t="s">
        <v>166</v>
      </c>
      <c r="C5" s="67" t="s">
        <v>167</v>
      </c>
      <c r="D5" s="68" t="s">
        <v>168</v>
      </c>
      <c r="E5" s="66" t="s">
        <v>166</v>
      </c>
      <c r="F5" s="67" t="s">
        <v>167</v>
      </c>
      <c r="G5" s="68" t="s">
        <v>168</v>
      </c>
      <c r="H5" s="69" t="s">
        <v>168</v>
      </c>
      <c r="I5" s="69" t="s">
        <v>169</v>
      </c>
      <c r="J5" s="70" t="s">
        <v>166</v>
      </c>
      <c r="K5" s="67" t="s">
        <v>167</v>
      </c>
      <c r="L5" s="68" t="s">
        <v>168</v>
      </c>
      <c r="M5" s="69" t="s">
        <v>168</v>
      </c>
      <c r="N5" s="68" t="s">
        <v>169</v>
      </c>
    </row>
    <row r="6" spans="1:14" ht="14.25" thickBot="1" thickTop="1">
      <c r="A6" s="791"/>
      <c r="B6" s="183" t="s">
        <v>170</v>
      </c>
      <c r="C6" s="184" t="s">
        <v>170</v>
      </c>
      <c r="D6" s="185"/>
      <c r="E6" s="183" t="s">
        <v>170</v>
      </c>
      <c r="F6" s="184" t="s">
        <v>170</v>
      </c>
      <c r="G6" s="185"/>
      <c r="H6" s="189" t="s">
        <v>171</v>
      </c>
      <c r="I6" s="189" t="s">
        <v>172</v>
      </c>
      <c r="J6" s="197" t="s">
        <v>170</v>
      </c>
      <c r="K6" s="184" t="s">
        <v>170</v>
      </c>
      <c r="L6" s="185"/>
      <c r="M6" s="189" t="s">
        <v>171</v>
      </c>
      <c r="N6" s="185" t="s">
        <v>172</v>
      </c>
    </row>
    <row r="7" spans="1:14" ht="13.5" customHeight="1">
      <c r="A7" s="274" t="s">
        <v>173</v>
      </c>
      <c r="B7" s="163">
        <v>262</v>
      </c>
      <c r="C7" s="164"/>
      <c r="D7" s="167">
        <f aca="true" t="shared" si="0" ref="D7:D18">SUM(B7:C7)</f>
        <v>262</v>
      </c>
      <c r="E7" s="163">
        <v>202</v>
      </c>
      <c r="F7" s="164"/>
      <c r="G7" s="167">
        <f aca="true" t="shared" si="1" ref="G7:G18">SUM(E7:F7)</f>
        <v>202</v>
      </c>
      <c r="H7" s="191">
        <f aca="true" t="shared" si="2" ref="H7:H38">+G7-D7</f>
        <v>-60</v>
      </c>
      <c r="I7" s="195"/>
      <c r="J7" s="163">
        <v>210</v>
      </c>
      <c r="K7" s="164"/>
      <c r="L7" s="167">
        <f aca="true" t="shared" si="3" ref="L7:L18">SUM(J7:K7)</f>
        <v>210</v>
      </c>
      <c r="M7" s="191">
        <f aca="true" t="shared" si="4" ref="M7:M38">+L7-G7</f>
        <v>8</v>
      </c>
      <c r="N7" s="192"/>
    </row>
    <row r="8" spans="1:14" ht="13.5" customHeight="1">
      <c r="A8" s="275" t="s">
        <v>174</v>
      </c>
      <c r="B8" s="14">
        <v>4555</v>
      </c>
      <c r="C8" s="13"/>
      <c r="D8" s="168">
        <f t="shared" si="0"/>
        <v>4555</v>
      </c>
      <c r="E8" s="14">
        <v>7710</v>
      </c>
      <c r="F8" s="13"/>
      <c r="G8" s="168">
        <f t="shared" si="1"/>
        <v>7710</v>
      </c>
      <c r="H8" s="193">
        <f t="shared" si="2"/>
        <v>3155</v>
      </c>
      <c r="I8" s="196">
        <f aca="true" t="shared" si="5" ref="I8:I22">+G8/D8</f>
        <v>1.6926454445664105</v>
      </c>
      <c r="J8" s="14">
        <v>8510</v>
      </c>
      <c r="K8" s="13"/>
      <c r="L8" s="168">
        <f t="shared" si="3"/>
        <v>8510</v>
      </c>
      <c r="M8" s="193">
        <f t="shared" si="4"/>
        <v>800</v>
      </c>
      <c r="N8" s="194">
        <f aca="true" t="shared" si="6" ref="N8:N22">+L8/G8</f>
        <v>1.1037613488975357</v>
      </c>
    </row>
    <row r="9" spans="1:14" ht="13.5" customHeight="1">
      <c r="A9" s="275" t="s">
        <v>175</v>
      </c>
      <c r="B9" s="14"/>
      <c r="C9" s="13"/>
      <c r="D9" s="168">
        <f t="shared" si="0"/>
        <v>0</v>
      </c>
      <c r="E9" s="14"/>
      <c r="F9" s="13"/>
      <c r="G9" s="168">
        <f t="shared" si="1"/>
        <v>0</v>
      </c>
      <c r="H9" s="193">
        <f t="shared" si="2"/>
        <v>0</v>
      </c>
      <c r="I9" s="196"/>
      <c r="J9" s="14"/>
      <c r="K9" s="13"/>
      <c r="L9" s="168">
        <f t="shared" si="3"/>
        <v>0</v>
      </c>
      <c r="M9" s="193">
        <f t="shared" si="4"/>
        <v>0</v>
      </c>
      <c r="N9" s="194"/>
    </row>
    <row r="10" spans="1:14" ht="13.5" customHeight="1">
      <c r="A10" s="275" t="s">
        <v>176</v>
      </c>
      <c r="B10" s="14"/>
      <c r="C10" s="13"/>
      <c r="D10" s="168">
        <f t="shared" si="0"/>
        <v>0</v>
      </c>
      <c r="E10" s="14"/>
      <c r="F10" s="13"/>
      <c r="G10" s="168">
        <f t="shared" si="1"/>
        <v>0</v>
      </c>
      <c r="H10" s="193">
        <f t="shared" si="2"/>
        <v>0</v>
      </c>
      <c r="I10" s="196"/>
      <c r="J10" s="14"/>
      <c r="K10" s="13"/>
      <c r="L10" s="168">
        <f t="shared" si="3"/>
        <v>0</v>
      </c>
      <c r="M10" s="193">
        <f t="shared" si="4"/>
        <v>0</v>
      </c>
      <c r="N10" s="194"/>
    </row>
    <row r="11" spans="1:14" ht="13.5" customHeight="1">
      <c r="A11" s="275" t="s">
        <v>177</v>
      </c>
      <c r="B11" s="14">
        <v>2</v>
      </c>
      <c r="C11" s="13"/>
      <c r="D11" s="168">
        <f t="shared" si="0"/>
        <v>2</v>
      </c>
      <c r="E11" s="14">
        <v>59</v>
      </c>
      <c r="F11" s="13"/>
      <c r="G11" s="168">
        <f t="shared" si="1"/>
        <v>59</v>
      </c>
      <c r="H11" s="193">
        <f t="shared" si="2"/>
        <v>57</v>
      </c>
      <c r="I11" s="196">
        <f t="shared" si="5"/>
        <v>29.5</v>
      </c>
      <c r="J11" s="14">
        <v>1</v>
      </c>
      <c r="K11" s="13"/>
      <c r="L11" s="168">
        <f t="shared" si="3"/>
        <v>1</v>
      </c>
      <c r="M11" s="193">
        <f t="shared" si="4"/>
        <v>-58</v>
      </c>
      <c r="N11" s="194">
        <f t="shared" si="6"/>
        <v>0.01694915254237288</v>
      </c>
    </row>
    <row r="12" spans="1:14" ht="13.5" customHeight="1">
      <c r="A12" s="276" t="s">
        <v>178</v>
      </c>
      <c r="B12" s="14">
        <v>1</v>
      </c>
      <c r="C12" s="13"/>
      <c r="D12" s="168">
        <f t="shared" si="0"/>
        <v>1</v>
      </c>
      <c r="E12" s="14">
        <v>3</v>
      </c>
      <c r="F12" s="13"/>
      <c r="G12" s="168">
        <f t="shared" si="1"/>
        <v>3</v>
      </c>
      <c r="H12" s="193">
        <f t="shared" si="2"/>
        <v>2</v>
      </c>
      <c r="I12" s="196">
        <f t="shared" si="5"/>
        <v>3</v>
      </c>
      <c r="J12" s="14"/>
      <c r="K12" s="13"/>
      <c r="L12" s="168">
        <f t="shared" si="3"/>
        <v>0</v>
      </c>
      <c r="M12" s="193">
        <f t="shared" si="4"/>
        <v>-3</v>
      </c>
      <c r="N12" s="194">
        <f t="shared" si="6"/>
        <v>0</v>
      </c>
    </row>
    <row r="13" spans="1:14" ht="13.5" customHeight="1">
      <c r="A13" s="276" t="s">
        <v>179</v>
      </c>
      <c r="B13" s="14"/>
      <c r="C13" s="13"/>
      <c r="D13" s="168">
        <f t="shared" si="0"/>
        <v>0</v>
      </c>
      <c r="E13" s="14"/>
      <c r="F13" s="13"/>
      <c r="G13" s="168">
        <f t="shared" si="1"/>
        <v>0</v>
      </c>
      <c r="H13" s="193">
        <f t="shared" si="2"/>
        <v>0</v>
      </c>
      <c r="I13" s="196"/>
      <c r="J13" s="14"/>
      <c r="K13" s="13"/>
      <c r="L13" s="168">
        <f t="shared" si="3"/>
        <v>0</v>
      </c>
      <c r="M13" s="193">
        <f t="shared" si="4"/>
        <v>0</v>
      </c>
      <c r="N13" s="194"/>
    </row>
    <row r="14" spans="1:14" ht="23.25" customHeight="1">
      <c r="A14" s="276" t="s">
        <v>180</v>
      </c>
      <c r="B14" s="14"/>
      <c r="C14" s="13"/>
      <c r="D14" s="168">
        <f t="shared" si="0"/>
        <v>0</v>
      </c>
      <c r="E14" s="14"/>
      <c r="F14" s="13"/>
      <c r="G14" s="168">
        <f t="shared" si="1"/>
        <v>0</v>
      </c>
      <c r="H14" s="193">
        <f t="shared" si="2"/>
        <v>0</v>
      </c>
      <c r="I14" s="196"/>
      <c r="J14" s="14"/>
      <c r="K14" s="13"/>
      <c r="L14" s="168">
        <f t="shared" si="3"/>
        <v>0</v>
      </c>
      <c r="M14" s="193">
        <f t="shared" si="4"/>
        <v>0</v>
      </c>
      <c r="N14" s="194"/>
    </row>
    <row r="15" spans="1:14" ht="13.5" customHeight="1">
      <c r="A15" s="275" t="s">
        <v>181</v>
      </c>
      <c r="B15" s="14">
        <v>9079</v>
      </c>
      <c r="C15" s="13"/>
      <c r="D15" s="168">
        <f t="shared" si="0"/>
        <v>9079</v>
      </c>
      <c r="E15" s="14">
        <v>8342</v>
      </c>
      <c r="F15" s="13"/>
      <c r="G15" s="168">
        <f t="shared" si="1"/>
        <v>8342</v>
      </c>
      <c r="H15" s="193">
        <f t="shared" si="2"/>
        <v>-737</v>
      </c>
      <c r="I15" s="196">
        <f t="shared" si="5"/>
        <v>0.9188236589932812</v>
      </c>
      <c r="J15" s="15">
        <v>6039</v>
      </c>
      <c r="K15" s="279"/>
      <c r="L15" s="168">
        <f t="shared" si="3"/>
        <v>6039</v>
      </c>
      <c r="M15" s="193">
        <f t="shared" si="4"/>
        <v>-2303</v>
      </c>
      <c r="N15" s="194">
        <f t="shared" si="6"/>
        <v>0.7239271157995685</v>
      </c>
    </row>
    <row r="16" spans="1:14" ht="13.5" customHeight="1">
      <c r="A16" s="277" t="s">
        <v>310</v>
      </c>
      <c r="B16" s="14">
        <v>9079</v>
      </c>
      <c r="C16" s="13"/>
      <c r="D16" s="168">
        <f t="shared" si="0"/>
        <v>9079</v>
      </c>
      <c r="E16" s="14">
        <v>1050</v>
      </c>
      <c r="F16" s="13"/>
      <c r="G16" s="168">
        <f t="shared" si="1"/>
        <v>1050</v>
      </c>
      <c r="H16" s="193">
        <f t="shared" si="2"/>
        <v>-8029</v>
      </c>
      <c r="I16" s="196">
        <f t="shared" si="5"/>
        <v>0.1156515034695451</v>
      </c>
      <c r="J16" s="15">
        <v>324</v>
      </c>
      <c r="K16" s="13"/>
      <c r="L16" s="168">
        <f t="shared" si="3"/>
        <v>324</v>
      </c>
      <c r="M16" s="193">
        <f t="shared" si="4"/>
        <v>-726</v>
      </c>
      <c r="N16" s="194">
        <f t="shared" si="6"/>
        <v>0.30857142857142855</v>
      </c>
    </row>
    <row r="17" spans="1:14" ht="13.5" customHeight="1">
      <c r="A17" s="277" t="s">
        <v>311</v>
      </c>
      <c r="B17" s="14">
        <v>0</v>
      </c>
      <c r="C17" s="13"/>
      <c r="D17" s="168">
        <f t="shared" si="0"/>
        <v>0</v>
      </c>
      <c r="E17" s="14">
        <v>7292</v>
      </c>
      <c r="F17" s="13"/>
      <c r="G17" s="168">
        <f t="shared" si="1"/>
        <v>7292</v>
      </c>
      <c r="H17" s="193">
        <f t="shared" si="2"/>
        <v>7292</v>
      </c>
      <c r="I17" s="196"/>
      <c r="J17" s="15">
        <v>5715</v>
      </c>
      <c r="K17" s="13"/>
      <c r="L17" s="168">
        <f t="shared" si="3"/>
        <v>5715</v>
      </c>
      <c r="M17" s="193">
        <f t="shared" si="4"/>
        <v>-1577</v>
      </c>
      <c r="N17" s="194">
        <f t="shared" si="6"/>
        <v>0.7837356006582556</v>
      </c>
    </row>
    <row r="18" spans="1:14" ht="13.5" customHeight="1" thickBot="1">
      <c r="A18" s="278" t="s">
        <v>416</v>
      </c>
      <c r="B18" s="165"/>
      <c r="C18" s="166"/>
      <c r="D18" s="168">
        <f t="shared" si="0"/>
        <v>0</v>
      </c>
      <c r="E18" s="165"/>
      <c r="F18" s="166"/>
      <c r="G18" s="168">
        <f t="shared" si="1"/>
        <v>0</v>
      </c>
      <c r="H18" s="271"/>
      <c r="I18" s="273"/>
      <c r="J18" s="169"/>
      <c r="K18" s="166"/>
      <c r="L18" s="168">
        <f t="shared" si="3"/>
        <v>0</v>
      </c>
      <c r="M18" s="271"/>
      <c r="N18" s="272"/>
    </row>
    <row r="19" spans="1:14" ht="13.5" customHeight="1" thickBot="1">
      <c r="A19" s="182" t="s">
        <v>182</v>
      </c>
      <c r="B19" s="186">
        <f aca="true" t="shared" si="7" ref="B19:G19">SUM(B7+B8+B9+B10+B11+B13+B15)</f>
        <v>13898</v>
      </c>
      <c r="C19" s="187">
        <f t="shared" si="7"/>
        <v>0</v>
      </c>
      <c r="D19" s="188">
        <f t="shared" si="7"/>
        <v>13898</v>
      </c>
      <c r="E19" s="186">
        <f t="shared" si="7"/>
        <v>16313</v>
      </c>
      <c r="F19" s="187">
        <f t="shared" si="7"/>
        <v>0</v>
      </c>
      <c r="G19" s="188">
        <f t="shared" si="7"/>
        <v>16313</v>
      </c>
      <c r="H19" s="190">
        <f t="shared" si="2"/>
        <v>2415</v>
      </c>
      <c r="I19" s="108">
        <f t="shared" si="5"/>
        <v>1.1737660094977695</v>
      </c>
      <c r="J19" s="198">
        <f>SUM(J7+J8+J9+J10+J11+J13+J15)</f>
        <v>14760</v>
      </c>
      <c r="K19" s="187">
        <f>SUM(K7+K8+K9+K10+K11+K13+K15)</f>
        <v>0</v>
      </c>
      <c r="L19" s="188">
        <f>SUM(L7+L8+L9+L10+L11+L13+L15)</f>
        <v>14760</v>
      </c>
      <c r="M19" s="190">
        <f t="shared" si="4"/>
        <v>-1553</v>
      </c>
      <c r="N19" s="199">
        <f t="shared" si="6"/>
        <v>0.9047998528780727</v>
      </c>
    </row>
    <row r="20" spans="1:14" ht="13.5" customHeight="1">
      <c r="A20" s="96" t="s">
        <v>183</v>
      </c>
      <c r="B20" s="71">
        <v>2686</v>
      </c>
      <c r="C20" s="72"/>
      <c r="D20" s="73">
        <f aca="true" t="shared" si="8" ref="D20:D37">SUM(B20:C20)</f>
        <v>2686</v>
      </c>
      <c r="E20" s="71">
        <v>2886</v>
      </c>
      <c r="F20" s="72"/>
      <c r="G20" s="97">
        <f aca="true" t="shared" si="9" ref="G20:G37">SUM(E20:F20)</f>
        <v>2886</v>
      </c>
      <c r="H20" s="98">
        <f t="shared" si="2"/>
        <v>200</v>
      </c>
      <c r="I20" s="99">
        <f t="shared" si="5"/>
        <v>1.0744601638123603</v>
      </c>
      <c r="J20" s="76">
        <v>2800</v>
      </c>
      <c r="K20" s="72"/>
      <c r="L20" s="100">
        <f aca="true" t="shared" si="10" ref="L20:L37">SUM(J20:K20)</f>
        <v>2800</v>
      </c>
      <c r="M20" s="98">
        <f t="shared" si="4"/>
        <v>-86</v>
      </c>
      <c r="N20" s="101">
        <f t="shared" si="6"/>
        <v>0.9702009702009702</v>
      </c>
    </row>
    <row r="21" spans="1:14" ht="21" customHeight="1">
      <c r="A21" s="82" t="s">
        <v>184</v>
      </c>
      <c r="B21" s="71">
        <v>265</v>
      </c>
      <c r="C21" s="72"/>
      <c r="D21" s="73">
        <f t="shared" si="8"/>
        <v>265</v>
      </c>
      <c r="E21" s="71">
        <v>384</v>
      </c>
      <c r="F21" s="72"/>
      <c r="G21" s="97">
        <f t="shared" si="9"/>
        <v>384</v>
      </c>
      <c r="H21" s="74">
        <f t="shared" si="2"/>
        <v>119</v>
      </c>
      <c r="I21" s="75">
        <f t="shared" si="5"/>
        <v>1.4490566037735848</v>
      </c>
      <c r="J21" s="76">
        <v>250</v>
      </c>
      <c r="K21" s="72"/>
      <c r="L21" s="100">
        <f t="shared" si="10"/>
        <v>250</v>
      </c>
      <c r="M21" s="74">
        <f t="shared" si="4"/>
        <v>-134</v>
      </c>
      <c r="N21" s="77">
        <f t="shared" si="6"/>
        <v>0.6510416666666666</v>
      </c>
    </row>
    <row r="22" spans="1:14" ht="13.5" customHeight="1">
      <c r="A22" s="78" t="s">
        <v>185</v>
      </c>
      <c r="B22" s="79">
        <v>539</v>
      </c>
      <c r="C22" s="80"/>
      <c r="D22" s="73">
        <f t="shared" si="8"/>
        <v>539</v>
      </c>
      <c r="E22" s="79">
        <v>727</v>
      </c>
      <c r="F22" s="80"/>
      <c r="G22" s="97">
        <f t="shared" si="9"/>
        <v>727</v>
      </c>
      <c r="H22" s="74">
        <f t="shared" si="2"/>
        <v>188</v>
      </c>
      <c r="I22" s="75">
        <f t="shared" si="5"/>
        <v>1.3487940630797774</v>
      </c>
      <c r="J22" s="81">
        <v>2100</v>
      </c>
      <c r="K22" s="80"/>
      <c r="L22" s="100">
        <f t="shared" si="10"/>
        <v>2100</v>
      </c>
      <c r="M22" s="74">
        <f t="shared" si="4"/>
        <v>1373</v>
      </c>
      <c r="N22" s="77">
        <f t="shared" si="6"/>
        <v>2.8885832187070153</v>
      </c>
    </row>
    <row r="23" spans="1:14" ht="13.5" customHeight="1">
      <c r="A23" s="82" t="s">
        <v>186</v>
      </c>
      <c r="B23" s="79"/>
      <c r="C23" s="80"/>
      <c r="D23" s="73">
        <f t="shared" si="8"/>
        <v>0</v>
      </c>
      <c r="E23" s="79"/>
      <c r="F23" s="80"/>
      <c r="G23" s="97">
        <f t="shared" si="9"/>
        <v>0</v>
      </c>
      <c r="H23" s="74">
        <f t="shared" si="2"/>
        <v>0</v>
      </c>
      <c r="I23" s="75"/>
      <c r="J23" s="81"/>
      <c r="K23" s="80"/>
      <c r="L23" s="100">
        <f t="shared" si="10"/>
        <v>0</v>
      </c>
      <c r="M23" s="74">
        <f t="shared" si="4"/>
        <v>0</v>
      </c>
      <c r="N23" s="77"/>
    </row>
    <row r="24" spans="1:14" ht="13.5" customHeight="1">
      <c r="A24" s="78" t="s">
        <v>298</v>
      </c>
      <c r="B24" s="79">
        <v>19</v>
      </c>
      <c r="C24" s="80"/>
      <c r="D24" s="73">
        <f t="shared" si="8"/>
        <v>19</v>
      </c>
      <c r="E24" s="79">
        <v>7</v>
      </c>
      <c r="F24" s="80"/>
      <c r="G24" s="97">
        <f t="shared" si="9"/>
        <v>7</v>
      </c>
      <c r="H24" s="74">
        <f t="shared" si="2"/>
        <v>-12</v>
      </c>
      <c r="I24" s="75">
        <f aca="true" t="shared" si="11" ref="I24:I38">+G24/D24</f>
        <v>0.3684210526315789</v>
      </c>
      <c r="J24" s="81">
        <v>12</v>
      </c>
      <c r="K24" s="80"/>
      <c r="L24" s="100">
        <f t="shared" si="10"/>
        <v>12</v>
      </c>
      <c r="M24" s="74">
        <f t="shared" si="4"/>
        <v>5</v>
      </c>
      <c r="N24" s="77">
        <f aca="true" t="shared" si="12" ref="N24:N38">+L24/G24</f>
        <v>1.7142857142857142</v>
      </c>
    </row>
    <row r="25" spans="1:14" ht="13.5" customHeight="1">
      <c r="A25" s="78" t="s">
        <v>187</v>
      </c>
      <c r="B25" s="81">
        <v>880</v>
      </c>
      <c r="C25" s="80"/>
      <c r="D25" s="73">
        <f t="shared" si="8"/>
        <v>880</v>
      </c>
      <c r="E25" s="81">
        <v>1231</v>
      </c>
      <c r="F25" s="80"/>
      <c r="G25" s="97">
        <f t="shared" si="9"/>
        <v>1231</v>
      </c>
      <c r="H25" s="74">
        <f t="shared" si="2"/>
        <v>351</v>
      </c>
      <c r="I25" s="75">
        <f t="shared" si="11"/>
        <v>1.3988636363636364</v>
      </c>
      <c r="J25" s="81">
        <v>984</v>
      </c>
      <c r="K25" s="80"/>
      <c r="L25" s="100">
        <f t="shared" si="10"/>
        <v>984</v>
      </c>
      <c r="M25" s="74">
        <f t="shared" si="4"/>
        <v>-247</v>
      </c>
      <c r="N25" s="77">
        <f t="shared" si="12"/>
        <v>0.7993501218521527</v>
      </c>
    </row>
    <row r="26" spans="1:14" ht="13.5" customHeight="1">
      <c r="A26" s="82" t="s">
        <v>188</v>
      </c>
      <c r="B26" s="79">
        <v>262</v>
      </c>
      <c r="C26" s="80"/>
      <c r="D26" s="73">
        <f t="shared" si="8"/>
        <v>262</v>
      </c>
      <c r="E26" s="79">
        <v>587</v>
      </c>
      <c r="F26" s="80"/>
      <c r="G26" s="97">
        <f t="shared" si="9"/>
        <v>587</v>
      </c>
      <c r="H26" s="74">
        <f t="shared" si="2"/>
        <v>325</v>
      </c>
      <c r="I26" s="75">
        <f t="shared" si="11"/>
        <v>2.2404580152671754</v>
      </c>
      <c r="J26" s="102">
        <v>200</v>
      </c>
      <c r="K26" s="80"/>
      <c r="L26" s="100">
        <f t="shared" si="10"/>
        <v>200</v>
      </c>
      <c r="M26" s="74">
        <f t="shared" si="4"/>
        <v>-387</v>
      </c>
      <c r="N26" s="77">
        <f t="shared" si="12"/>
        <v>0.34071550255536626</v>
      </c>
    </row>
    <row r="27" spans="1:14" ht="13.5" customHeight="1">
      <c r="A27" s="78" t="s">
        <v>189</v>
      </c>
      <c r="B27" s="79">
        <v>618</v>
      </c>
      <c r="C27" s="80"/>
      <c r="D27" s="73">
        <f t="shared" si="8"/>
        <v>618</v>
      </c>
      <c r="E27" s="79">
        <v>644</v>
      </c>
      <c r="F27" s="80"/>
      <c r="G27" s="97">
        <f t="shared" si="9"/>
        <v>644</v>
      </c>
      <c r="H27" s="74">
        <f t="shared" si="2"/>
        <v>26</v>
      </c>
      <c r="I27" s="75">
        <f t="shared" si="11"/>
        <v>1.0420711974110033</v>
      </c>
      <c r="J27" s="102">
        <v>784</v>
      </c>
      <c r="K27" s="80"/>
      <c r="L27" s="100">
        <f t="shared" si="10"/>
        <v>784</v>
      </c>
      <c r="M27" s="74">
        <f t="shared" si="4"/>
        <v>140</v>
      </c>
      <c r="N27" s="77">
        <f t="shared" si="12"/>
        <v>1.2173913043478262</v>
      </c>
    </row>
    <row r="28" spans="1:14" ht="13.5" customHeight="1">
      <c r="A28" s="103" t="s">
        <v>190</v>
      </c>
      <c r="B28" s="81">
        <v>9055</v>
      </c>
      <c r="C28" s="80"/>
      <c r="D28" s="73">
        <f t="shared" si="8"/>
        <v>9055</v>
      </c>
      <c r="E28" s="81">
        <v>10458</v>
      </c>
      <c r="F28" s="80"/>
      <c r="G28" s="97">
        <f t="shared" si="9"/>
        <v>10458</v>
      </c>
      <c r="H28" s="74">
        <f t="shared" si="2"/>
        <v>1403</v>
      </c>
      <c r="I28" s="75">
        <f t="shared" si="11"/>
        <v>1.1549420209828825</v>
      </c>
      <c r="J28" s="81">
        <v>12404</v>
      </c>
      <c r="K28" s="80"/>
      <c r="L28" s="100">
        <f t="shared" si="10"/>
        <v>12404</v>
      </c>
      <c r="M28" s="74">
        <f t="shared" si="4"/>
        <v>1946</v>
      </c>
      <c r="N28" s="77">
        <f t="shared" si="12"/>
        <v>1.1860776439089693</v>
      </c>
    </row>
    <row r="29" spans="1:14" ht="13.5" customHeight="1">
      <c r="A29" s="82" t="s">
        <v>191</v>
      </c>
      <c r="B29" s="79">
        <v>6621</v>
      </c>
      <c r="C29" s="80"/>
      <c r="D29" s="73">
        <f t="shared" si="8"/>
        <v>6621</v>
      </c>
      <c r="E29" s="79">
        <v>7638</v>
      </c>
      <c r="F29" s="80"/>
      <c r="G29" s="97">
        <f t="shared" si="9"/>
        <v>7638</v>
      </c>
      <c r="H29" s="74">
        <f t="shared" si="2"/>
        <v>1017</v>
      </c>
      <c r="I29" s="75">
        <f t="shared" si="11"/>
        <v>1.1536021748980516</v>
      </c>
      <c r="J29" s="102">
        <v>9054</v>
      </c>
      <c r="K29" s="104"/>
      <c r="L29" s="100">
        <f t="shared" si="10"/>
        <v>9054</v>
      </c>
      <c r="M29" s="74">
        <f t="shared" si="4"/>
        <v>1416</v>
      </c>
      <c r="N29" s="77">
        <f t="shared" si="12"/>
        <v>1.185388845247447</v>
      </c>
    </row>
    <row r="30" spans="1:14" ht="13.5" customHeight="1">
      <c r="A30" s="103" t="s">
        <v>192</v>
      </c>
      <c r="B30" s="79">
        <v>6413</v>
      </c>
      <c r="C30" s="80"/>
      <c r="D30" s="73">
        <f t="shared" si="8"/>
        <v>6413</v>
      </c>
      <c r="E30" s="79">
        <v>7450</v>
      </c>
      <c r="F30" s="80"/>
      <c r="G30" s="97">
        <f t="shared" si="9"/>
        <v>7450</v>
      </c>
      <c r="H30" s="74">
        <f t="shared" si="2"/>
        <v>1037</v>
      </c>
      <c r="I30" s="75">
        <f t="shared" si="11"/>
        <v>1.1617027912053641</v>
      </c>
      <c r="J30" s="81">
        <v>8904</v>
      </c>
      <c r="K30" s="80"/>
      <c r="L30" s="100">
        <f t="shared" si="10"/>
        <v>8904</v>
      </c>
      <c r="M30" s="74">
        <f t="shared" si="4"/>
        <v>1454</v>
      </c>
      <c r="N30" s="77">
        <f t="shared" si="12"/>
        <v>1.1951677852348994</v>
      </c>
    </row>
    <row r="31" spans="1:14" ht="13.5" customHeight="1">
      <c r="A31" s="82" t="s">
        <v>193</v>
      </c>
      <c r="B31" s="79">
        <v>208</v>
      </c>
      <c r="C31" s="80"/>
      <c r="D31" s="73">
        <f t="shared" si="8"/>
        <v>208</v>
      </c>
      <c r="E31" s="79">
        <v>188</v>
      </c>
      <c r="F31" s="80"/>
      <c r="G31" s="97">
        <f t="shared" si="9"/>
        <v>188</v>
      </c>
      <c r="H31" s="74">
        <f t="shared" si="2"/>
        <v>-20</v>
      </c>
      <c r="I31" s="75">
        <f t="shared" si="11"/>
        <v>0.9038461538461539</v>
      </c>
      <c r="J31" s="81">
        <v>150</v>
      </c>
      <c r="K31" s="80"/>
      <c r="L31" s="100">
        <f t="shared" si="10"/>
        <v>150</v>
      </c>
      <c r="M31" s="74">
        <f t="shared" si="4"/>
        <v>-38</v>
      </c>
      <c r="N31" s="77">
        <f t="shared" si="12"/>
        <v>0.7978723404255319</v>
      </c>
    </row>
    <row r="32" spans="1:14" ht="13.5" customHeight="1">
      <c r="A32" s="82" t="s">
        <v>194</v>
      </c>
      <c r="B32" s="79">
        <v>2434</v>
      </c>
      <c r="C32" s="80"/>
      <c r="D32" s="73">
        <f t="shared" si="8"/>
        <v>2434</v>
      </c>
      <c r="E32" s="79">
        <v>2820</v>
      </c>
      <c r="F32" s="80"/>
      <c r="G32" s="97">
        <f t="shared" si="9"/>
        <v>2820</v>
      </c>
      <c r="H32" s="74">
        <f t="shared" si="2"/>
        <v>386</v>
      </c>
      <c r="I32" s="75">
        <f t="shared" si="11"/>
        <v>1.1585866885784717</v>
      </c>
      <c r="J32" s="81">
        <v>3350</v>
      </c>
      <c r="K32" s="80"/>
      <c r="L32" s="100">
        <f t="shared" si="10"/>
        <v>3350</v>
      </c>
      <c r="M32" s="74">
        <f t="shared" si="4"/>
        <v>530</v>
      </c>
      <c r="N32" s="77">
        <f t="shared" si="12"/>
        <v>1.1879432624113475</v>
      </c>
    </row>
    <row r="33" spans="1:14" ht="13.5" customHeight="1">
      <c r="A33" s="103" t="s">
        <v>195</v>
      </c>
      <c r="B33" s="79">
        <v>5</v>
      </c>
      <c r="C33" s="80"/>
      <c r="D33" s="73">
        <f t="shared" si="8"/>
        <v>5</v>
      </c>
      <c r="E33" s="79">
        <v>12</v>
      </c>
      <c r="F33" s="80"/>
      <c r="G33" s="97">
        <f t="shared" si="9"/>
        <v>12</v>
      </c>
      <c r="H33" s="74">
        <f t="shared" si="2"/>
        <v>7</v>
      </c>
      <c r="I33" s="75">
        <f t="shared" si="11"/>
        <v>2.4</v>
      </c>
      <c r="J33" s="81">
        <v>15</v>
      </c>
      <c r="K33" s="80"/>
      <c r="L33" s="100">
        <f t="shared" si="10"/>
        <v>15</v>
      </c>
      <c r="M33" s="74">
        <f t="shared" si="4"/>
        <v>3</v>
      </c>
      <c r="N33" s="77">
        <f t="shared" si="12"/>
        <v>1.25</v>
      </c>
    </row>
    <row r="34" spans="1:14" ht="13.5" customHeight="1">
      <c r="A34" s="103" t="s">
        <v>196</v>
      </c>
      <c r="B34" s="79">
        <v>105</v>
      </c>
      <c r="C34" s="80"/>
      <c r="D34" s="73">
        <f t="shared" si="8"/>
        <v>105</v>
      </c>
      <c r="E34" s="79">
        <v>149</v>
      </c>
      <c r="F34" s="80"/>
      <c r="G34" s="97">
        <f t="shared" si="9"/>
        <v>149</v>
      </c>
      <c r="H34" s="74">
        <f t="shared" si="2"/>
        <v>44</v>
      </c>
      <c r="I34" s="75">
        <f t="shared" si="11"/>
        <v>1.4190476190476191</v>
      </c>
      <c r="J34" s="81">
        <v>170</v>
      </c>
      <c r="K34" s="80"/>
      <c r="L34" s="100">
        <f t="shared" si="10"/>
        <v>170</v>
      </c>
      <c r="M34" s="74">
        <f t="shared" si="4"/>
        <v>21</v>
      </c>
      <c r="N34" s="77">
        <f t="shared" si="12"/>
        <v>1.1409395973154361</v>
      </c>
    </row>
    <row r="35" spans="1:14" ht="13.5" customHeight="1">
      <c r="A35" s="82" t="s">
        <v>197</v>
      </c>
      <c r="B35" s="79">
        <v>427</v>
      </c>
      <c r="C35" s="80"/>
      <c r="D35" s="73">
        <f t="shared" si="8"/>
        <v>427</v>
      </c>
      <c r="E35" s="79">
        <v>588</v>
      </c>
      <c r="F35" s="80"/>
      <c r="G35" s="97">
        <f t="shared" si="9"/>
        <v>588</v>
      </c>
      <c r="H35" s="74">
        <f t="shared" si="2"/>
        <v>161</v>
      </c>
      <c r="I35" s="75">
        <f t="shared" si="11"/>
        <v>1.3770491803278688</v>
      </c>
      <c r="J35" s="102">
        <v>460</v>
      </c>
      <c r="K35" s="80"/>
      <c r="L35" s="100">
        <f t="shared" si="10"/>
        <v>460</v>
      </c>
      <c r="M35" s="74">
        <f t="shared" si="4"/>
        <v>-128</v>
      </c>
      <c r="N35" s="77">
        <f t="shared" si="12"/>
        <v>0.782312925170068</v>
      </c>
    </row>
    <row r="36" spans="1:14" ht="22.5" customHeight="1">
      <c r="A36" s="82" t="s">
        <v>198</v>
      </c>
      <c r="B36" s="79">
        <v>427</v>
      </c>
      <c r="C36" s="80"/>
      <c r="D36" s="73">
        <f t="shared" si="8"/>
        <v>427</v>
      </c>
      <c r="E36" s="79">
        <v>588</v>
      </c>
      <c r="F36" s="80"/>
      <c r="G36" s="97">
        <f t="shared" si="9"/>
        <v>588</v>
      </c>
      <c r="H36" s="74">
        <f t="shared" si="2"/>
        <v>161</v>
      </c>
      <c r="I36" s="75">
        <f t="shared" si="11"/>
        <v>1.3770491803278688</v>
      </c>
      <c r="J36" s="102">
        <v>460</v>
      </c>
      <c r="K36" s="80"/>
      <c r="L36" s="100">
        <f t="shared" si="10"/>
        <v>460</v>
      </c>
      <c r="M36" s="74">
        <f t="shared" si="4"/>
        <v>-128</v>
      </c>
      <c r="N36" s="77">
        <f t="shared" si="12"/>
        <v>0.782312925170068</v>
      </c>
    </row>
    <row r="37" spans="1:14" ht="13.5" customHeight="1" thickBot="1">
      <c r="A37" s="105" t="s">
        <v>199</v>
      </c>
      <c r="B37" s="83"/>
      <c r="C37" s="84"/>
      <c r="D37" s="73">
        <f t="shared" si="8"/>
        <v>0</v>
      </c>
      <c r="E37" s="83"/>
      <c r="F37" s="84"/>
      <c r="G37" s="97">
        <f t="shared" si="9"/>
        <v>0</v>
      </c>
      <c r="H37" s="85">
        <f t="shared" si="2"/>
        <v>0</v>
      </c>
      <c r="I37" s="86"/>
      <c r="J37" s="106"/>
      <c r="K37" s="84"/>
      <c r="L37" s="100">
        <f t="shared" si="10"/>
        <v>0</v>
      </c>
      <c r="M37" s="85">
        <f t="shared" si="4"/>
        <v>0</v>
      </c>
      <c r="N37" s="87"/>
    </row>
    <row r="38" spans="1:14" ht="13.5" customHeight="1" thickBot="1">
      <c r="A38" s="88" t="s">
        <v>200</v>
      </c>
      <c r="B38" s="89">
        <f aca="true" t="shared" si="13" ref="B38:G38">SUM(B20+B22+B23+B24+B25+B28+B33+B34+B35+B37)</f>
        <v>13716</v>
      </c>
      <c r="C38" s="90">
        <f t="shared" si="13"/>
        <v>0</v>
      </c>
      <c r="D38" s="91">
        <f t="shared" si="13"/>
        <v>13716</v>
      </c>
      <c r="E38" s="89">
        <f t="shared" si="13"/>
        <v>16058</v>
      </c>
      <c r="F38" s="90">
        <f t="shared" si="13"/>
        <v>0</v>
      </c>
      <c r="G38" s="91">
        <f t="shared" si="13"/>
        <v>16058</v>
      </c>
      <c r="H38" s="92">
        <f t="shared" si="2"/>
        <v>2342</v>
      </c>
      <c r="I38" s="93">
        <f t="shared" si="11"/>
        <v>1.1707494896471276</v>
      </c>
      <c r="J38" s="94">
        <f>SUM(J20+J22+J23+J24+J25+J28+J33+J34+J35+J37)</f>
        <v>18945</v>
      </c>
      <c r="K38" s="90">
        <f>SUM(K20+K22+K23+K24+K25+K28+K33+K34+K35+K37)</f>
        <v>0</v>
      </c>
      <c r="L38" s="91">
        <f>SUM(L20+L22+L23+L24+L25+L28+L33+L34+L35+L37)</f>
        <v>18945</v>
      </c>
      <c r="M38" s="92">
        <f t="shared" si="4"/>
        <v>2887</v>
      </c>
      <c r="N38" s="95">
        <f t="shared" si="12"/>
        <v>1.1797857765599702</v>
      </c>
    </row>
    <row r="39" spans="1:14" ht="13.5" customHeight="1" thickBot="1">
      <c r="A39" s="88" t="s">
        <v>201</v>
      </c>
      <c r="B39" s="787">
        <f>+D19-D38</f>
        <v>182</v>
      </c>
      <c r="C39" s="787"/>
      <c r="D39" s="787"/>
      <c r="E39" s="787">
        <f>+G19-G38</f>
        <v>255</v>
      </c>
      <c r="F39" s="787"/>
      <c r="G39" s="787">
        <v>-50784</v>
      </c>
      <c r="H39" s="107"/>
      <c r="I39" s="108"/>
      <c r="J39" s="789">
        <f>+L19-L38</f>
        <v>-4185</v>
      </c>
      <c r="K39" s="789"/>
      <c r="L39" s="789">
        <v>0</v>
      </c>
      <c r="M39" s="92"/>
      <c r="N39" s="95"/>
    </row>
    <row r="40" spans="1:16" ht="20.25" customHeight="1" thickBot="1">
      <c r="A40" s="109" t="s">
        <v>202</v>
      </c>
      <c r="B40" s="787"/>
      <c r="C40" s="787"/>
      <c r="D40" s="787"/>
      <c r="E40" s="787"/>
      <c r="F40" s="787"/>
      <c r="G40" s="787"/>
      <c r="H40"/>
      <c r="I40"/>
      <c r="J40"/>
      <c r="K40"/>
      <c r="L40"/>
      <c r="M40"/>
      <c r="N40"/>
      <c r="O40"/>
      <c r="P40"/>
    </row>
    <row r="41" spans="2:8" ht="14.25" customHeight="1" thickBot="1">
      <c r="B41" s="7"/>
      <c r="C41" s="7"/>
      <c r="D41" s="16"/>
      <c r="E41" s="7"/>
      <c r="F41" s="7"/>
      <c r="G41" s="7"/>
      <c r="H41" s="7"/>
    </row>
    <row r="42" spans="1:16" ht="13.5" thickBot="1">
      <c r="A42" s="805" t="s">
        <v>312</v>
      </c>
      <c r="B42" s="805"/>
      <c r="C42" s="799" t="s">
        <v>203</v>
      </c>
      <c r="D42" s="805" t="s">
        <v>420</v>
      </c>
      <c r="E42" s="805"/>
      <c r="F42" s="805"/>
      <c r="G42" s="799" t="s">
        <v>203</v>
      </c>
      <c r="H42" s="785" t="s">
        <v>421</v>
      </c>
      <c r="I42" s="785"/>
      <c r="J42" s="785"/>
      <c r="K42" s="785"/>
      <c r="L42" s="799" t="s">
        <v>203</v>
      </c>
      <c r="O42"/>
      <c r="P42"/>
    </row>
    <row r="43" spans="1:16" ht="13.5" thickBot="1">
      <c r="A43" s="805"/>
      <c r="B43" s="805"/>
      <c r="C43" s="799"/>
      <c r="D43" s="805"/>
      <c r="E43" s="805"/>
      <c r="F43" s="805"/>
      <c r="G43" s="799"/>
      <c r="H43" s="785"/>
      <c r="I43" s="785"/>
      <c r="J43" s="785"/>
      <c r="K43" s="785"/>
      <c r="L43" s="799"/>
      <c r="O43"/>
      <c r="P43"/>
    </row>
    <row r="44" spans="1:16" ht="12.75">
      <c r="A44" s="794" t="s">
        <v>277</v>
      </c>
      <c r="B44" s="794"/>
      <c r="C44" s="110">
        <v>132</v>
      </c>
      <c r="D44" s="795" t="s">
        <v>526</v>
      </c>
      <c r="E44" s="795"/>
      <c r="F44" s="795"/>
      <c r="G44" s="111">
        <v>269</v>
      </c>
      <c r="H44" s="802" t="s">
        <v>204</v>
      </c>
      <c r="I44" s="802"/>
      <c r="J44" s="802"/>
      <c r="K44" s="802"/>
      <c r="L44" s="112">
        <v>7</v>
      </c>
      <c r="O44"/>
      <c r="P44"/>
    </row>
    <row r="45" spans="1:16" ht="12.75">
      <c r="A45" s="797" t="s">
        <v>527</v>
      </c>
      <c r="B45" s="797"/>
      <c r="C45" s="113">
        <v>460</v>
      </c>
      <c r="D45" s="795" t="s">
        <v>528</v>
      </c>
      <c r="E45" s="795"/>
      <c r="F45" s="795"/>
      <c r="G45" s="114">
        <v>573</v>
      </c>
      <c r="H45" s="802"/>
      <c r="I45" s="802"/>
      <c r="J45" s="802"/>
      <c r="K45" s="802"/>
      <c r="L45" s="112"/>
      <c r="O45"/>
      <c r="P45"/>
    </row>
    <row r="46" spans="1:16" ht="12.75">
      <c r="A46" s="797"/>
      <c r="B46" s="797"/>
      <c r="C46" s="113"/>
      <c r="D46" s="795" t="s">
        <v>527</v>
      </c>
      <c r="E46" s="795"/>
      <c r="F46" s="795"/>
      <c r="G46" s="114">
        <v>237</v>
      </c>
      <c r="H46" s="802"/>
      <c r="I46" s="802"/>
      <c r="J46" s="802"/>
      <c r="K46" s="802"/>
      <c r="L46" s="112"/>
      <c r="O46"/>
      <c r="P46"/>
    </row>
    <row r="47" spans="1:16" ht="12.75">
      <c r="A47" s="797"/>
      <c r="B47" s="797"/>
      <c r="C47" s="115"/>
      <c r="D47" s="797"/>
      <c r="E47" s="797"/>
      <c r="F47" s="797"/>
      <c r="G47" s="116"/>
      <c r="H47" s="776"/>
      <c r="I47" s="776"/>
      <c r="J47" s="776"/>
      <c r="K47" s="776"/>
      <c r="L47" s="112"/>
      <c r="O47"/>
      <c r="P47"/>
    </row>
    <row r="48" spans="1:16" ht="12.75">
      <c r="A48" s="797"/>
      <c r="B48" s="797"/>
      <c r="C48" s="115"/>
      <c r="D48" s="797"/>
      <c r="E48" s="797"/>
      <c r="F48" s="797"/>
      <c r="G48" s="116"/>
      <c r="H48" s="776"/>
      <c r="I48" s="776"/>
      <c r="J48" s="776"/>
      <c r="K48" s="776"/>
      <c r="L48" s="112"/>
      <c r="O48"/>
      <c r="P48"/>
    </row>
    <row r="49" spans="1:16" ht="12.75">
      <c r="A49" s="797"/>
      <c r="B49" s="797"/>
      <c r="C49" s="115"/>
      <c r="D49" s="797"/>
      <c r="E49" s="797"/>
      <c r="F49" s="797"/>
      <c r="G49" s="116"/>
      <c r="H49" s="776"/>
      <c r="I49" s="776"/>
      <c r="J49" s="776"/>
      <c r="K49" s="776"/>
      <c r="L49" s="112"/>
      <c r="O49"/>
      <c r="P49"/>
    </row>
    <row r="50" spans="1:16" ht="13.5" thickBot="1">
      <c r="A50" s="800"/>
      <c r="B50" s="800"/>
      <c r="C50" s="115"/>
      <c r="D50" s="801"/>
      <c r="E50" s="801"/>
      <c r="F50" s="801"/>
      <c r="G50" s="116"/>
      <c r="H50" s="802"/>
      <c r="I50" s="802"/>
      <c r="J50" s="802"/>
      <c r="K50" s="802"/>
      <c r="L50" s="112"/>
      <c r="O50"/>
      <c r="P50"/>
    </row>
    <row r="51" spans="1:16" ht="13.5" thickBot="1">
      <c r="A51" s="811"/>
      <c r="B51" s="811"/>
      <c r="C51" s="117">
        <f>SUM(C44:C50)</f>
        <v>592</v>
      </c>
      <c r="D51" s="812" t="s">
        <v>168</v>
      </c>
      <c r="E51" s="812"/>
      <c r="F51" s="812"/>
      <c r="G51" s="117">
        <f>SUM(G44:G50)</f>
        <v>1079</v>
      </c>
      <c r="H51" s="778" t="s">
        <v>168</v>
      </c>
      <c r="I51" s="778"/>
      <c r="J51" s="778"/>
      <c r="K51" s="778"/>
      <c r="L51" s="117">
        <f>SUM(L44:L50)</f>
        <v>7</v>
      </c>
      <c r="M51" s="17"/>
      <c r="N51" s="17"/>
      <c r="O51"/>
      <c r="P51"/>
    </row>
    <row r="52" spans="1:16" s="1" customFormat="1" ht="13.5" customHeight="1" thickBot="1">
      <c r="A52" s="18"/>
      <c r="B52" s="5"/>
      <c r="C52" s="5"/>
      <c r="D52" s="5"/>
      <c r="E52" s="5"/>
      <c r="F52" s="5"/>
      <c r="G52" s="5"/>
      <c r="H52" s="6"/>
      <c r="I52" s="3"/>
      <c r="J52" s="3"/>
      <c r="K52" s="3"/>
      <c r="L52" s="3"/>
      <c r="M52" s="3"/>
      <c r="N52" s="3"/>
      <c r="O52" s="3"/>
      <c r="P52" s="3"/>
    </row>
    <row r="53" spans="1:16" ht="13.5" thickBot="1">
      <c r="A53" s="866" t="s">
        <v>429</v>
      </c>
      <c r="B53" s="867"/>
      <c r="C53" s="869" t="s">
        <v>203</v>
      </c>
      <c r="D53" s="806" t="s">
        <v>430</v>
      </c>
      <c r="E53" s="806"/>
      <c r="F53" s="806"/>
      <c r="G53" s="798" t="s">
        <v>203</v>
      </c>
      <c r="H53" s="785" t="s">
        <v>431</v>
      </c>
      <c r="I53" s="785"/>
      <c r="J53" s="785"/>
      <c r="K53" s="785"/>
      <c r="L53" s="799" t="s">
        <v>203</v>
      </c>
      <c r="O53"/>
      <c r="P53"/>
    </row>
    <row r="54" spans="1:16" ht="13.5" thickBot="1">
      <c r="A54" s="868"/>
      <c r="B54" s="805"/>
      <c r="C54" s="870"/>
      <c r="D54" s="806"/>
      <c r="E54" s="806"/>
      <c r="F54" s="806"/>
      <c r="G54" s="798"/>
      <c r="H54" s="785"/>
      <c r="I54" s="785"/>
      <c r="J54" s="785"/>
      <c r="K54" s="785"/>
      <c r="L54" s="799"/>
      <c r="O54"/>
      <c r="P54"/>
    </row>
    <row r="55" spans="1:16" ht="12.75">
      <c r="A55" s="871" t="s">
        <v>281</v>
      </c>
      <c r="B55" s="803"/>
      <c r="C55" s="201">
        <v>67</v>
      </c>
      <c r="D55" s="804" t="s">
        <v>281</v>
      </c>
      <c r="E55" s="804"/>
      <c r="F55" s="804"/>
      <c r="G55" s="118">
        <v>29</v>
      </c>
      <c r="H55" s="802" t="s">
        <v>529</v>
      </c>
      <c r="I55" s="802"/>
      <c r="J55" s="802"/>
      <c r="K55" s="802"/>
      <c r="L55" s="112">
        <v>40</v>
      </c>
      <c r="O55"/>
      <c r="P55"/>
    </row>
    <row r="56" spans="1:16" ht="13.5" customHeight="1">
      <c r="A56" s="872" t="s">
        <v>280</v>
      </c>
      <c r="B56" s="781"/>
      <c r="C56" s="202">
        <v>73</v>
      </c>
      <c r="D56" s="782" t="s">
        <v>280</v>
      </c>
      <c r="E56" s="782"/>
      <c r="F56" s="782"/>
      <c r="G56" s="119">
        <v>108</v>
      </c>
      <c r="H56" s="776" t="s">
        <v>530</v>
      </c>
      <c r="I56" s="776"/>
      <c r="J56" s="776"/>
      <c r="K56" s="776"/>
      <c r="L56" s="120">
        <v>10</v>
      </c>
      <c r="O56"/>
      <c r="P56"/>
    </row>
    <row r="57" spans="1:16" ht="13.5" customHeight="1">
      <c r="A57" s="872" t="s">
        <v>253</v>
      </c>
      <c r="B57" s="781"/>
      <c r="C57" s="202">
        <v>21</v>
      </c>
      <c r="D57" s="782" t="s">
        <v>530</v>
      </c>
      <c r="E57" s="782"/>
      <c r="F57" s="782"/>
      <c r="G57" s="119">
        <v>8</v>
      </c>
      <c r="H57" s="776" t="s">
        <v>253</v>
      </c>
      <c r="I57" s="776"/>
      <c r="J57" s="776"/>
      <c r="K57" s="776"/>
      <c r="L57" s="120">
        <v>50</v>
      </c>
      <c r="O57"/>
      <c r="P57"/>
    </row>
    <row r="58" spans="1:16" ht="13.5" customHeight="1">
      <c r="A58" s="872" t="s">
        <v>530</v>
      </c>
      <c r="B58" s="781"/>
      <c r="C58" s="202">
        <v>14</v>
      </c>
      <c r="D58" s="782" t="s">
        <v>531</v>
      </c>
      <c r="E58" s="782"/>
      <c r="F58" s="782"/>
      <c r="G58" s="119">
        <v>359</v>
      </c>
      <c r="H58" s="776" t="s">
        <v>301</v>
      </c>
      <c r="I58" s="776"/>
      <c r="J58" s="776"/>
      <c r="K58" s="776"/>
      <c r="L58" s="120">
        <v>100</v>
      </c>
      <c r="O58"/>
      <c r="P58"/>
    </row>
    <row r="59" spans="1:16" ht="13.5" customHeight="1">
      <c r="A59" s="872" t="s">
        <v>301</v>
      </c>
      <c r="B59" s="781"/>
      <c r="C59" s="203">
        <v>87</v>
      </c>
      <c r="D59" s="782" t="s">
        <v>301</v>
      </c>
      <c r="E59" s="782"/>
      <c r="F59" s="782"/>
      <c r="G59" s="121">
        <v>34</v>
      </c>
      <c r="H59" s="776"/>
      <c r="I59" s="776"/>
      <c r="J59" s="776"/>
      <c r="K59" s="776"/>
      <c r="L59" s="122"/>
      <c r="O59"/>
      <c r="P59"/>
    </row>
    <row r="60" spans="1:16" ht="13.5" customHeight="1">
      <c r="A60" s="872"/>
      <c r="B60" s="781"/>
      <c r="C60" s="203"/>
      <c r="D60" s="782" t="s">
        <v>253</v>
      </c>
      <c r="E60" s="782"/>
      <c r="F60" s="782"/>
      <c r="G60" s="121">
        <v>49</v>
      </c>
      <c r="H60" s="776"/>
      <c r="I60" s="776"/>
      <c r="J60" s="776"/>
      <c r="K60" s="776"/>
      <c r="L60" s="122"/>
      <c r="O60"/>
      <c r="P60"/>
    </row>
    <row r="61" spans="1:16" ht="13.5" customHeight="1">
      <c r="A61" s="872"/>
      <c r="B61" s="873"/>
      <c r="C61" s="202"/>
      <c r="D61" s="782"/>
      <c r="E61" s="782"/>
      <c r="F61" s="782"/>
      <c r="G61" s="119"/>
      <c r="H61" s="776"/>
      <c r="I61" s="776"/>
      <c r="J61" s="776"/>
      <c r="K61" s="776"/>
      <c r="L61" s="120"/>
      <c r="O61"/>
      <c r="P61"/>
    </row>
    <row r="62" spans="1:16" ht="13.5" thickBot="1">
      <c r="A62" s="874"/>
      <c r="B62" s="780"/>
      <c r="C62" s="204"/>
      <c r="D62" s="783"/>
      <c r="E62" s="783"/>
      <c r="F62" s="783"/>
      <c r="G62" s="123"/>
      <c r="H62" s="777"/>
      <c r="I62" s="777"/>
      <c r="J62" s="777"/>
      <c r="K62" s="777"/>
      <c r="L62" s="124"/>
      <c r="O62"/>
      <c r="P62"/>
    </row>
    <row r="63" spans="1:16" ht="13.5" thickBot="1">
      <c r="A63" s="877" t="s">
        <v>168</v>
      </c>
      <c r="B63" s="878"/>
      <c r="C63" s="205">
        <f>SUM(C55:C62)</f>
        <v>262</v>
      </c>
      <c r="D63" s="784" t="s">
        <v>168</v>
      </c>
      <c r="E63" s="784"/>
      <c r="F63" s="784"/>
      <c r="G63" s="125">
        <f>SUM(G55:G62)</f>
        <v>587</v>
      </c>
      <c r="H63" s="778" t="s">
        <v>168</v>
      </c>
      <c r="I63" s="778"/>
      <c r="J63" s="778"/>
      <c r="K63" s="778"/>
      <c r="L63" s="117">
        <f>SUM(L55:L62)</f>
        <v>200</v>
      </c>
      <c r="M63" s="17"/>
      <c r="N63" s="17"/>
      <c r="O63"/>
      <c r="P63"/>
    </row>
    <row r="64" spans="1:14" s="1" customFormat="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1" customFormat="1" ht="13.5" thickBo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s="1" customFormat="1" ht="26.25" customHeight="1" thickBot="1">
      <c r="A66" s="833" t="s">
        <v>106</v>
      </c>
      <c r="B66" s="834"/>
      <c r="C66" s="834"/>
      <c r="D66" s="834"/>
      <c r="E66" s="835"/>
      <c r="F66" s="836" t="s">
        <v>107</v>
      </c>
      <c r="G66" s="837"/>
      <c r="H66" s="837"/>
      <c r="I66" s="837"/>
      <c r="J66" s="837"/>
      <c r="K66" s="837"/>
      <c r="L66" s="838"/>
      <c r="M66" s="19"/>
      <c r="N66" s="19"/>
    </row>
    <row r="67" spans="1:14" s="1" customFormat="1" ht="14.25" customHeight="1" thickBot="1">
      <c r="A67" s="397" t="s">
        <v>231</v>
      </c>
      <c r="B67" s="398" t="s">
        <v>96</v>
      </c>
      <c r="C67" s="839" t="s">
        <v>232</v>
      </c>
      <c r="D67" s="839"/>
      <c r="E67" s="399" t="s">
        <v>97</v>
      </c>
      <c r="F67" s="840" t="s">
        <v>231</v>
      </c>
      <c r="G67" s="841"/>
      <c r="H67" s="398" t="s">
        <v>96</v>
      </c>
      <c r="I67" s="839" t="s">
        <v>232</v>
      </c>
      <c r="J67" s="839"/>
      <c r="K67" s="839"/>
      <c r="L67" s="400" t="s">
        <v>97</v>
      </c>
      <c r="M67" s="19"/>
      <c r="N67" s="19"/>
    </row>
    <row r="68" spans="1:14" s="1" customFormat="1" ht="12.75">
      <c r="A68" s="401" t="s">
        <v>98</v>
      </c>
      <c r="B68" s="402">
        <v>515</v>
      </c>
      <c r="C68" s="842" t="s">
        <v>99</v>
      </c>
      <c r="D68" s="842"/>
      <c r="E68" s="403"/>
      <c r="F68" s="843" t="s">
        <v>98</v>
      </c>
      <c r="G68" s="844"/>
      <c r="H68" s="402">
        <v>667</v>
      </c>
      <c r="I68" s="842" t="s">
        <v>99</v>
      </c>
      <c r="J68" s="844"/>
      <c r="K68" s="844"/>
      <c r="L68" s="403"/>
      <c r="M68" s="19"/>
      <c r="N68" s="19"/>
    </row>
    <row r="69" spans="1:14" s="1" customFormat="1" ht="12.75">
      <c r="A69" s="404" t="s">
        <v>100</v>
      </c>
      <c r="B69" s="405">
        <v>147</v>
      </c>
      <c r="C69" s="845" t="s">
        <v>101</v>
      </c>
      <c r="D69" s="845"/>
      <c r="E69" s="406"/>
      <c r="F69" s="846" t="s">
        <v>102</v>
      </c>
      <c r="G69" s="847"/>
      <c r="H69" s="405">
        <v>205</v>
      </c>
      <c r="I69" s="845" t="s">
        <v>101</v>
      </c>
      <c r="J69" s="847"/>
      <c r="K69" s="847"/>
      <c r="L69" s="406"/>
      <c r="M69" s="19"/>
      <c r="N69" s="19"/>
    </row>
    <row r="70" spans="1:14" s="1" customFormat="1" ht="12.75">
      <c r="A70" s="404" t="s">
        <v>103</v>
      </c>
      <c r="B70" s="405">
        <v>9</v>
      </c>
      <c r="C70" s="845" t="s">
        <v>121</v>
      </c>
      <c r="D70" s="845"/>
      <c r="E70" s="406">
        <v>4</v>
      </c>
      <c r="F70" s="845" t="s">
        <v>104</v>
      </c>
      <c r="G70" s="845"/>
      <c r="H70" s="405"/>
      <c r="I70" s="845" t="s">
        <v>121</v>
      </c>
      <c r="J70" s="901"/>
      <c r="K70" s="901"/>
      <c r="L70" s="406">
        <v>5</v>
      </c>
      <c r="M70" s="19"/>
      <c r="N70" s="19"/>
    </row>
    <row r="71" spans="1:14" s="1" customFormat="1" ht="13.5" thickBot="1">
      <c r="A71" s="407"/>
      <c r="B71" s="408"/>
      <c r="C71" s="848"/>
      <c r="D71" s="848"/>
      <c r="E71" s="409"/>
      <c r="F71" s="849"/>
      <c r="G71" s="850"/>
      <c r="H71" s="408"/>
      <c r="I71" s="848"/>
      <c r="J71" s="850"/>
      <c r="K71" s="850"/>
      <c r="L71" s="409"/>
      <c r="M71" s="19"/>
      <c r="N71" s="19"/>
    </row>
    <row r="72" spans="1:14" s="1" customFormat="1" ht="13.5" thickBot="1">
      <c r="A72" s="410" t="s">
        <v>168</v>
      </c>
      <c r="B72" s="411">
        <f>SUM(B68:B71)</f>
        <v>671</v>
      </c>
      <c r="C72" s="851" t="s">
        <v>168</v>
      </c>
      <c r="D72" s="851"/>
      <c r="E72" s="413">
        <f>SUM(E68:E71)</f>
        <v>4</v>
      </c>
      <c r="F72" s="852" t="s">
        <v>168</v>
      </c>
      <c r="G72" s="853"/>
      <c r="H72" s="412">
        <f>SUM(H68:H71)</f>
        <v>872</v>
      </c>
      <c r="I72" s="851" t="s">
        <v>168</v>
      </c>
      <c r="J72" s="853"/>
      <c r="K72" s="853"/>
      <c r="L72" s="413">
        <f>SUM(L68:L71)</f>
        <v>5</v>
      </c>
      <c r="M72" s="19"/>
      <c r="N72" s="19"/>
    </row>
    <row r="73" spans="1:14" s="1" customFormat="1" ht="13.5" thickBot="1">
      <c r="A73" s="414" t="s">
        <v>105</v>
      </c>
      <c r="B73" s="415">
        <f>B72-E72</f>
        <v>667</v>
      </c>
      <c r="C73" s="19"/>
      <c r="D73" s="19"/>
      <c r="E73" s="19"/>
      <c r="F73" s="854" t="s">
        <v>105</v>
      </c>
      <c r="G73" s="701"/>
      <c r="H73" s="416">
        <f>H72-L72</f>
        <v>867</v>
      </c>
      <c r="I73" s="19"/>
      <c r="J73" s="19"/>
      <c r="K73" s="19"/>
      <c r="L73" s="19"/>
      <c r="M73" s="19"/>
      <c r="N73" s="19"/>
    </row>
    <row r="74" spans="1:14" s="1" customFormat="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s="1" customFormat="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2" s="1" customFormat="1" ht="12.75">
      <c r="A76" s="20"/>
      <c r="B76" s="21"/>
      <c r="C76" s="21"/>
      <c r="D76" s="21"/>
      <c r="E76" s="2"/>
      <c r="F76" s="4"/>
      <c r="G76" s="4"/>
      <c r="H76" s="20"/>
      <c r="I76" s="21"/>
      <c r="J76" s="21"/>
      <c r="K76" s="21"/>
      <c r="L76" s="2"/>
    </row>
    <row r="77" spans="1:12" s="1" customFormat="1" ht="13.5" thickBot="1">
      <c r="A77" s="20"/>
      <c r="B77" s="21"/>
      <c r="C77" s="21"/>
      <c r="D77" s="21"/>
      <c r="E77" s="2"/>
      <c r="F77" s="4"/>
      <c r="G77" s="4"/>
      <c r="H77" s="20"/>
      <c r="I77" s="21"/>
      <c r="J77" s="21" t="s">
        <v>307</v>
      </c>
      <c r="K77" s="21"/>
      <c r="L77" s="2"/>
    </row>
    <row r="78" spans="1:15" s="1" customFormat="1" ht="12.75">
      <c r="A78" s="879" t="s">
        <v>227</v>
      </c>
      <c r="B78" s="882" t="s">
        <v>435</v>
      </c>
      <c r="C78" s="885" t="s">
        <v>436</v>
      </c>
      <c r="D78" s="886"/>
      <c r="E78" s="886"/>
      <c r="F78" s="886"/>
      <c r="G78" s="886"/>
      <c r="H78" s="886"/>
      <c r="I78" s="887"/>
      <c r="J78" s="888" t="s">
        <v>437</v>
      </c>
      <c r="K78" s="7"/>
      <c r="L78" s="864" t="s">
        <v>205</v>
      </c>
      <c r="M78" s="865"/>
      <c r="N78" s="59">
        <v>2006</v>
      </c>
      <c r="O78" s="60">
        <v>2007</v>
      </c>
    </row>
    <row r="79" spans="1:15" s="1" customFormat="1" ht="12.75">
      <c r="A79" s="880"/>
      <c r="B79" s="883"/>
      <c r="C79" s="891" t="s">
        <v>228</v>
      </c>
      <c r="D79" s="893" t="s">
        <v>229</v>
      </c>
      <c r="E79" s="894"/>
      <c r="F79" s="894"/>
      <c r="G79" s="894"/>
      <c r="H79" s="894"/>
      <c r="I79" s="895"/>
      <c r="J79" s="889"/>
      <c r="K79" s="7"/>
      <c r="L79" s="63" t="s">
        <v>273</v>
      </c>
      <c r="M79" s="62"/>
      <c r="N79" s="58"/>
      <c r="O79" s="61"/>
    </row>
    <row r="80" spans="1:15" s="1" customFormat="1" ht="13.5" thickBot="1">
      <c r="A80" s="881"/>
      <c r="B80" s="884"/>
      <c r="C80" s="892"/>
      <c r="D80" s="25">
        <v>1</v>
      </c>
      <c r="E80" s="25">
        <v>2</v>
      </c>
      <c r="F80" s="25">
        <v>3</v>
      </c>
      <c r="G80" s="25">
        <v>4</v>
      </c>
      <c r="H80" s="25">
        <v>5</v>
      </c>
      <c r="I80" s="56">
        <v>6</v>
      </c>
      <c r="J80" s="890"/>
      <c r="K80" s="7"/>
      <c r="L80" s="62" t="s">
        <v>206</v>
      </c>
      <c r="M80" s="63"/>
      <c r="N80" s="22">
        <v>0</v>
      </c>
      <c r="O80" s="23">
        <v>0</v>
      </c>
    </row>
    <row r="81" spans="1:15" s="1" customFormat="1" ht="13.5" thickBot="1">
      <c r="A81" s="26">
        <v>6907</v>
      </c>
      <c r="B81" s="27">
        <v>3506</v>
      </c>
      <c r="C81" s="54">
        <v>460</v>
      </c>
      <c r="D81" s="55">
        <v>218</v>
      </c>
      <c r="E81" s="55">
        <v>179</v>
      </c>
      <c r="F81" s="55">
        <v>57</v>
      </c>
      <c r="G81" s="55"/>
      <c r="H81" s="54">
        <v>6</v>
      </c>
      <c r="I81" s="57"/>
      <c r="J81" s="28">
        <f>SUM(A81-B81-C81)</f>
        <v>2941</v>
      </c>
      <c r="K81" s="7"/>
      <c r="L81" s="64" t="s">
        <v>207</v>
      </c>
      <c r="M81" s="65"/>
      <c r="N81" s="52">
        <v>0</v>
      </c>
      <c r="O81" s="53">
        <v>0</v>
      </c>
    </row>
    <row r="82" spans="1:12" s="1" customFormat="1" ht="12.75">
      <c r="A82" s="20"/>
      <c r="B82" s="21"/>
      <c r="C82" s="21"/>
      <c r="D82" s="21"/>
      <c r="E82" s="2"/>
      <c r="F82" s="200"/>
      <c r="G82" s="4"/>
      <c r="H82" s="20"/>
      <c r="I82" s="21"/>
      <c r="J82" s="21"/>
      <c r="K82" s="21"/>
      <c r="L82" s="2"/>
    </row>
    <row r="83" spans="1:12" s="1" customFormat="1" ht="13.5" thickBot="1">
      <c r="A83" s="20"/>
      <c r="B83" s="21"/>
      <c r="C83" s="21"/>
      <c r="D83" s="21"/>
      <c r="E83" s="2"/>
      <c r="F83" s="200"/>
      <c r="G83" s="4"/>
      <c r="H83" s="20"/>
      <c r="I83" s="21"/>
      <c r="J83" s="21"/>
      <c r="K83" s="21"/>
      <c r="L83" s="21" t="s">
        <v>307</v>
      </c>
    </row>
    <row r="84" spans="1:12" s="1" customFormat="1" ht="12.75">
      <c r="A84" s="855" t="s">
        <v>255</v>
      </c>
      <c r="B84" s="857" t="s">
        <v>438</v>
      </c>
      <c r="C84" s="859" t="s">
        <v>439</v>
      </c>
      <c r="D84" s="860"/>
      <c r="E84" s="860"/>
      <c r="F84" s="861"/>
      <c r="G84" s="862" t="s">
        <v>440</v>
      </c>
      <c r="H84" s="896" t="s">
        <v>230</v>
      </c>
      <c r="I84" s="898" t="s">
        <v>441</v>
      </c>
      <c r="J84" s="899"/>
      <c r="K84" s="899"/>
      <c r="L84" s="900"/>
    </row>
    <row r="85" spans="1:12" s="1" customFormat="1" ht="18.75" thickBot="1">
      <c r="A85" s="856"/>
      <c r="B85" s="858"/>
      <c r="C85" s="29" t="s">
        <v>321</v>
      </c>
      <c r="D85" s="30" t="s">
        <v>231</v>
      </c>
      <c r="E85" s="30" t="s">
        <v>232</v>
      </c>
      <c r="F85" s="31" t="s">
        <v>322</v>
      </c>
      <c r="G85" s="863"/>
      <c r="H85" s="897"/>
      <c r="I85" s="174" t="s">
        <v>442</v>
      </c>
      <c r="J85" s="175" t="s">
        <v>231</v>
      </c>
      <c r="K85" s="175" t="s">
        <v>232</v>
      </c>
      <c r="L85" s="176" t="s">
        <v>443</v>
      </c>
    </row>
    <row r="86" spans="1:12" s="1" customFormat="1" ht="12.75">
      <c r="A86" s="32" t="s">
        <v>233</v>
      </c>
      <c r="B86" s="33">
        <v>2522</v>
      </c>
      <c r="C86" s="34" t="s">
        <v>234</v>
      </c>
      <c r="D86" s="35" t="s">
        <v>234</v>
      </c>
      <c r="E86" s="35" t="s">
        <v>234</v>
      </c>
      <c r="F86" s="36"/>
      <c r="G86" s="37">
        <v>2942</v>
      </c>
      <c r="H86" s="171" t="s">
        <v>234</v>
      </c>
      <c r="I86" s="177" t="s">
        <v>234</v>
      </c>
      <c r="J86" s="178" t="s">
        <v>234</v>
      </c>
      <c r="K86" s="178" t="s">
        <v>234</v>
      </c>
      <c r="L86" s="179" t="s">
        <v>234</v>
      </c>
    </row>
    <row r="87" spans="1:12" s="1" customFormat="1" ht="12.75">
      <c r="A87" s="38" t="s">
        <v>235</v>
      </c>
      <c r="B87" s="39">
        <v>188</v>
      </c>
      <c r="C87" s="40">
        <v>188</v>
      </c>
      <c r="D87" s="41">
        <v>35</v>
      </c>
      <c r="E87" s="41">
        <v>0</v>
      </c>
      <c r="F87" s="42">
        <f>C87+D87-E87</f>
        <v>223</v>
      </c>
      <c r="G87" s="43">
        <v>223</v>
      </c>
      <c r="H87" s="172">
        <f>+G87-F87</f>
        <v>0</v>
      </c>
      <c r="I87" s="40">
        <v>223</v>
      </c>
      <c r="J87" s="41">
        <v>50</v>
      </c>
      <c r="K87" s="41">
        <v>150</v>
      </c>
      <c r="L87" s="42">
        <f>I87+J87-K87</f>
        <v>123</v>
      </c>
    </row>
    <row r="88" spans="1:12" s="1" customFormat="1" ht="12.75">
      <c r="A88" s="38" t="s">
        <v>236</v>
      </c>
      <c r="B88" s="39">
        <v>515</v>
      </c>
      <c r="C88" s="40">
        <v>515</v>
      </c>
      <c r="D88" s="41">
        <v>156</v>
      </c>
      <c r="E88" s="41">
        <v>4</v>
      </c>
      <c r="F88" s="42">
        <f>C88+D88-E88</f>
        <v>667</v>
      </c>
      <c r="G88" s="43">
        <v>667</v>
      </c>
      <c r="H88" s="172">
        <f>+G88-F88</f>
        <v>0</v>
      </c>
      <c r="I88" s="40">
        <v>667</v>
      </c>
      <c r="J88" s="41">
        <v>205</v>
      </c>
      <c r="K88" s="41">
        <v>5</v>
      </c>
      <c r="L88" s="42">
        <f>I88+J88-K88</f>
        <v>867</v>
      </c>
    </row>
    <row r="89" spans="1:12" s="1" customFormat="1" ht="12.75">
      <c r="A89" s="38" t="s">
        <v>256</v>
      </c>
      <c r="B89" s="39">
        <v>741</v>
      </c>
      <c r="C89" s="40">
        <v>741</v>
      </c>
      <c r="D89" s="41">
        <v>1222</v>
      </c>
      <c r="E89" s="41">
        <v>1079</v>
      </c>
      <c r="F89" s="42">
        <f>C89+D89-E89</f>
        <v>884</v>
      </c>
      <c r="G89" s="43">
        <v>884</v>
      </c>
      <c r="H89" s="172">
        <f>+G89-F89</f>
        <v>0</v>
      </c>
      <c r="I89" s="180">
        <v>884</v>
      </c>
      <c r="J89" s="170">
        <v>460</v>
      </c>
      <c r="K89" s="170">
        <v>7</v>
      </c>
      <c r="L89" s="42">
        <f>I89+J89-K89</f>
        <v>1337</v>
      </c>
    </row>
    <row r="90" spans="1:12" s="1" customFormat="1" ht="12.75">
      <c r="A90" s="38" t="s">
        <v>237</v>
      </c>
      <c r="B90" s="39">
        <v>1078</v>
      </c>
      <c r="C90" s="50" t="s">
        <v>234</v>
      </c>
      <c r="D90" s="35" t="s">
        <v>234</v>
      </c>
      <c r="E90" s="51" t="s">
        <v>234</v>
      </c>
      <c r="F90" s="42"/>
      <c r="G90" s="43">
        <v>1168</v>
      </c>
      <c r="H90" s="50" t="s">
        <v>234</v>
      </c>
      <c r="I90" s="34"/>
      <c r="J90" s="35"/>
      <c r="K90" s="35"/>
      <c r="L90" s="181">
        <v>0</v>
      </c>
    </row>
    <row r="91" spans="1:12" s="1" customFormat="1" ht="13.5" thickBot="1">
      <c r="A91" s="44" t="s">
        <v>238</v>
      </c>
      <c r="B91" s="45">
        <v>112</v>
      </c>
      <c r="C91" s="46">
        <v>116</v>
      </c>
      <c r="D91" s="47">
        <v>149</v>
      </c>
      <c r="E91" s="47">
        <v>146</v>
      </c>
      <c r="F91" s="48">
        <f>C91+D91-E91</f>
        <v>119</v>
      </c>
      <c r="G91" s="49">
        <v>116</v>
      </c>
      <c r="H91" s="173">
        <f>+G91-F91</f>
        <v>-3</v>
      </c>
      <c r="I91" s="46">
        <v>119</v>
      </c>
      <c r="J91" s="47">
        <v>178</v>
      </c>
      <c r="K91" s="47">
        <v>194</v>
      </c>
      <c r="L91" s="48">
        <f>I91+J91-K91</f>
        <v>103</v>
      </c>
    </row>
    <row r="92" spans="1:12" s="1" customFormat="1" ht="12.75">
      <c r="A92" s="20"/>
      <c r="B92" s="21"/>
      <c r="C92" s="21"/>
      <c r="D92" s="21"/>
      <c r="E92" s="2"/>
      <c r="F92" s="200"/>
      <c r="G92" s="4"/>
      <c r="H92" s="20"/>
      <c r="I92" s="21"/>
      <c r="J92" s="21"/>
      <c r="K92" s="21"/>
      <c r="L92" s="2"/>
    </row>
    <row r="93" spans="1:12" s="1" customFormat="1" ht="12.75">
      <c r="A93" s="20"/>
      <c r="B93" s="21"/>
      <c r="C93" s="21"/>
      <c r="D93" s="21"/>
      <c r="E93" s="2"/>
      <c r="F93" s="200"/>
      <c r="G93" s="4"/>
      <c r="H93" s="20"/>
      <c r="I93" s="21"/>
      <c r="J93" s="21"/>
      <c r="K93" s="21"/>
      <c r="L93" s="2"/>
    </row>
    <row r="94" spans="1:12" s="1" customFormat="1" ht="12.75">
      <c r="A94" s="20"/>
      <c r="B94" s="21"/>
      <c r="C94" s="21"/>
      <c r="D94" s="21"/>
      <c r="E94" s="2"/>
      <c r="F94" s="200"/>
      <c r="G94" s="4"/>
      <c r="H94" s="20"/>
      <c r="I94" s="21"/>
      <c r="J94" s="21"/>
      <c r="K94" s="21"/>
      <c r="L94" s="2"/>
    </row>
    <row r="95" spans="1:12" s="1" customFormat="1" ht="12.75">
      <c r="A95" s="20"/>
      <c r="B95" s="21"/>
      <c r="C95" s="21"/>
      <c r="D95" s="21"/>
      <c r="E95" s="2"/>
      <c r="F95" s="200"/>
      <c r="G95" s="4"/>
      <c r="H95" s="20"/>
      <c r="I95" s="21"/>
      <c r="J95" s="21"/>
      <c r="K95" s="21"/>
      <c r="L95" s="2"/>
    </row>
    <row r="96" spans="1:12" s="1" customFormat="1" ht="12.75">
      <c r="A96" s="20"/>
      <c r="B96" s="21"/>
      <c r="C96" s="21"/>
      <c r="D96" s="21"/>
      <c r="E96" s="2"/>
      <c r="F96" s="200"/>
      <c r="G96" s="4"/>
      <c r="H96" s="20"/>
      <c r="I96" s="21"/>
      <c r="J96" s="21"/>
      <c r="K96" s="21"/>
      <c r="L96" s="2"/>
    </row>
    <row r="97" spans="1:12" s="1" customFormat="1" ht="12.75">
      <c r="A97" s="20"/>
      <c r="B97" s="21"/>
      <c r="C97" s="21"/>
      <c r="D97" s="21"/>
      <c r="E97" s="2"/>
      <c r="F97" s="4"/>
      <c r="G97" s="4"/>
      <c r="H97" s="20"/>
      <c r="I97" s="21"/>
      <c r="J97" s="21"/>
      <c r="K97" s="21"/>
      <c r="L97" s="2"/>
    </row>
    <row r="98" spans="1:12" s="1" customFormat="1" ht="12.75">
      <c r="A98" s="20"/>
      <c r="B98" s="21"/>
      <c r="C98" s="21"/>
      <c r="D98" s="21"/>
      <c r="E98" s="2"/>
      <c r="F98" s="4"/>
      <c r="G98" s="4"/>
      <c r="H98" s="20"/>
      <c r="I98" s="21"/>
      <c r="J98" s="21"/>
      <c r="K98" s="21"/>
      <c r="L98" s="2"/>
    </row>
    <row r="99" spans="8:12" ht="13.5" thickBot="1">
      <c r="H99" s="21" t="s">
        <v>307</v>
      </c>
      <c r="L99" s="21" t="s">
        <v>307</v>
      </c>
    </row>
    <row r="100" spans="1:12" ht="13.5" thickBot="1">
      <c r="A100" s="823" t="s">
        <v>444</v>
      </c>
      <c r="B100" s="824" t="s">
        <v>168</v>
      </c>
      <c r="C100" s="810" t="s">
        <v>239</v>
      </c>
      <c r="D100" s="810"/>
      <c r="E100" s="810"/>
      <c r="F100" s="810"/>
      <c r="G100" s="810"/>
      <c r="H100" s="810"/>
      <c r="I100" s="24"/>
      <c r="J100" s="825" t="s">
        <v>208</v>
      </c>
      <c r="K100" s="825"/>
      <c r="L100" s="825"/>
    </row>
    <row r="101" spans="1:12" ht="13.5" thickBot="1">
      <c r="A101" s="823"/>
      <c r="B101" s="824"/>
      <c r="C101" s="126" t="s">
        <v>240</v>
      </c>
      <c r="D101" s="127" t="s">
        <v>241</v>
      </c>
      <c r="E101" s="127" t="s">
        <v>242</v>
      </c>
      <c r="F101" s="127" t="s">
        <v>243</v>
      </c>
      <c r="G101" s="128" t="s">
        <v>244</v>
      </c>
      <c r="H101" s="129" t="s">
        <v>228</v>
      </c>
      <c r="I101" s="24"/>
      <c r="J101" s="130"/>
      <c r="K101" s="131" t="s">
        <v>209</v>
      </c>
      <c r="L101" s="132" t="s">
        <v>210</v>
      </c>
    </row>
    <row r="102" spans="1:12" ht="12.75">
      <c r="A102" s="133" t="s">
        <v>245</v>
      </c>
      <c r="B102" s="134">
        <v>234</v>
      </c>
      <c r="C102" s="135"/>
      <c r="D102" s="135"/>
      <c r="E102" s="135"/>
      <c r="F102" s="135"/>
      <c r="G102" s="134"/>
      <c r="H102" s="136">
        <f>SUM(C102:G102)</f>
        <v>0</v>
      </c>
      <c r="I102" s="24"/>
      <c r="J102" s="137">
        <v>2007</v>
      </c>
      <c r="K102" s="138">
        <v>7450</v>
      </c>
      <c r="L102" s="139">
        <f>+G30</f>
        <v>7450</v>
      </c>
    </row>
    <row r="103" spans="1:12" ht="13.5" thickBot="1">
      <c r="A103" s="140" t="s">
        <v>246</v>
      </c>
      <c r="B103" s="141">
        <v>1082</v>
      </c>
      <c r="C103" s="142"/>
      <c r="D103" s="142"/>
      <c r="E103" s="142"/>
      <c r="F103" s="142"/>
      <c r="G103" s="141"/>
      <c r="H103" s="143">
        <f>SUM(C103:G103)</f>
        <v>0</v>
      </c>
      <c r="I103" s="24"/>
      <c r="J103" s="144">
        <v>2008</v>
      </c>
      <c r="K103" s="145">
        <f>L30</f>
        <v>8904</v>
      </c>
      <c r="L103" s="146"/>
    </row>
    <row r="104" ht="12.75" customHeight="1"/>
    <row r="105" ht="13.5" thickBot="1">
      <c r="J105" s="208" t="s">
        <v>323</v>
      </c>
    </row>
    <row r="106" spans="1:10" ht="21" customHeight="1" thickBot="1">
      <c r="A106" s="823" t="s">
        <v>211</v>
      </c>
      <c r="B106" s="826" t="s">
        <v>212</v>
      </c>
      <c r="C106" s="826"/>
      <c r="D106" s="826"/>
      <c r="E106" s="827" t="s">
        <v>274</v>
      </c>
      <c r="F106" s="827"/>
      <c r="G106" s="827"/>
      <c r="H106" s="828" t="s">
        <v>213</v>
      </c>
      <c r="I106" s="828"/>
      <c r="J106" s="828"/>
    </row>
    <row r="107" spans="1:10" ht="12.75">
      <c r="A107" s="823"/>
      <c r="B107" s="147">
        <v>2006</v>
      </c>
      <c r="C107" s="147">
        <v>2007</v>
      </c>
      <c r="D107" s="147" t="s">
        <v>214</v>
      </c>
      <c r="E107" s="147">
        <v>2006</v>
      </c>
      <c r="F107" s="147">
        <v>2007</v>
      </c>
      <c r="G107" s="148" t="s">
        <v>214</v>
      </c>
      <c r="H107" s="149">
        <v>2006</v>
      </c>
      <c r="I107" s="147">
        <v>2007</v>
      </c>
      <c r="J107" s="148" t="s">
        <v>214</v>
      </c>
    </row>
    <row r="108" spans="1:10" ht="18.75">
      <c r="A108" s="150" t="s">
        <v>215</v>
      </c>
      <c r="B108" s="151">
        <v>3.949</v>
      </c>
      <c r="C108" s="151">
        <v>4.5233</v>
      </c>
      <c r="D108" s="151">
        <f aca="true" t="shared" si="14" ref="D108:D118">+C108-B108</f>
        <v>0.5743</v>
      </c>
      <c r="E108" s="151">
        <v>3.4</v>
      </c>
      <c r="F108" s="151">
        <v>5</v>
      </c>
      <c r="G108" s="152">
        <f aca="true" t="shared" si="15" ref="G108:G118">+F108-E108</f>
        <v>1.6</v>
      </c>
      <c r="H108" s="153">
        <v>21954</v>
      </c>
      <c r="I108" s="154">
        <v>25642.71</v>
      </c>
      <c r="J108" s="155">
        <f aca="true" t="shared" si="16" ref="J108:J118">+I108-H108</f>
        <v>3688.709999999999</v>
      </c>
    </row>
    <row r="109" spans="1:10" ht="12.75">
      <c r="A109" s="150" t="s">
        <v>248</v>
      </c>
      <c r="B109" s="151">
        <v>6.3452</v>
      </c>
      <c r="C109" s="151">
        <v>6.837</v>
      </c>
      <c r="D109" s="151">
        <f t="shared" si="14"/>
        <v>0.49179999999999957</v>
      </c>
      <c r="E109" s="151">
        <v>6.6129</v>
      </c>
      <c r="F109" s="151">
        <v>7</v>
      </c>
      <c r="G109" s="152">
        <f t="shared" si="15"/>
        <v>0.3871000000000002</v>
      </c>
      <c r="H109" s="153">
        <v>20446.25</v>
      </c>
      <c r="I109" s="156">
        <v>24501.01</v>
      </c>
      <c r="J109" s="155">
        <f t="shared" si="16"/>
        <v>4054.7599999999984</v>
      </c>
    </row>
    <row r="110" spans="1:10" ht="12.75">
      <c r="A110" s="150" t="s">
        <v>216</v>
      </c>
      <c r="B110" s="151"/>
      <c r="C110" s="151"/>
      <c r="D110" s="151">
        <f t="shared" si="14"/>
        <v>0</v>
      </c>
      <c r="E110" s="151"/>
      <c r="F110" s="151"/>
      <c r="G110" s="152">
        <f t="shared" si="15"/>
        <v>0</v>
      </c>
      <c r="H110" s="153"/>
      <c r="I110" s="156"/>
      <c r="J110" s="155">
        <f t="shared" si="16"/>
        <v>0</v>
      </c>
    </row>
    <row r="111" spans="1:10" ht="12.75">
      <c r="A111" s="150" t="s">
        <v>217</v>
      </c>
      <c r="B111" s="151">
        <v>4</v>
      </c>
      <c r="C111" s="151">
        <v>4.126</v>
      </c>
      <c r="D111" s="151">
        <f t="shared" si="14"/>
        <v>0.12600000000000033</v>
      </c>
      <c r="E111" s="151">
        <v>4</v>
      </c>
      <c r="F111" s="151">
        <v>5</v>
      </c>
      <c r="G111" s="152">
        <f t="shared" si="15"/>
        <v>1</v>
      </c>
      <c r="H111" s="153">
        <v>13647.42</v>
      </c>
      <c r="I111" s="156">
        <v>14942.94</v>
      </c>
      <c r="J111" s="155">
        <f t="shared" si="16"/>
        <v>1295.5200000000004</v>
      </c>
    </row>
    <row r="112" spans="1:10" ht="12.75">
      <c r="A112" s="150" t="s">
        <v>299</v>
      </c>
      <c r="B112" s="151"/>
      <c r="C112" s="151"/>
      <c r="D112" s="151">
        <f t="shared" si="14"/>
        <v>0</v>
      </c>
      <c r="E112" s="151"/>
      <c r="F112" s="151"/>
      <c r="G112" s="152">
        <f t="shared" si="15"/>
        <v>0</v>
      </c>
      <c r="H112" s="153"/>
      <c r="I112" s="156"/>
      <c r="J112" s="155">
        <f t="shared" si="16"/>
        <v>0</v>
      </c>
    </row>
    <row r="113" spans="1:10" ht="12.75">
      <c r="A113" s="150" t="s">
        <v>297</v>
      </c>
      <c r="B113" s="151"/>
      <c r="C113" s="151"/>
      <c r="D113" s="151">
        <f t="shared" si="14"/>
        <v>0</v>
      </c>
      <c r="E113" s="151"/>
      <c r="F113" s="151"/>
      <c r="G113" s="152">
        <f t="shared" si="15"/>
        <v>0</v>
      </c>
      <c r="H113" s="153"/>
      <c r="I113" s="156"/>
      <c r="J113" s="155">
        <f t="shared" si="16"/>
        <v>0</v>
      </c>
    </row>
    <row r="114" spans="1:10" ht="12.75">
      <c r="A114" s="150" t="s">
        <v>325</v>
      </c>
      <c r="B114" s="151">
        <v>4.0329</v>
      </c>
      <c r="C114" s="151">
        <v>4</v>
      </c>
      <c r="D114" s="151">
        <f t="shared" si="14"/>
        <v>-0.03289999999999971</v>
      </c>
      <c r="E114" s="151">
        <v>4</v>
      </c>
      <c r="F114" s="151">
        <v>4</v>
      </c>
      <c r="G114" s="152">
        <f t="shared" si="15"/>
        <v>0</v>
      </c>
      <c r="H114" s="153">
        <v>12585.23</v>
      </c>
      <c r="I114" s="156">
        <v>14147.46</v>
      </c>
      <c r="J114" s="155">
        <f t="shared" si="16"/>
        <v>1562.2299999999996</v>
      </c>
    </row>
    <row r="115" spans="1:10" ht="12.75">
      <c r="A115" s="150" t="s">
        <v>219</v>
      </c>
      <c r="B115" s="151">
        <v>10.19</v>
      </c>
      <c r="C115" s="151">
        <v>8.2959</v>
      </c>
      <c r="D115" s="151">
        <f t="shared" si="14"/>
        <v>-1.8941</v>
      </c>
      <c r="E115" s="151">
        <v>10.5</v>
      </c>
      <c r="F115" s="151">
        <v>6.3548</v>
      </c>
      <c r="G115" s="152">
        <f t="shared" si="15"/>
        <v>-4.1452</v>
      </c>
      <c r="H115" s="153">
        <v>12423.27</v>
      </c>
      <c r="I115" s="156">
        <v>14802.44</v>
      </c>
      <c r="J115" s="155">
        <f t="shared" si="16"/>
        <v>2379.17</v>
      </c>
    </row>
    <row r="116" spans="1:10" ht="12.75">
      <c r="A116" s="150" t="s">
        <v>220</v>
      </c>
      <c r="B116" s="151">
        <v>1</v>
      </c>
      <c r="C116" s="151">
        <v>1</v>
      </c>
      <c r="D116" s="151">
        <f t="shared" si="14"/>
        <v>0</v>
      </c>
      <c r="E116" s="151">
        <v>1</v>
      </c>
      <c r="F116" s="151">
        <v>1</v>
      </c>
      <c r="G116" s="152">
        <f t="shared" si="15"/>
        <v>0</v>
      </c>
      <c r="H116" s="153">
        <v>15306.42</v>
      </c>
      <c r="I116" s="156">
        <v>19036.92</v>
      </c>
      <c r="J116" s="155">
        <f t="shared" si="16"/>
        <v>3730.499999999998</v>
      </c>
    </row>
    <row r="117" spans="1:10" ht="12.75">
      <c r="A117" s="150" t="s">
        <v>221</v>
      </c>
      <c r="B117" s="151">
        <v>6.11</v>
      </c>
      <c r="C117" s="151">
        <v>6.16</v>
      </c>
      <c r="D117" s="151">
        <f t="shared" si="14"/>
        <v>0.04999999999999982</v>
      </c>
      <c r="E117" s="151">
        <v>6.5</v>
      </c>
      <c r="F117" s="151">
        <v>6</v>
      </c>
      <c r="G117" s="152">
        <f t="shared" si="15"/>
        <v>-0.5</v>
      </c>
      <c r="H117" s="153">
        <v>11010.135</v>
      </c>
      <c r="I117" s="156">
        <v>11849.32</v>
      </c>
      <c r="J117" s="155">
        <f t="shared" si="16"/>
        <v>839.1849999999995</v>
      </c>
    </row>
    <row r="118" spans="1:10" ht="13.5" thickBot="1">
      <c r="A118" s="157" t="s">
        <v>168</v>
      </c>
      <c r="B118" s="158">
        <v>35.63</v>
      </c>
      <c r="C118" s="158">
        <v>34.95</v>
      </c>
      <c r="D118" s="158">
        <f t="shared" si="14"/>
        <v>-0.6799999999999997</v>
      </c>
      <c r="E118" s="158">
        <v>36.01</v>
      </c>
      <c r="F118" s="158">
        <v>34.35</v>
      </c>
      <c r="G118" s="159">
        <f t="shared" si="15"/>
        <v>-1.6599999999999966</v>
      </c>
      <c r="H118" s="160">
        <v>15003.16</v>
      </c>
      <c r="I118" s="161">
        <v>17765.21</v>
      </c>
      <c r="J118" s="162">
        <f t="shared" si="16"/>
        <v>2762.0499999999993</v>
      </c>
    </row>
    <row r="119" ht="13.5" thickBot="1"/>
    <row r="120" spans="1:16" ht="12.75">
      <c r="A120" s="829" t="s">
        <v>222</v>
      </c>
      <c r="B120" s="829"/>
      <c r="C120" s="829"/>
      <c r="D120" s="24"/>
      <c r="E120" s="829" t="s">
        <v>223</v>
      </c>
      <c r="F120" s="829"/>
      <c r="G120" s="829"/>
      <c r="H120"/>
      <c r="I120"/>
      <c r="J120"/>
      <c r="K120"/>
      <c r="L120"/>
      <c r="M120"/>
      <c r="N120"/>
      <c r="O120"/>
      <c r="P120"/>
    </row>
    <row r="121" spans="1:16" ht="13.5" thickBot="1">
      <c r="A121" s="130" t="s">
        <v>224</v>
      </c>
      <c r="B121" s="131" t="s">
        <v>225</v>
      </c>
      <c r="C121" s="132" t="s">
        <v>210</v>
      </c>
      <c r="D121" s="24"/>
      <c r="E121" s="130"/>
      <c r="F121" s="832" t="s">
        <v>226</v>
      </c>
      <c r="G121" s="832"/>
      <c r="H121"/>
      <c r="I121"/>
      <c r="J121"/>
      <c r="K121"/>
      <c r="L121"/>
      <c r="M121"/>
      <c r="N121"/>
      <c r="O121"/>
      <c r="P121"/>
    </row>
    <row r="122" spans="1:16" ht="12.75">
      <c r="A122" s="137">
        <v>2007</v>
      </c>
      <c r="B122" s="138">
        <v>35</v>
      </c>
      <c r="C122" s="139">
        <v>35.58</v>
      </c>
      <c r="D122" s="24"/>
      <c r="E122" s="137">
        <v>2007</v>
      </c>
      <c r="F122" s="830">
        <v>60</v>
      </c>
      <c r="G122" s="830"/>
      <c r="H122"/>
      <c r="I122"/>
      <c r="J122"/>
      <c r="K122"/>
      <c r="L122"/>
      <c r="M122"/>
      <c r="N122"/>
      <c r="O122"/>
      <c r="P122"/>
    </row>
    <row r="123" spans="1:16" ht="13.5" thickBot="1">
      <c r="A123" s="144">
        <v>2008</v>
      </c>
      <c r="B123" s="145">
        <v>41</v>
      </c>
      <c r="C123" s="146"/>
      <c r="D123" s="24"/>
      <c r="E123" s="144">
        <v>2008</v>
      </c>
      <c r="F123" s="831">
        <v>60</v>
      </c>
      <c r="G123" s="831"/>
      <c r="H123"/>
      <c r="I123"/>
      <c r="J123"/>
      <c r="K123"/>
      <c r="L123"/>
      <c r="M123"/>
      <c r="N123"/>
      <c r="O123"/>
      <c r="P123"/>
    </row>
  </sheetData>
  <mergeCells count="123">
    <mergeCell ref="C72:D72"/>
    <mergeCell ref="F72:G72"/>
    <mergeCell ref="I72:K72"/>
    <mergeCell ref="F73:G73"/>
    <mergeCell ref="C70:D70"/>
    <mergeCell ref="F70:G70"/>
    <mergeCell ref="I70:K70"/>
    <mergeCell ref="C71:D71"/>
    <mergeCell ref="F71:G71"/>
    <mergeCell ref="I71:K71"/>
    <mergeCell ref="C68:D68"/>
    <mergeCell ref="F68:G68"/>
    <mergeCell ref="I68:K68"/>
    <mergeCell ref="C69:D69"/>
    <mergeCell ref="F69:G69"/>
    <mergeCell ref="I69:K69"/>
    <mergeCell ref="F66:L66"/>
    <mergeCell ref="C67:D67"/>
    <mergeCell ref="F67:G67"/>
    <mergeCell ref="I67:K67"/>
    <mergeCell ref="F123:G123"/>
    <mergeCell ref="A120:C120"/>
    <mergeCell ref="E120:G120"/>
    <mergeCell ref="F121:G121"/>
    <mergeCell ref="F122:G122"/>
    <mergeCell ref="A106:A107"/>
    <mergeCell ref="B106:D106"/>
    <mergeCell ref="E106:G106"/>
    <mergeCell ref="H106:J106"/>
    <mergeCell ref="H84:H85"/>
    <mergeCell ref="I84:L84"/>
    <mergeCell ref="B100:B101"/>
    <mergeCell ref="C100:H100"/>
    <mergeCell ref="J100:L100"/>
    <mergeCell ref="A63:B63"/>
    <mergeCell ref="D63:F63"/>
    <mergeCell ref="H63:K63"/>
    <mergeCell ref="A78:A80"/>
    <mergeCell ref="B78:B80"/>
    <mergeCell ref="C78:I78"/>
    <mergeCell ref="J78:J80"/>
    <mergeCell ref="C79:C80"/>
    <mergeCell ref="D79:I79"/>
    <mergeCell ref="A66:E66"/>
    <mergeCell ref="L42:L43"/>
    <mergeCell ref="A51:B51"/>
    <mergeCell ref="D51:F51"/>
    <mergeCell ref="H51:K51"/>
    <mergeCell ref="C42:C43"/>
    <mergeCell ref="D42:F43"/>
    <mergeCell ref="G42:G43"/>
    <mergeCell ref="H42:K43"/>
    <mergeCell ref="A48:B48"/>
    <mergeCell ref="D48:F48"/>
    <mergeCell ref="A1:N1"/>
    <mergeCell ref="J39:L39"/>
    <mergeCell ref="B40:D40"/>
    <mergeCell ref="E40:G40"/>
    <mergeCell ref="B4:D4"/>
    <mergeCell ref="E4:G4"/>
    <mergeCell ref="J4:L4"/>
    <mergeCell ref="A3:A6"/>
    <mergeCell ref="B3:N3"/>
    <mergeCell ref="H4:I4"/>
    <mergeCell ref="A61:B61"/>
    <mergeCell ref="D61:F61"/>
    <mergeCell ref="H61:K61"/>
    <mergeCell ref="A62:B62"/>
    <mergeCell ref="D62:F62"/>
    <mergeCell ref="H62:K62"/>
    <mergeCell ref="A59:B59"/>
    <mergeCell ref="D59:F59"/>
    <mergeCell ref="H59:K59"/>
    <mergeCell ref="A60:B60"/>
    <mergeCell ref="D60:F60"/>
    <mergeCell ref="H60:K60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H53:K54"/>
    <mergeCell ref="L53:L54"/>
    <mergeCell ref="A50:B50"/>
    <mergeCell ref="D50:F50"/>
    <mergeCell ref="H50:K50"/>
    <mergeCell ref="A53:B54"/>
    <mergeCell ref="C53:C54"/>
    <mergeCell ref="D53:F54"/>
    <mergeCell ref="G53:G54"/>
    <mergeCell ref="H48:K48"/>
    <mergeCell ref="A49:B49"/>
    <mergeCell ref="D49:F49"/>
    <mergeCell ref="H49:K49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M4:N4"/>
    <mergeCell ref="A100:A101"/>
    <mergeCell ref="A84:A85"/>
    <mergeCell ref="B84:B85"/>
    <mergeCell ref="C84:F84"/>
    <mergeCell ref="G84:G85"/>
    <mergeCell ref="A42:B43"/>
    <mergeCell ref="B39:D39"/>
    <mergeCell ref="E39:G39"/>
    <mergeCell ref="L78:M78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27"/>
  <sheetViews>
    <sheetView view="pageBreakPreview" zoomScaleSheetLayoutView="100" workbookViewId="0" topLeftCell="A1">
      <selection activeCell="J92" sqref="J92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875"/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307</v>
      </c>
    </row>
    <row r="3" spans="1:14" ht="24" customHeight="1" thickBot="1">
      <c r="A3" s="876" t="s">
        <v>165</v>
      </c>
      <c r="B3" s="792" t="s">
        <v>414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4" ht="14.25" thickBot="1" thickTop="1">
      <c r="A4" s="876"/>
      <c r="B4" s="790" t="s">
        <v>308</v>
      </c>
      <c r="C4" s="790"/>
      <c r="D4" s="790"/>
      <c r="E4" s="790" t="s">
        <v>417</v>
      </c>
      <c r="F4" s="790"/>
      <c r="G4" s="790"/>
      <c r="H4" s="793" t="s">
        <v>309</v>
      </c>
      <c r="I4" s="793"/>
      <c r="J4" s="790" t="s">
        <v>418</v>
      </c>
      <c r="K4" s="790"/>
      <c r="L4" s="790"/>
      <c r="M4" s="790" t="s">
        <v>419</v>
      </c>
      <c r="N4" s="790"/>
    </row>
    <row r="5" spans="1:14" ht="14.25" thickBot="1" thickTop="1">
      <c r="A5" s="876"/>
      <c r="B5" s="66" t="s">
        <v>166</v>
      </c>
      <c r="C5" s="67" t="s">
        <v>167</v>
      </c>
      <c r="D5" s="68" t="s">
        <v>168</v>
      </c>
      <c r="E5" s="66" t="s">
        <v>166</v>
      </c>
      <c r="F5" s="67" t="s">
        <v>167</v>
      </c>
      <c r="G5" s="68" t="s">
        <v>168</v>
      </c>
      <c r="H5" s="69" t="s">
        <v>168</v>
      </c>
      <c r="I5" s="69" t="s">
        <v>169</v>
      </c>
      <c r="J5" s="70" t="s">
        <v>166</v>
      </c>
      <c r="K5" s="67" t="s">
        <v>167</v>
      </c>
      <c r="L5" s="68" t="s">
        <v>168</v>
      </c>
      <c r="M5" s="69" t="s">
        <v>168</v>
      </c>
      <c r="N5" s="68" t="s">
        <v>169</v>
      </c>
    </row>
    <row r="6" spans="1:14" ht="14.25" thickBot="1" thickTop="1">
      <c r="A6" s="791"/>
      <c r="B6" s="183" t="s">
        <v>170</v>
      </c>
      <c r="C6" s="184" t="s">
        <v>170</v>
      </c>
      <c r="D6" s="185"/>
      <c r="E6" s="183" t="s">
        <v>170</v>
      </c>
      <c r="F6" s="184" t="s">
        <v>170</v>
      </c>
      <c r="G6" s="185"/>
      <c r="H6" s="189" t="s">
        <v>171</v>
      </c>
      <c r="I6" s="189" t="s">
        <v>172</v>
      </c>
      <c r="J6" s="197" t="s">
        <v>170</v>
      </c>
      <c r="K6" s="184" t="s">
        <v>170</v>
      </c>
      <c r="L6" s="185"/>
      <c r="M6" s="189" t="s">
        <v>171</v>
      </c>
      <c r="N6" s="185" t="s">
        <v>172</v>
      </c>
    </row>
    <row r="7" spans="1:14" ht="13.5" customHeight="1">
      <c r="A7" s="274" t="s">
        <v>173</v>
      </c>
      <c r="B7" s="163"/>
      <c r="C7" s="164"/>
      <c r="D7" s="167">
        <f aca="true" t="shared" si="0" ref="D7:D18">SUM(B7:C7)</f>
        <v>0</v>
      </c>
      <c r="E7" s="163">
        <v>4</v>
      </c>
      <c r="F7" s="164"/>
      <c r="G7" s="167">
        <f aca="true" t="shared" si="1" ref="G7:G18">SUM(E7:F7)</f>
        <v>4</v>
      </c>
      <c r="H7" s="191">
        <f aca="true" t="shared" si="2" ref="H7:H38">+G7-D7</f>
        <v>4</v>
      </c>
      <c r="I7" s="195"/>
      <c r="J7" s="163"/>
      <c r="K7" s="164"/>
      <c r="L7" s="167">
        <f aca="true" t="shared" si="3" ref="L7:L18">SUM(J7:K7)</f>
        <v>0</v>
      </c>
      <c r="M7" s="191">
        <f aca="true" t="shared" si="4" ref="M7:M38">+L7-G7</f>
        <v>-4</v>
      </c>
      <c r="N7" s="192"/>
    </row>
    <row r="8" spans="1:14" ht="13.5" customHeight="1">
      <c r="A8" s="275" t="s">
        <v>174</v>
      </c>
      <c r="B8" s="14">
        <v>6595</v>
      </c>
      <c r="C8" s="13"/>
      <c r="D8" s="168">
        <f t="shared" si="0"/>
        <v>6595</v>
      </c>
      <c r="E8" s="14">
        <v>10378</v>
      </c>
      <c r="F8" s="13"/>
      <c r="G8" s="168">
        <f t="shared" si="1"/>
        <v>10378</v>
      </c>
      <c r="H8" s="193">
        <f t="shared" si="2"/>
        <v>3783</v>
      </c>
      <c r="I8" s="196">
        <f aca="true" t="shared" si="5" ref="I8:I22">+G8/D8</f>
        <v>1.5736163760424564</v>
      </c>
      <c r="J8" s="14">
        <v>10976</v>
      </c>
      <c r="K8" s="13"/>
      <c r="L8" s="168">
        <f t="shared" si="3"/>
        <v>10976</v>
      </c>
      <c r="M8" s="193">
        <f t="shared" si="4"/>
        <v>598</v>
      </c>
      <c r="N8" s="194">
        <f aca="true" t="shared" si="6" ref="N8:N22">+L8/G8</f>
        <v>1.0576218924648295</v>
      </c>
    </row>
    <row r="9" spans="1:14" ht="13.5" customHeight="1">
      <c r="A9" s="275" t="s">
        <v>175</v>
      </c>
      <c r="B9" s="14"/>
      <c r="C9" s="13"/>
      <c r="D9" s="168">
        <f t="shared" si="0"/>
        <v>0</v>
      </c>
      <c r="E9" s="14"/>
      <c r="F9" s="13"/>
      <c r="G9" s="168">
        <f t="shared" si="1"/>
        <v>0</v>
      </c>
      <c r="H9" s="193">
        <f t="shared" si="2"/>
        <v>0</v>
      </c>
      <c r="I9" s="196"/>
      <c r="J9" s="14">
        <v>0</v>
      </c>
      <c r="K9" s="13"/>
      <c r="L9" s="168">
        <f t="shared" si="3"/>
        <v>0</v>
      </c>
      <c r="M9" s="193">
        <f t="shared" si="4"/>
        <v>0</v>
      </c>
      <c r="N9" s="194"/>
    </row>
    <row r="10" spans="1:14" ht="13.5" customHeight="1">
      <c r="A10" s="275" t="s">
        <v>176</v>
      </c>
      <c r="B10" s="14">
        <v>11</v>
      </c>
      <c r="C10" s="13"/>
      <c r="D10" s="168">
        <f t="shared" si="0"/>
        <v>11</v>
      </c>
      <c r="E10" s="14">
        <v>14</v>
      </c>
      <c r="F10" s="13"/>
      <c r="G10" s="168">
        <f t="shared" si="1"/>
        <v>14</v>
      </c>
      <c r="H10" s="193">
        <f t="shared" si="2"/>
        <v>3</v>
      </c>
      <c r="I10" s="196">
        <f t="shared" si="5"/>
        <v>1.2727272727272727</v>
      </c>
      <c r="J10" s="14"/>
      <c r="K10" s="13"/>
      <c r="L10" s="168">
        <f t="shared" si="3"/>
        <v>0</v>
      </c>
      <c r="M10" s="193">
        <f t="shared" si="4"/>
        <v>-14</v>
      </c>
      <c r="N10" s="194"/>
    </row>
    <row r="11" spans="1:14" ht="13.5" customHeight="1">
      <c r="A11" s="275" t="s">
        <v>177</v>
      </c>
      <c r="B11" s="14">
        <v>347</v>
      </c>
      <c r="C11" s="13"/>
      <c r="D11" s="168">
        <f t="shared" si="0"/>
        <v>347</v>
      </c>
      <c r="E11" s="14">
        <v>280</v>
      </c>
      <c r="F11" s="13"/>
      <c r="G11" s="168">
        <f t="shared" si="1"/>
        <v>280</v>
      </c>
      <c r="H11" s="193">
        <f t="shared" si="2"/>
        <v>-67</v>
      </c>
      <c r="I11" s="196">
        <f t="shared" si="5"/>
        <v>0.8069164265129684</v>
      </c>
      <c r="J11" s="14">
        <v>257</v>
      </c>
      <c r="K11" s="13"/>
      <c r="L11" s="168">
        <f t="shared" si="3"/>
        <v>257</v>
      </c>
      <c r="M11" s="193">
        <f t="shared" si="4"/>
        <v>-23</v>
      </c>
      <c r="N11" s="194">
        <f t="shared" si="6"/>
        <v>0.9178571428571428</v>
      </c>
    </row>
    <row r="12" spans="1:14" ht="13.5" customHeight="1">
      <c r="A12" s="276" t="s">
        <v>178</v>
      </c>
      <c r="B12" s="14">
        <v>93</v>
      </c>
      <c r="C12" s="13"/>
      <c r="D12" s="168">
        <f t="shared" si="0"/>
        <v>93</v>
      </c>
      <c r="E12" s="14"/>
      <c r="F12" s="13"/>
      <c r="G12" s="168">
        <f t="shared" si="1"/>
        <v>0</v>
      </c>
      <c r="H12" s="193">
        <f t="shared" si="2"/>
        <v>-93</v>
      </c>
      <c r="I12" s="196">
        <f t="shared" si="5"/>
        <v>0</v>
      </c>
      <c r="J12" s="14"/>
      <c r="K12" s="13"/>
      <c r="L12" s="168">
        <f t="shared" si="3"/>
        <v>0</v>
      </c>
      <c r="M12" s="193">
        <f t="shared" si="4"/>
        <v>0</v>
      </c>
      <c r="N12" s="194"/>
    </row>
    <row r="13" spans="1:14" ht="13.5" customHeight="1">
      <c r="A13" s="276" t="s">
        <v>179</v>
      </c>
      <c r="B13" s="14"/>
      <c r="C13" s="13"/>
      <c r="D13" s="168">
        <f t="shared" si="0"/>
        <v>0</v>
      </c>
      <c r="E13" s="14"/>
      <c r="F13" s="13"/>
      <c r="G13" s="168">
        <f t="shared" si="1"/>
        <v>0</v>
      </c>
      <c r="H13" s="193">
        <f t="shared" si="2"/>
        <v>0</v>
      </c>
      <c r="I13" s="196"/>
      <c r="J13" s="14"/>
      <c r="K13" s="13"/>
      <c r="L13" s="168">
        <f t="shared" si="3"/>
        <v>0</v>
      </c>
      <c r="M13" s="193">
        <f t="shared" si="4"/>
        <v>0</v>
      </c>
      <c r="N13" s="194"/>
    </row>
    <row r="14" spans="1:14" ht="23.25" customHeight="1">
      <c r="A14" s="276" t="s">
        <v>180</v>
      </c>
      <c r="B14" s="14"/>
      <c r="C14" s="13"/>
      <c r="D14" s="168">
        <f t="shared" si="0"/>
        <v>0</v>
      </c>
      <c r="E14" s="14"/>
      <c r="F14" s="13"/>
      <c r="G14" s="168">
        <f t="shared" si="1"/>
        <v>0</v>
      </c>
      <c r="H14" s="193">
        <f t="shared" si="2"/>
        <v>0</v>
      </c>
      <c r="I14" s="196"/>
      <c r="J14" s="14"/>
      <c r="K14" s="13"/>
      <c r="L14" s="168">
        <f t="shared" si="3"/>
        <v>0</v>
      </c>
      <c r="M14" s="193">
        <f t="shared" si="4"/>
        <v>0</v>
      </c>
      <c r="N14" s="194"/>
    </row>
    <row r="15" spans="1:14" ht="13.5" customHeight="1">
      <c r="A15" s="275" t="s">
        <v>181</v>
      </c>
      <c r="B15" s="14">
        <v>12002</v>
      </c>
      <c r="C15" s="13"/>
      <c r="D15" s="168">
        <f t="shared" si="0"/>
        <v>12002</v>
      </c>
      <c r="E15" s="14">
        <v>9107</v>
      </c>
      <c r="F15" s="13"/>
      <c r="G15" s="168">
        <f t="shared" si="1"/>
        <v>9107</v>
      </c>
      <c r="H15" s="193">
        <f t="shared" si="2"/>
        <v>-2895</v>
      </c>
      <c r="I15" s="196">
        <f t="shared" si="5"/>
        <v>0.7587902016330611</v>
      </c>
      <c r="J15" s="15">
        <v>7771</v>
      </c>
      <c r="K15" s="279"/>
      <c r="L15" s="168">
        <f t="shared" si="3"/>
        <v>7771</v>
      </c>
      <c r="M15" s="193">
        <f t="shared" si="4"/>
        <v>-1336</v>
      </c>
      <c r="N15" s="194">
        <f t="shared" si="6"/>
        <v>0.8532996596025035</v>
      </c>
    </row>
    <row r="16" spans="1:14" ht="13.5" customHeight="1">
      <c r="A16" s="277" t="s">
        <v>310</v>
      </c>
      <c r="B16" s="14">
        <v>12002</v>
      </c>
      <c r="C16" s="13"/>
      <c r="D16" s="168">
        <f t="shared" si="0"/>
        <v>12002</v>
      </c>
      <c r="E16" s="14">
        <v>1086</v>
      </c>
      <c r="F16" s="13"/>
      <c r="G16" s="168">
        <f t="shared" si="1"/>
        <v>1086</v>
      </c>
      <c r="H16" s="193">
        <f t="shared" si="2"/>
        <v>-10916</v>
      </c>
      <c r="I16" s="196">
        <f t="shared" si="5"/>
        <v>0.09048491918013664</v>
      </c>
      <c r="J16" s="15">
        <v>433</v>
      </c>
      <c r="K16" s="13"/>
      <c r="L16" s="168">
        <f t="shared" si="3"/>
        <v>433</v>
      </c>
      <c r="M16" s="193">
        <f t="shared" si="4"/>
        <v>-653</v>
      </c>
      <c r="N16" s="194">
        <f t="shared" si="6"/>
        <v>0.39871086556169427</v>
      </c>
    </row>
    <row r="17" spans="1:14" ht="13.5" customHeight="1">
      <c r="A17" s="277" t="s">
        <v>311</v>
      </c>
      <c r="B17" s="14"/>
      <c r="C17" s="13"/>
      <c r="D17" s="168">
        <f t="shared" si="0"/>
        <v>0</v>
      </c>
      <c r="E17" s="14">
        <v>8021</v>
      </c>
      <c r="F17" s="13"/>
      <c r="G17" s="168">
        <f t="shared" si="1"/>
        <v>8021</v>
      </c>
      <c r="H17" s="193">
        <f t="shared" si="2"/>
        <v>8021</v>
      </c>
      <c r="I17" s="196"/>
      <c r="J17" s="15">
        <v>7338.2</v>
      </c>
      <c r="K17" s="13"/>
      <c r="L17" s="168">
        <f t="shared" si="3"/>
        <v>7338.2</v>
      </c>
      <c r="M17" s="193">
        <f t="shared" si="4"/>
        <v>-682.8000000000002</v>
      </c>
      <c r="N17" s="194">
        <f t="shared" si="6"/>
        <v>0.9148734571749159</v>
      </c>
    </row>
    <row r="18" spans="1:14" ht="13.5" customHeight="1" thickBot="1">
      <c r="A18" s="278" t="s">
        <v>416</v>
      </c>
      <c r="B18" s="165"/>
      <c r="C18" s="166"/>
      <c r="D18" s="168">
        <f t="shared" si="0"/>
        <v>0</v>
      </c>
      <c r="E18" s="165"/>
      <c r="F18" s="166"/>
      <c r="G18" s="168">
        <f t="shared" si="1"/>
        <v>0</v>
      </c>
      <c r="H18" s="271"/>
      <c r="I18" s="273"/>
      <c r="J18" s="169">
        <v>0</v>
      </c>
      <c r="K18" s="166"/>
      <c r="L18" s="168">
        <f t="shared" si="3"/>
        <v>0</v>
      </c>
      <c r="M18" s="271"/>
      <c r="N18" s="272"/>
    </row>
    <row r="19" spans="1:14" ht="13.5" customHeight="1" thickBot="1">
      <c r="A19" s="182" t="s">
        <v>182</v>
      </c>
      <c r="B19" s="186">
        <f aca="true" t="shared" si="7" ref="B19:G19">SUM(B7+B8+B9+B10+B11+B13+B15)</f>
        <v>18955</v>
      </c>
      <c r="C19" s="187">
        <f t="shared" si="7"/>
        <v>0</v>
      </c>
      <c r="D19" s="188">
        <f t="shared" si="7"/>
        <v>18955</v>
      </c>
      <c r="E19" s="186">
        <f t="shared" si="7"/>
        <v>19783</v>
      </c>
      <c r="F19" s="187">
        <f t="shared" si="7"/>
        <v>0</v>
      </c>
      <c r="G19" s="188">
        <f t="shared" si="7"/>
        <v>19783</v>
      </c>
      <c r="H19" s="190">
        <f t="shared" si="2"/>
        <v>828</v>
      </c>
      <c r="I19" s="108">
        <f t="shared" si="5"/>
        <v>1.043682405697705</v>
      </c>
      <c r="J19" s="198">
        <f>SUM(J7+J8+J9+J10+J11+J13+J15)</f>
        <v>19004</v>
      </c>
      <c r="K19" s="187">
        <f>SUM(K7+K8+K9+K10+K11+K13+K15)</f>
        <v>0</v>
      </c>
      <c r="L19" s="188">
        <f>SUM(L7+L8+L9+L10+L11+L13+L15)</f>
        <v>19004</v>
      </c>
      <c r="M19" s="190">
        <f t="shared" si="4"/>
        <v>-779</v>
      </c>
      <c r="N19" s="199">
        <f t="shared" si="6"/>
        <v>0.9606227569125007</v>
      </c>
    </row>
    <row r="20" spans="1:14" ht="13.5" customHeight="1">
      <c r="A20" s="96" t="s">
        <v>183</v>
      </c>
      <c r="B20" s="71">
        <v>1505</v>
      </c>
      <c r="C20" s="72"/>
      <c r="D20" s="73">
        <f aca="true" t="shared" si="8" ref="D20:D37">SUM(B20:C20)</f>
        <v>1505</v>
      </c>
      <c r="E20" s="71">
        <v>2478</v>
      </c>
      <c r="F20" s="72"/>
      <c r="G20" s="97">
        <f aca="true" t="shared" si="9" ref="G20:G37">SUM(E20:F20)</f>
        <v>2478</v>
      </c>
      <c r="H20" s="98">
        <f t="shared" si="2"/>
        <v>973</v>
      </c>
      <c r="I20" s="99">
        <f t="shared" si="5"/>
        <v>1.6465116279069767</v>
      </c>
      <c r="J20" s="76">
        <f>1500-150</f>
        <v>1350</v>
      </c>
      <c r="K20" s="72"/>
      <c r="L20" s="100">
        <f aca="true" t="shared" si="10" ref="L20:L37">SUM(J20:K20)</f>
        <v>1350</v>
      </c>
      <c r="M20" s="98">
        <f t="shared" si="4"/>
        <v>-1128</v>
      </c>
      <c r="N20" s="101">
        <f t="shared" si="6"/>
        <v>0.5447941888619855</v>
      </c>
    </row>
    <row r="21" spans="1:14" ht="21" customHeight="1">
      <c r="A21" s="82" t="s">
        <v>184</v>
      </c>
      <c r="B21" s="71">
        <v>864</v>
      </c>
      <c r="C21" s="72"/>
      <c r="D21" s="73">
        <f t="shared" si="8"/>
        <v>864</v>
      </c>
      <c r="E21" s="71">
        <v>1830</v>
      </c>
      <c r="F21" s="72"/>
      <c r="G21" s="97">
        <f t="shared" si="9"/>
        <v>1830</v>
      </c>
      <c r="H21" s="74">
        <f t="shared" si="2"/>
        <v>966</v>
      </c>
      <c r="I21" s="75">
        <f t="shared" si="5"/>
        <v>2.1180555555555554</v>
      </c>
      <c r="J21" s="76">
        <v>600</v>
      </c>
      <c r="K21" s="72"/>
      <c r="L21" s="100">
        <f t="shared" si="10"/>
        <v>600</v>
      </c>
      <c r="M21" s="74">
        <f t="shared" si="4"/>
        <v>-1230</v>
      </c>
      <c r="N21" s="77">
        <f t="shared" si="6"/>
        <v>0.32786885245901637</v>
      </c>
    </row>
    <row r="22" spans="1:14" ht="13.5" customHeight="1">
      <c r="A22" s="78" t="s">
        <v>185</v>
      </c>
      <c r="B22" s="79">
        <v>1413</v>
      </c>
      <c r="C22" s="80"/>
      <c r="D22" s="73">
        <f t="shared" si="8"/>
        <v>1413</v>
      </c>
      <c r="E22" s="79">
        <v>1361</v>
      </c>
      <c r="F22" s="80"/>
      <c r="G22" s="97">
        <f t="shared" si="9"/>
        <v>1361</v>
      </c>
      <c r="H22" s="74">
        <f t="shared" si="2"/>
        <v>-52</v>
      </c>
      <c r="I22" s="75">
        <f t="shared" si="5"/>
        <v>0.9631988676574664</v>
      </c>
      <c r="J22" s="81">
        <v>1500</v>
      </c>
      <c r="K22" s="80"/>
      <c r="L22" s="100">
        <f t="shared" si="10"/>
        <v>1500</v>
      </c>
      <c r="M22" s="74">
        <f t="shared" si="4"/>
        <v>139</v>
      </c>
      <c r="N22" s="77">
        <f t="shared" si="6"/>
        <v>1.1021307861866274</v>
      </c>
    </row>
    <row r="23" spans="1:14" ht="13.5" customHeight="1">
      <c r="A23" s="82" t="s">
        <v>186</v>
      </c>
      <c r="B23" s="79"/>
      <c r="C23" s="80"/>
      <c r="D23" s="73">
        <f t="shared" si="8"/>
        <v>0</v>
      </c>
      <c r="E23" s="79">
        <v>0</v>
      </c>
      <c r="F23" s="80"/>
      <c r="G23" s="97">
        <f t="shared" si="9"/>
        <v>0</v>
      </c>
      <c r="H23" s="74">
        <f t="shared" si="2"/>
        <v>0</v>
      </c>
      <c r="I23" s="75"/>
      <c r="J23" s="81"/>
      <c r="K23" s="80"/>
      <c r="L23" s="100">
        <f t="shared" si="10"/>
        <v>0</v>
      </c>
      <c r="M23" s="74">
        <f t="shared" si="4"/>
        <v>0</v>
      </c>
      <c r="N23" s="77"/>
    </row>
    <row r="24" spans="1:14" ht="13.5" customHeight="1">
      <c r="A24" s="78" t="s">
        <v>298</v>
      </c>
      <c r="B24" s="79">
        <v>23</v>
      </c>
      <c r="C24" s="80"/>
      <c r="D24" s="73">
        <f t="shared" si="8"/>
        <v>23</v>
      </c>
      <c r="E24" s="79">
        <v>70</v>
      </c>
      <c r="F24" s="80"/>
      <c r="G24" s="97">
        <f t="shared" si="9"/>
        <v>70</v>
      </c>
      <c r="H24" s="74">
        <f t="shared" si="2"/>
        <v>47</v>
      </c>
      <c r="I24" s="75">
        <f aca="true" t="shared" si="11" ref="I24:I38">+G24/D24</f>
        <v>3.0434782608695654</v>
      </c>
      <c r="J24" s="81">
        <v>50</v>
      </c>
      <c r="K24" s="80"/>
      <c r="L24" s="100">
        <f t="shared" si="10"/>
        <v>50</v>
      </c>
      <c r="M24" s="74">
        <f t="shared" si="4"/>
        <v>-20</v>
      </c>
      <c r="N24" s="77">
        <f aca="true" t="shared" si="12" ref="N24:N38">+L24/G24</f>
        <v>0.7142857142857143</v>
      </c>
    </row>
    <row r="25" spans="1:14" ht="13.5" customHeight="1">
      <c r="A25" s="78" t="s">
        <v>187</v>
      </c>
      <c r="B25" s="81">
        <v>2095</v>
      </c>
      <c r="C25" s="80"/>
      <c r="D25" s="73">
        <f t="shared" si="8"/>
        <v>2095</v>
      </c>
      <c r="E25" s="81">
        <v>5232</v>
      </c>
      <c r="F25" s="80"/>
      <c r="G25" s="97">
        <f t="shared" si="9"/>
        <v>5232</v>
      </c>
      <c r="H25" s="74">
        <f t="shared" si="2"/>
        <v>3137</v>
      </c>
      <c r="I25" s="75">
        <f t="shared" si="11"/>
        <v>2.4973747016706445</v>
      </c>
      <c r="J25" s="81">
        <f>J26+J27</f>
        <v>5780</v>
      </c>
      <c r="K25" s="80"/>
      <c r="L25" s="100">
        <f t="shared" si="10"/>
        <v>5780</v>
      </c>
      <c r="M25" s="74">
        <f t="shared" si="4"/>
        <v>548</v>
      </c>
      <c r="N25" s="77">
        <f t="shared" si="12"/>
        <v>1.1047400611620795</v>
      </c>
    </row>
    <row r="26" spans="1:14" ht="13.5" customHeight="1">
      <c r="A26" s="82" t="s">
        <v>188</v>
      </c>
      <c r="B26" s="79">
        <v>1459</v>
      </c>
      <c r="C26" s="80"/>
      <c r="D26" s="73">
        <f t="shared" si="8"/>
        <v>1459</v>
      </c>
      <c r="E26" s="79">
        <v>584</v>
      </c>
      <c r="F26" s="80"/>
      <c r="G26" s="97">
        <f t="shared" si="9"/>
        <v>584</v>
      </c>
      <c r="H26" s="74">
        <f t="shared" si="2"/>
        <v>-875</v>
      </c>
      <c r="I26" s="75">
        <f t="shared" si="11"/>
        <v>0.4002741603838245</v>
      </c>
      <c r="J26" s="102">
        <v>700</v>
      </c>
      <c r="K26" s="80"/>
      <c r="L26" s="100">
        <f t="shared" si="10"/>
        <v>700</v>
      </c>
      <c r="M26" s="74">
        <f t="shared" si="4"/>
        <v>116</v>
      </c>
      <c r="N26" s="77">
        <f t="shared" si="12"/>
        <v>1.1986301369863013</v>
      </c>
    </row>
    <row r="27" spans="1:14" ht="13.5" customHeight="1">
      <c r="A27" s="78" t="s">
        <v>189</v>
      </c>
      <c r="B27" s="79">
        <v>636</v>
      </c>
      <c r="C27" s="80"/>
      <c r="D27" s="73">
        <f t="shared" si="8"/>
        <v>636</v>
      </c>
      <c r="E27" s="79">
        <v>4648</v>
      </c>
      <c r="F27" s="80"/>
      <c r="G27" s="97">
        <f t="shared" si="9"/>
        <v>4648</v>
      </c>
      <c r="H27" s="74">
        <f t="shared" si="2"/>
        <v>4012</v>
      </c>
      <c r="I27" s="75">
        <f t="shared" si="11"/>
        <v>7.3081761006289305</v>
      </c>
      <c r="J27" s="102">
        <v>5080</v>
      </c>
      <c r="K27" s="80"/>
      <c r="L27" s="100">
        <f t="shared" si="10"/>
        <v>5080</v>
      </c>
      <c r="M27" s="74">
        <f t="shared" si="4"/>
        <v>432</v>
      </c>
      <c r="N27" s="77">
        <f t="shared" si="12"/>
        <v>1.0929432013769362</v>
      </c>
    </row>
    <row r="28" spans="1:14" ht="13.5" customHeight="1">
      <c r="A28" s="103" t="s">
        <v>190</v>
      </c>
      <c r="B28" s="81">
        <v>13008</v>
      </c>
      <c r="C28" s="80"/>
      <c r="D28" s="73">
        <f t="shared" si="8"/>
        <v>13008</v>
      </c>
      <c r="E28" s="81">
        <v>9560</v>
      </c>
      <c r="F28" s="80"/>
      <c r="G28" s="97">
        <f t="shared" si="9"/>
        <v>9560</v>
      </c>
      <c r="H28" s="74">
        <f t="shared" si="2"/>
        <v>-3448</v>
      </c>
      <c r="I28" s="75">
        <f t="shared" si="11"/>
        <v>0.7349323493234933</v>
      </c>
      <c r="J28" s="81">
        <f>J29+J32</f>
        <v>11296</v>
      </c>
      <c r="K28" s="80"/>
      <c r="L28" s="100">
        <f t="shared" si="10"/>
        <v>11296</v>
      </c>
      <c r="M28" s="74">
        <f t="shared" si="4"/>
        <v>1736</v>
      </c>
      <c r="N28" s="77">
        <f t="shared" si="12"/>
        <v>1.181589958158996</v>
      </c>
    </row>
    <row r="29" spans="1:14" ht="13.5" customHeight="1">
      <c r="A29" s="82" t="s">
        <v>191</v>
      </c>
      <c r="B29" s="79">
        <v>6866</v>
      </c>
      <c r="C29" s="80"/>
      <c r="D29" s="73">
        <f t="shared" si="8"/>
        <v>6866</v>
      </c>
      <c r="E29" s="79">
        <v>6943</v>
      </c>
      <c r="F29" s="80"/>
      <c r="G29" s="97">
        <f t="shared" si="9"/>
        <v>6943</v>
      </c>
      <c r="H29" s="74">
        <f t="shared" si="2"/>
        <v>77</v>
      </c>
      <c r="I29" s="75">
        <f t="shared" si="11"/>
        <v>1.011214681036994</v>
      </c>
      <c r="J29" s="102">
        <f>J30+J31</f>
        <v>8263</v>
      </c>
      <c r="K29" s="104"/>
      <c r="L29" s="100">
        <f t="shared" si="10"/>
        <v>8263</v>
      </c>
      <c r="M29" s="74">
        <f t="shared" si="4"/>
        <v>1320</v>
      </c>
      <c r="N29" s="77">
        <f t="shared" si="12"/>
        <v>1.190119544865332</v>
      </c>
    </row>
    <row r="30" spans="1:14" ht="13.5" customHeight="1">
      <c r="A30" s="103" t="s">
        <v>192</v>
      </c>
      <c r="B30" s="79">
        <v>6866</v>
      </c>
      <c r="C30" s="80"/>
      <c r="D30" s="73">
        <f t="shared" si="8"/>
        <v>6866</v>
      </c>
      <c r="E30" s="79">
        <v>6880</v>
      </c>
      <c r="F30" s="80"/>
      <c r="G30" s="97">
        <f t="shared" si="9"/>
        <v>6880</v>
      </c>
      <c r="H30" s="74">
        <f t="shared" si="2"/>
        <v>14</v>
      </c>
      <c r="I30" s="75">
        <f t="shared" si="11"/>
        <v>1.002039032915817</v>
      </c>
      <c r="J30" s="81">
        <f>8763-600</f>
        <v>8163</v>
      </c>
      <c r="K30" s="80"/>
      <c r="L30" s="100">
        <f t="shared" si="10"/>
        <v>8163</v>
      </c>
      <c r="M30" s="74">
        <f t="shared" si="4"/>
        <v>1283</v>
      </c>
      <c r="N30" s="77">
        <f t="shared" si="12"/>
        <v>1.1864825581395348</v>
      </c>
    </row>
    <row r="31" spans="1:14" ht="13.5" customHeight="1">
      <c r="A31" s="82" t="s">
        <v>193</v>
      </c>
      <c r="B31" s="79">
        <v>0</v>
      </c>
      <c r="C31" s="80"/>
      <c r="D31" s="73">
        <f t="shared" si="8"/>
        <v>0</v>
      </c>
      <c r="E31" s="79">
        <v>63</v>
      </c>
      <c r="F31" s="80"/>
      <c r="G31" s="97">
        <f t="shared" si="9"/>
        <v>63</v>
      </c>
      <c r="H31" s="74">
        <f t="shared" si="2"/>
        <v>63</v>
      </c>
      <c r="I31" s="75"/>
      <c r="J31" s="81">
        <v>100</v>
      </c>
      <c r="K31" s="80"/>
      <c r="L31" s="100">
        <f t="shared" si="10"/>
        <v>100</v>
      </c>
      <c r="M31" s="74">
        <f t="shared" si="4"/>
        <v>37</v>
      </c>
      <c r="N31" s="77">
        <f t="shared" si="12"/>
        <v>1.5873015873015872</v>
      </c>
    </row>
    <row r="32" spans="1:14" ht="13.5" customHeight="1">
      <c r="A32" s="82" t="s">
        <v>194</v>
      </c>
      <c r="B32" s="79">
        <v>6142</v>
      </c>
      <c r="C32" s="80"/>
      <c r="D32" s="73">
        <f t="shared" si="8"/>
        <v>6142</v>
      </c>
      <c r="E32" s="79">
        <v>2617</v>
      </c>
      <c r="F32" s="80"/>
      <c r="G32" s="97">
        <f t="shared" si="9"/>
        <v>2617</v>
      </c>
      <c r="H32" s="74">
        <f t="shared" si="2"/>
        <v>-3525</v>
      </c>
      <c r="I32" s="75">
        <f t="shared" si="11"/>
        <v>0.42608270921523933</v>
      </c>
      <c r="J32" s="81">
        <f>3243-210</f>
        <v>3033</v>
      </c>
      <c r="K32" s="80"/>
      <c r="L32" s="100">
        <f t="shared" si="10"/>
        <v>3033</v>
      </c>
      <c r="M32" s="74">
        <f t="shared" si="4"/>
        <v>416</v>
      </c>
      <c r="N32" s="77">
        <f t="shared" si="12"/>
        <v>1.1589606419564387</v>
      </c>
    </row>
    <row r="33" spans="1:14" ht="13.5" customHeight="1">
      <c r="A33" s="103" t="s">
        <v>195</v>
      </c>
      <c r="B33" s="79">
        <v>1</v>
      </c>
      <c r="C33" s="80"/>
      <c r="D33" s="73">
        <f t="shared" si="8"/>
        <v>1</v>
      </c>
      <c r="E33" s="79">
        <v>1</v>
      </c>
      <c r="F33" s="80"/>
      <c r="G33" s="97">
        <f t="shared" si="9"/>
        <v>1</v>
      </c>
      <c r="H33" s="74">
        <f t="shared" si="2"/>
        <v>0</v>
      </c>
      <c r="I33" s="75">
        <f t="shared" si="11"/>
        <v>1</v>
      </c>
      <c r="J33" s="81">
        <v>2</v>
      </c>
      <c r="K33" s="80"/>
      <c r="L33" s="100">
        <f t="shared" si="10"/>
        <v>2</v>
      </c>
      <c r="M33" s="74">
        <f t="shared" si="4"/>
        <v>1</v>
      </c>
      <c r="N33" s="77">
        <f t="shared" si="12"/>
        <v>2</v>
      </c>
    </row>
    <row r="34" spans="1:14" ht="13.5" customHeight="1">
      <c r="A34" s="103" t="s">
        <v>196</v>
      </c>
      <c r="B34" s="79">
        <v>203</v>
      </c>
      <c r="C34" s="80"/>
      <c r="D34" s="73">
        <f t="shared" si="8"/>
        <v>203</v>
      </c>
      <c r="E34" s="79">
        <v>149</v>
      </c>
      <c r="F34" s="80"/>
      <c r="G34" s="97">
        <f t="shared" si="9"/>
        <v>149</v>
      </c>
      <c r="H34" s="74">
        <f t="shared" si="2"/>
        <v>-54</v>
      </c>
      <c r="I34" s="75">
        <f t="shared" si="11"/>
        <v>0.7339901477832512</v>
      </c>
      <c r="J34" s="81">
        <v>150</v>
      </c>
      <c r="K34" s="80"/>
      <c r="L34" s="100">
        <f t="shared" si="10"/>
        <v>150</v>
      </c>
      <c r="M34" s="74">
        <f t="shared" si="4"/>
        <v>1</v>
      </c>
      <c r="N34" s="77">
        <f t="shared" si="12"/>
        <v>1.0067114093959733</v>
      </c>
    </row>
    <row r="35" spans="1:14" ht="13.5" customHeight="1">
      <c r="A35" s="82" t="s">
        <v>197</v>
      </c>
      <c r="B35" s="79">
        <v>645</v>
      </c>
      <c r="C35" s="80"/>
      <c r="D35" s="73">
        <f t="shared" si="8"/>
        <v>645</v>
      </c>
      <c r="E35" s="79">
        <v>669</v>
      </c>
      <c r="F35" s="80"/>
      <c r="G35" s="97">
        <f t="shared" si="9"/>
        <v>669</v>
      </c>
      <c r="H35" s="74">
        <f t="shared" si="2"/>
        <v>24</v>
      </c>
      <c r="I35" s="75">
        <f t="shared" si="11"/>
        <v>1.0372093023255815</v>
      </c>
      <c r="J35" s="102">
        <v>793</v>
      </c>
      <c r="K35" s="80"/>
      <c r="L35" s="100">
        <f t="shared" si="10"/>
        <v>793</v>
      </c>
      <c r="M35" s="74">
        <f t="shared" si="4"/>
        <v>124</v>
      </c>
      <c r="N35" s="77">
        <f t="shared" si="12"/>
        <v>1.1853512705530642</v>
      </c>
    </row>
    <row r="36" spans="1:14" ht="22.5" customHeight="1">
      <c r="A36" s="82" t="s">
        <v>198</v>
      </c>
      <c r="B36" s="79">
        <v>645</v>
      </c>
      <c r="C36" s="80"/>
      <c r="D36" s="73">
        <f t="shared" si="8"/>
        <v>645</v>
      </c>
      <c r="E36" s="79">
        <v>669</v>
      </c>
      <c r="F36" s="80"/>
      <c r="G36" s="97">
        <f t="shared" si="9"/>
        <v>669</v>
      </c>
      <c r="H36" s="74">
        <f t="shared" si="2"/>
        <v>24</v>
      </c>
      <c r="I36" s="75">
        <f t="shared" si="11"/>
        <v>1.0372093023255815</v>
      </c>
      <c r="J36" s="102">
        <v>793</v>
      </c>
      <c r="K36" s="80"/>
      <c r="L36" s="100">
        <f t="shared" si="10"/>
        <v>793</v>
      </c>
      <c r="M36" s="74">
        <f t="shared" si="4"/>
        <v>124</v>
      </c>
      <c r="N36" s="77">
        <f t="shared" si="12"/>
        <v>1.1853512705530642</v>
      </c>
    </row>
    <row r="37" spans="1:14" ht="13.5" customHeight="1" thickBot="1">
      <c r="A37" s="105" t="s">
        <v>199</v>
      </c>
      <c r="B37" s="83">
        <v>0</v>
      </c>
      <c r="C37" s="84"/>
      <c r="D37" s="73">
        <f t="shared" si="8"/>
        <v>0</v>
      </c>
      <c r="E37" s="83"/>
      <c r="F37" s="84"/>
      <c r="G37" s="97">
        <f t="shared" si="9"/>
        <v>0</v>
      </c>
      <c r="H37" s="85">
        <f t="shared" si="2"/>
        <v>0</v>
      </c>
      <c r="I37" s="86"/>
      <c r="J37" s="106"/>
      <c r="K37" s="84"/>
      <c r="L37" s="100">
        <f t="shared" si="10"/>
        <v>0</v>
      </c>
      <c r="M37" s="85">
        <f t="shared" si="4"/>
        <v>0</v>
      </c>
      <c r="N37" s="87"/>
    </row>
    <row r="38" spans="1:14" ht="13.5" customHeight="1" thickBot="1">
      <c r="A38" s="88" t="s">
        <v>200</v>
      </c>
      <c r="B38" s="89">
        <v>18893</v>
      </c>
      <c r="C38" s="90">
        <f>SUM(C20+C22+C23+C24+C25+C28+C33+C34+C35+C37)</f>
        <v>0</v>
      </c>
      <c r="D38" s="91">
        <f>SUM(D20+D22+D23+D24+D25+D28+D33+D34+D35+D37)</f>
        <v>18893</v>
      </c>
      <c r="E38" s="89">
        <f>SUM(E20+E22+E23+E24+E25+E28+E33+E34+E35+E37)</f>
        <v>19520</v>
      </c>
      <c r="F38" s="90">
        <f>SUM(F20+F22+F23+F24+F25+F28+F33+F34+F35+F37)</f>
        <v>0</v>
      </c>
      <c r="G38" s="91">
        <f>SUM(G20+G22+G23+G24+G25+G28+G33+G34+G35+G37)</f>
        <v>19520</v>
      </c>
      <c r="H38" s="92">
        <f t="shared" si="2"/>
        <v>627</v>
      </c>
      <c r="I38" s="93">
        <f t="shared" si="11"/>
        <v>1.033186894617054</v>
      </c>
      <c r="J38" s="94">
        <v>22481</v>
      </c>
      <c r="K38" s="90">
        <f>SUM(K20+K22+K23+K24+K25+K28+K33+K34+K35+K37)</f>
        <v>0</v>
      </c>
      <c r="L38" s="91">
        <f>SUM(L20+L22+L23+L24+L25+L28+L33+L34+L35+L37)</f>
        <v>20921</v>
      </c>
      <c r="M38" s="92">
        <f t="shared" si="4"/>
        <v>1401</v>
      </c>
      <c r="N38" s="95">
        <f t="shared" si="12"/>
        <v>1.0717725409836065</v>
      </c>
    </row>
    <row r="39" spans="1:14" ht="13.5" customHeight="1" thickBot="1">
      <c r="A39" s="88" t="s">
        <v>201</v>
      </c>
      <c r="B39" s="787">
        <f>+D19-D38</f>
        <v>62</v>
      </c>
      <c r="C39" s="787"/>
      <c r="D39" s="787"/>
      <c r="E39" s="787">
        <f>+G19-G38</f>
        <v>263</v>
      </c>
      <c r="F39" s="787"/>
      <c r="G39" s="787">
        <v>-50784</v>
      </c>
      <c r="H39" s="107"/>
      <c r="I39" s="108"/>
      <c r="J39" s="789">
        <f>+L19-L38</f>
        <v>-1917</v>
      </c>
      <c r="K39" s="789"/>
      <c r="L39" s="789">
        <v>0</v>
      </c>
      <c r="M39" s="92"/>
      <c r="N39" s="95"/>
    </row>
    <row r="40" spans="1:16" ht="20.25" customHeight="1" thickBot="1">
      <c r="A40" s="109" t="s">
        <v>202</v>
      </c>
      <c r="B40" s="787"/>
      <c r="C40" s="787"/>
      <c r="D40" s="787"/>
      <c r="E40" s="787"/>
      <c r="F40" s="787"/>
      <c r="G40" s="787"/>
      <c r="H40"/>
      <c r="I40"/>
      <c r="J40"/>
      <c r="K40"/>
      <c r="L40"/>
      <c r="M40"/>
      <c r="N40"/>
      <c r="O40"/>
      <c r="P40"/>
    </row>
    <row r="41" spans="2:8" ht="14.25" customHeight="1" thickBot="1">
      <c r="B41" s="7"/>
      <c r="C41" s="7"/>
      <c r="D41" s="16"/>
      <c r="E41" s="7"/>
      <c r="F41" s="7"/>
      <c r="G41" s="7"/>
      <c r="H41" s="7"/>
    </row>
    <row r="42" spans="1:16" ht="13.5" thickBot="1">
      <c r="A42" s="805" t="s">
        <v>312</v>
      </c>
      <c r="B42" s="805"/>
      <c r="C42" s="799" t="s">
        <v>203</v>
      </c>
      <c r="D42" s="805" t="s">
        <v>420</v>
      </c>
      <c r="E42" s="805"/>
      <c r="F42" s="805"/>
      <c r="G42" s="799" t="s">
        <v>203</v>
      </c>
      <c r="H42" s="785" t="s">
        <v>421</v>
      </c>
      <c r="I42" s="785"/>
      <c r="J42" s="785"/>
      <c r="K42" s="785"/>
      <c r="L42" s="799" t="s">
        <v>203</v>
      </c>
      <c r="O42"/>
      <c r="P42"/>
    </row>
    <row r="43" spans="1:16" ht="13.5" thickBot="1">
      <c r="A43" s="805"/>
      <c r="B43" s="805"/>
      <c r="C43" s="799"/>
      <c r="D43" s="805"/>
      <c r="E43" s="805"/>
      <c r="F43" s="805"/>
      <c r="G43" s="799"/>
      <c r="H43" s="785"/>
      <c r="I43" s="785"/>
      <c r="J43" s="785"/>
      <c r="K43" s="785"/>
      <c r="L43" s="799"/>
      <c r="O43"/>
      <c r="P43"/>
    </row>
    <row r="44" spans="1:16" ht="12.75">
      <c r="A44" s="794" t="s">
        <v>313</v>
      </c>
      <c r="B44" s="794"/>
      <c r="C44" s="110">
        <v>468</v>
      </c>
      <c r="D44" s="795" t="s">
        <v>314</v>
      </c>
      <c r="E44" s="795"/>
      <c r="F44" s="795"/>
      <c r="G44" s="111">
        <v>474</v>
      </c>
      <c r="H44" s="802"/>
      <c r="I44" s="802"/>
      <c r="J44" s="802"/>
      <c r="K44" s="802"/>
      <c r="L44" s="112"/>
      <c r="O44"/>
      <c r="P44"/>
    </row>
    <row r="45" spans="1:16" ht="12.75">
      <c r="A45" s="797" t="s">
        <v>475</v>
      </c>
      <c r="B45" s="797"/>
      <c r="C45" s="113">
        <v>12</v>
      </c>
      <c r="D45" s="795" t="s">
        <v>476</v>
      </c>
      <c r="E45" s="795"/>
      <c r="F45" s="795"/>
      <c r="G45" s="114">
        <v>114</v>
      </c>
      <c r="H45" s="802" t="s">
        <v>477</v>
      </c>
      <c r="I45" s="802"/>
      <c r="J45" s="802"/>
      <c r="K45" s="802"/>
      <c r="L45" s="112">
        <v>500</v>
      </c>
      <c r="O45"/>
      <c r="P45"/>
    </row>
    <row r="46" spans="1:16" ht="12.75">
      <c r="A46" s="797" t="s">
        <v>478</v>
      </c>
      <c r="B46" s="797"/>
      <c r="C46" s="113">
        <v>11</v>
      </c>
      <c r="D46" s="795" t="s">
        <v>479</v>
      </c>
      <c r="E46" s="795"/>
      <c r="F46" s="795"/>
      <c r="G46" s="114">
        <v>401</v>
      </c>
      <c r="H46" s="802" t="s">
        <v>204</v>
      </c>
      <c r="I46" s="802"/>
      <c r="J46" s="802"/>
      <c r="K46" s="802"/>
      <c r="L46" s="112">
        <v>481</v>
      </c>
      <c r="O46"/>
      <c r="P46"/>
    </row>
    <row r="47" spans="1:16" ht="12.75">
      <c r="A47" s="797" t="s">
        <v>291</v>
      </c>
      <c r="B47" s="797"/>
      <c r="C47" s="115">
        <v>252</v>
      </c>
      <c r="D47" s="797" t="s">
        <v>396</v>
      </c>
      <c r="E47" s="797"/>
      <c r="F47" s="797"/>
      <c r="G47" s="116">
        <v>132</v>
      </c>
      <c r="H47" s="776"/>
      <c r="I47" s="776"/>
      <c r="J47" s="776"/>
      <c r="K47" s="776"/>
      <c r="L47" s="112"/>
      <c r="O47"/>
      <c r="P47"/>
    </row>
    <row r="48" spans="1:16" ht="12.75">
      <c r="A48" s="797"/>
      <c r="B48" s="797"/>
      <c r="C48" s="115"/>
      <c r="D48" s="797" t="s">
        <v>480</v>
      </c>
      <c r="E48" s="797"/>
      <c r="F48" s="797"/>
      <c r="G48" s="116">
        <v>355</v>
      </c>
      <c r="H48" s="776"/>
      <c r="I48" s="776"/>
      <c r="J48" s="776"/>
      <c r="K48" s="776"/>
      <c r="L48" s="112"/>
      <c r="O48"/>
      <c r="P48"/>
    </row>
    <row r="49" spans="1:16" ht="12.75">
      <c r="A49" s="797"/>
      <c r="B49" s="797"/>
      <c r="C49" s="115"/>
      <c r="D49" s="797" t="s">
        <v>481</v>
      </c>
      <c r="E49" s="797"/>
      <c r="F49" s="797"/>
      <c r="G49" s="116">
        <v>287</v>
      </c>
      <c r="H49" s="776"/>
      <c r="I49" s="776"/>
      <c r="J49" s="776"/>
      <c r="K49" s="776"/>
      <c r="L49" s="112"/>
      <c r="O49"/>
      <c r="P49"/>
    </row>
    <row r="50" spans="1:16" ht="12.75">
      <c r="A50" s="905"/>
      <c r="B50" s="906"/>
      <c r="C50" s="115"/>
      <c r="D50" s="905" t="s">
        <v>482</v>
      </c>
      <c r="E50" s="907"/>
      <c r="F50" s="906"/>
      <c r="G50" s="116">
        <v>176</v>
      </c>
      <c r="H50" s="902"/>
      <c r="I50" s="903"/>
      <c r="J50" s="903"/>
      <c r="K50" s="904"/>
      <c r="L50" s="112"/>
      <c r="O50"/>
      <c r="P50"/>
    </row>
    <row r="51" spans="1:16" ht="12.75">
      <c r="A51" s="902"/>
      <c r="B51" s="904"/>
      <c r="C51" s="115"/>
      <c r="D51" s="902"/>
      <c r="E51" s="903"/>
      <c r="F51" s="904"/>
      <c r="G51" s="116"/>
      <c r="H51" s="902"/>
      <c r="I51" s="903"/>
      <c r="J51" s="903"/>
      <c r="K51" s="904"/>
      <c r="L51" s="112"/>
      <c r="O51"/>
      <c r="P51"/>
    </row>
    <row r="52" spans="1:16" ht="12.75">
      <c r="A52" s="902"/>
      <c r="B52" s="904"/>
      <c r="C52" s="115"/>
      <c r="D52" s="902"/>
      <c r="E52" s="903"/>
      <c r="F52" s="904"/>
      <c r="G52" s="116"/>
      <c r="H52" s="902"/>
      <c r="I52" s="903"/>
      <c r="J52" s="903"/>
      <c r="K52" s="904"/>
      <c r="L52" s="112"/>
      <c r="O52"/>
      <c r="P52"/>
    </row>
    <row r="53" spans="1:16" ht="13.5" thickBot="1">
      <c r="A53" s="800"/>
      <c r="B53" s="800"/>
      <c r="C53" s="115"/>
      <c r="D53" s="801"/>
      <c r="E53" s="801"/>
      <c r="F53" s="801"/>
      <c r="G53" s="116"/>
      <c r="H53" s="802"/>
      <c r="I53" s="802"/>
      <c r="J53" s="802"/>
      <c r="K53" s="802"/>
      <c r="L53" s="112"/>
      <c r="O53"/>
      <c r="P53"/>
    </row>
    <row r="54" spans="1:16" ht="13.5" thickBot="1">
      <c r="A54" s="811"/>
      <c r="B54" s="811"/>
      <c r="C54" s="117">
        <f>SUM(C44:C53)</f>
        <v>743</v>
      </c>
      <c r="D54" s="812" t="s">
        <v>168</v>
      </c>
      <c r="E54" s="812"/>
      <c r="F54" s="812"/>
      <c r="G54" s="117">
        <f>SUM(G44:G53)</f>
        <v>1939</v>
      </c>
      <c r="H54" s="778" t="s">
        <v>168</v>
      </c>
      <c r="I54" s="778"/>
      <c r="J54" s="778"/>
      <c r="K54" s="778"/>
      <c r="L54" s="117">
        <f>SUM(L44:L53)</f>
        <v>981</v>
      </c>
      <c r="M54" s="17"/>
      <c r="N54" s="17"/>
      <c r="O54"/>
      <c r="P54"/>
    </row>
    <row r="55" spans="1:16" s="1" customFormat="1" ht="13.5" customHeight="1" thickBot="1">
      <c r="A55" s="18"/>
      <c r="B55" s="5"/>
      <c r="C55" s="5"/>
      <c r="D55" s="5"/>
      <c r="E55" s="5"/>
      <c r="F55" s="5"/>
      <c r="G55" s="5"/>
      <c r="H55" s="6"/>
      <c r="I55" s="3"/>
      <c r="J55" s="3"/>
      <c r="K55" s="3"/>
      <c r="L55" s="3"/>
      <c r="M55" s="3"/>
      <c r="N55" s="3"/>
      <c r="O55" s="3"/>
      <c r="P55" s="3"/>
    </row>
    <row r="56" spans="1:16" ht="13.5" thickBot="1">
      <c r="A56" s="866" t="s">
        <v>429</v>
      </c>
      <c r="B56" s="867"/>
      <c r="C56" s="869" t="s">
        <v>203</v>
      </c>
      <c r="D56" s="806" t="s">
        <v>430</v>
      </c>
      <c r="E56" s="806"/>
      <c r="F56" s="806"/>
      <c r="G56" s="798" t="s">
        <v>203</v>
      </c>
      <c r="H56" s="785" t="s">
        <v>431</v>
      </c>
      <c r="I56" s="785"/>
      <c r="J56" s="785"/>
      <c r="K56" s="785"/>
      <c r="L56" s="799" t="s">
        <v>203</v>
      </c>
      <c r="O56"/>
      <c r="P56"/>
    </row>
    <row r="57" spans="1:16" ht="13.5" thickBot="1">
      <c r="A57" s="868"/>
      <c r="B57" s="805"/>
      <c r="C57" s="870"/>
      <c r="D57" s="806"/>
      <c r="E57" s="806"/>
      <c r="F57" s="806"/>
      <c r="G57" s="798"/>
      <c r="H57" s="785"/>
      <c r="I57" s="785"/>
      <c r="J57" s="785"/>
      <c r="K57" s="785"/>
      <c r="L57" s="799"/>
      <c r="O57"/>
      <c r="P57"/>
    </row>
    <row r="58" spans="1:16" ht="12.75">
      <c r="A58" s="871" t="s">
        <v>483</v>
      </c>
      <c r="B58" s="803"/>
      <c r="C58" s="201">
        <v>138</v>
      </c>
      <c r="D58" s="804" t="s">
        <v>292</v>
      </c>
      <c r="E58" s="804"/>
      <c r="F58" s="804"/>
      <c r="G58" s="118">
        <v>80</v>
      </c>
      <c r="H58" s="802" t="s">
        <v>484</v>
      </c>
      <c r="I58" s="802"/>
      <c r="J58" s="802"/>
      <c r="K58" s="802"/>
      <c r="L58" s="112">
        <v>200</v>
      </c>
      <c r="O58"/>
      <c r="P58"/>
    </row>
    <row r="59" spans="1:16" ht="13.5" customHeight="1">
      <c r="A59" s="872" t="s">
        <v>485</v>
      </c>
      <c r="B59" s="781"/>
      <c r="C59" s="202">
        <v>267</v>
      </c>
      <c r="D59" s="782" t="s">
        <v>280</v>
      </c>
      <c r="E59" s="782"/>
      <c r="F59" s="782"/>
      <c r="G59" s="119">
        <v>15</v>
      </c>
      <c r="H59" s="776" t="s">
        <v>486</v>
      </c>
      <c r="I59" s="776"/>
      <c r="J59" s="776"/>
      <c r="K59" s="776"/>
      <c r="L59" s="120">
        <v>90</v>
      </c>
      <c r="O59"/>
      <c r="P59"/>
    </row>
    <row r="60" spans="1:16" ht="13.5" customHeight="1">
      <c r="A60" s="872" t="s">
        <v>315</v>
      </c>
      <c r="B60" s="781"/>
      <c r="C60" s="202">
        <v>88</v>
      </c>
      <c r="D60" s="782" t="s">
        <v>487</v>
      </c>
      <c r="E60" s="782"/>
      <c r="F60" s="782"/>
      <c r="G60" s="119">
        <v>275</v>
      </c>
      <c r="H60" s="776" t="s">
        <v>359</v>
      </c>
      <c r="I60" s="776"/>
      <c r="J60" s="776"/>
      <c r="K60" s="776"/>
      <c r="L60" s="120">
        <v>30</v>
      </c>
      <c r="O60"/>
      <c r="P60"/>
    </row>
    <row r="61" spans="1:16" ht="13.5" customHeight="1">
      <c r="A61" s="872" t="s">
        <v>316</v>
      </c>
      <c r="B61" s="781"/>
      <c r="C61" s="202">
        <v>57</v>
      </c>
      <c r="D61" s="782" t="s">
        <v>488</v>
      </c>
      <c r="E61" s="782"/>
      <c r="F61" s="782"/>
      <c r="G61" s="119">
        <v>123</v>
      </c>
      <c r="H61" s="776" t="s">
        <v>254</v>
      </c>
      <c r="I61" s="776"/>
      <c r="J61" s="776"/>
      <c r="K61" s="776"/>
      <c r="L61" s="120">
        <v>100</v>
      </c>
      <c r="O61"/>
      <c r="P61"/>
    </row>
    <row r="62" spans="1:16" ht="13.5" customHeight="1">
      <c r="A62" s="872" t="s">
        <v>318</v>
      </c>
      <c r="B62" s="781"/>
      <c r="C62" s="203">
        <v>190</v>
      </c>
      <c r="D62" s="782" t="s">
        <v>489</v>
      </c>
      <c r="E62" s="782"/>
      <c r="F62" s="782"/>
      <c r="G62" s="121">
        <v>38</v>
      </c>
      <c r="H62" s="776" t="s">
        <v>490</v>
      </c>
      <c r="I62" s="776"/>
      <c r="J62" s="776"/>
      <c r="K62" s="776"/>
      <c r="L62" s="122">
        <v>50</v>
      </c>
      <c r="O62"/>
      <c r="P62"/>
    </row>
    <row r="63" spans="1:16" ht="13.5" customHeight="1">
      <c r="A63" s="872" t="s">
        <v>319</v>
      </c>
      <c r="B63" s="781"/>
      <c r="C63" s="203">
        <v>97</v>
      </c>
      <c r="D63" s="782" t="s">
        <v>254</v>
      </c>
      <c r="E63" s="782"/>
      <c r="F63" s="782"/>
      <c r="G63" s="121">
        <v>12</v>
      </c>
      <c r="H63" s="776"/>
      <c r="I63" s="776"/>
      <c r="J63" s="776"/>
      <c r="K63" s="776"/>
      <c r="L63" s="122"/>
      <c r="O63"/>
      <c r="P63"/>
    </row>
    <row r="64" spans="1:16" ht="13.5" customHeight="1">
      <c r="A64" s="872" t="s">
        <v>317</v>
      </c>
      <c r="B64" s="873"/>
      <c r="C64" s="202">
        <v>195</v>
      </c>
      <c r="D64" s="782" t="s">
        <v>491</v>
      </c>
      <c r="E64" s="782"/>
      <c r="F64" s="782"/>
      <c r="G64" s="119">
        <v>41</v>
      </c>
      <c r="H64" s="776" t="s">
        <v>489</v>
      </c>
      <c r="I64" s="776"/>
      <c r="J64" s="776"/>
      <c r="K64" s="776"/>
      <c r="L64" s="120">
        <v>30</v>
      </c>
      <c r="O64"/>
      <c r="P64"/>
    </row>
    <row r="65" spans="1:16" ht="13.5" thickBot="1">
      <c r="A65" s="874" t="s">
        <v>320</v>
      </c>
      <c r="B65" s="780"/>
      <c r="C65" s="204">
        <v>427</v>
      </c>
      <c r="D65" s="783"/>
      <c r="E65" s="783"/>
      <c r="F65" s="783"/>
      <c r="G65" s="123"/>
      <c r="H65" s="777" t="s">
        <v>492</v>
      </c>
      <c r="I65" s="777"/>
      <c r="J65" s="777"/>
      <c r="K65" s="777"/>
      <c r="L65" s="124">
        <v>200</v>
      </c>
      <c r="O65"/>
      <c r="P65"/>
    </row>
    <row r="66" spans="1:16" ht="13.5" thickBot="1">
      <c r="A66" s="877" t="s">
        <v>168</v>
      </c>
      <c r="B66" s="878"/>
      <c r="C66" s="205">
        <f>SUM(C58:C65)</f>
        <v>1459</v>
      </c>
      <c r="D66" s="784" t="s">
        <v>168</v>
      </c>
      <c r="E66" s="784"/>
      <c r="F66" s="784"/>
      <c r="G66" s="125">
        <f>SUM(G58:G65)</f>
        <v>584</v>
      </c>
      <c r="H66" s="778" t="s">
        <v>168</v>
      </c>
      <c r="I66" s="778"/>
      <c r="J66" s="778"/>
      <c r="K66" s="778"/>
      <c r="L66" s="117">
        <f>SUM(L58:L65)</f>
        <v>700</v>
      </c>
      <c r="M66" s="17"/>
      <c r="N66" s="17"/>
      <c r="O66"/>
      <c r="P66"/>
    </row>
    <row r="67" spans="1:14" s="1" customFormat="1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s="1" customFormat="1" ht="13.5" thickBo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s="1" customFormat="1" ht="26.25" customHeight="1" thickBot="1">
      <c r="A69" s="833" t="s">
        <v>106</v>
      </c>
      <c r="B69" s="834"/>
      <c r="C69" s="834"/>
      <c r="D69" s="834"/>
      <c r="E69" s="835"/>
      <c r="F69" s="836" t="s">
        <v>107</v>
      </c>
      <c r="G69" s="837"/>
      <c r="H69" s="837"/>
      <c r="I69" s="837"/>
      <c r="J69" s="837"/>
      <c r="K69" s="837"/>
      <c r="L69" s="838"/>
      <c r="M69" s="19"/>
      <c r="N69" s="19"/>
    </row>
    <row r="70" spans="1:14" s="1" customFormat="1" ht="14.25" customHeight="1" thickBot="1">
      <c r="A70" s="397" t="s">
        <v>231</v>
      </c>
      <c r="B70" s="398" t="s">
        <v>96</v>
      </c>
      <c r="C70" s="839" t="s">
        <v>232</v>
      </c>
      <c r="D70" s="839"/>
      <c r="E70" s="399" t="s">
        <v>97</v>
      </c>
      <c r="F70" s="840" t="s">
        <v>231</v>
      </c>
      <c r="G70" s="841"/>
      <c r="H70" s="398" t="s">
        <v>96</v>
      </c>
      <c r="I70" s="839" t="s">
        <v>232</v>
      </c>
      <c r="J70" s="839"/>
      <c r="K70" s="839"/>
      <c r="L70" s="400" t="s">
        <v>97</v>
      </c>
      <c r="M70" s="19"/>
      <c r="N70" s="19"/>
    </row>
    <row r="71" spans="1:14" s="1" customFormat="1" ht="12.75">
      <c r="A71" s="401" t="s">
        <v>98</v>
      </c>
      <c r="B71" s="402">
        <v>449</v>
      </c>
      <c r="C71" s="842" t="s">
        <v>99</v>
      </c>
      <c r="D71" s="842"/>
      <c r="E71" s="403">
        <v>80</v>
      </c>
      <c r="F71" s="843" t="s">
        <v>98</v>
      </c>
      <c r="G71" s="844"/>
      <c r="H71" s="402">
        <v>419</v>
      </c>
      <c r="I71" s="842" t="s">
        <v>99</v>
      </c>
      <c r="J71" s="844"/>
      <c r="K71" s="844"/>
      <c r="L71" s="403">
        <v>76</v>
      </c>
      <c r="M71" s="19"/>
      <c r="N71" s="19"/>
    </row>
    <row r="72" spans="1:14" s="1" customFormat="1" ht="12.75">
      <c r="A72" s="404" t="s">
        <v>100</v>
      </c>
      <c r="B72" s="405">
        <v>50</v>
      </c>
      <c r="C72" s="845" t="s">
        <v>101</v>
      </c>
      <c r="D72" s="845"/>
      <c r="E72" s="406"/>
      <c r="F72" s="846" t="s">
        <v>102</v>
      </c>
      <c r="G72" s="847"/>
      <c r="H72" s="405">
        <v>211</v>
      </c>
      <c r="I72" s="845" t="s">
        <v>101</v>
      </c>
      <c r="J72" s="847"/>
      <c r="K72" s="847"/>
      <c r="L72" s="406"/>
      <c r="M72" s="19"/>
      <c r="N72" s="19"/>
    </row>
    <row r="73" spans="1:14" s="1" customFormat="1" ht="12.75">
      <c r="A73" s="404" t="s">
        <v>103</v>
      </c>
      <c r="B73" s="405"/>
      <c r="C73" s="845"/>
      <c r="D73" s="845"/>
      <c r="E73" s="406"/>
      <c r="F73" s="845" t="s">
        <v>104</v>
      </c>
      <c r="G73" s="845"/>
      <c r="H73" s="405"/>
      <c r="I73" s="845"/>
      <c r="J73" s="847"/>
      <c r="K73" s="847"/>
      <c r="L73" s="406"/>
      <c r="M73" s="19"/>
      <c r="N73" s="19"/>
    </row>
    <row r="74" spans="1:14" s="1" customFormat="1" ht="13.5" thickBot="1">
      <c r="A74" s="407"/>
      <c r="B74" s="408"/>
      <c r="C74" s="848"/>
      <c r="D74" s="848"/>
      <c r="E74" s="409"/>
      <c r="F74" s="849"/>
      <c r="G74" s="850"/>
      <c r="H74" s="408"/>
      <c r="I74" s="848"/>
      <c r="J74" s="850"/>
      <c r="K74" s="850"/>
      <c r="L74" s="409"/>
      <c r="M74" s="19"/>
      <c r="N74" s="19"/>
    </row>
    <row r="75" spans="1:14" s="1" customFormat="1" ht="13.5" thickBot="1">
      <c r="A75" s="410" t="s">
        <v>168</v>
      </c>
      <c r="B75" s="411">
        <f>SUM(B71:B74)</f>
        <v>499</v>
      </c>
      <c r="C75" s="851" t="s">
        <v>168</v>
      </c>
      <c r="D75" s="851"/>
      <c r="E75" s="413">
        <f>SUM(E71:E74)</f>
        <v>80</v>
      </c>
      <c r="F75" s="852" t="s">
        <v>168</v>
      </c>
      <c r="G75" s="853"/>
      <c r="H75" s="412">
        <f>SUM(H71:H74)</f>
        <v>630</v>
      </c>
      <c r="I75" s="851" t="s">
        <v>168</v>
      </c>
      <c r="J75" s="853"/>
      <c r="K75" s="853"/>
      <c r="L75" s="413">
        <f>SUM(L71:L74)</f>
        <v>76</v>
      </c>
      <c r="M75" s="19"/>
      <c r="N75" s="19"/>
    </row>
    <row r="76" spans="1:14" s="1" customFormat="1" ht="13.5" thickBot="1">
      <c r="A76" s="414" t="s">
        <v>105</v>
      </c>
      <c r="B76" s="415">
        <f>B75-E75</f>
        <v>419</v>
      </c>
      <c r="C76" s="19"/>
      <c r="D76" s="19"/>
      <c r="E76" s="19"/>
      <c r="F76" s="854" t="s">
        <v>105</v>
      </c>
      <c r="G76" s="701"/>
      <c r="H76" s="416">
        <f>H75-L75</f>
        <v>554</v>
      </c>
      <c r="I76" s="19"/>
      <c r="J76" s="19"/>
      <c r="K76" s="19"/>
      <c r="L76" s="19"/>
      <c r="M76" s="19"/>
      <c r="N76" s="19"/>
    </row>
    <row r="77" spans="1:14" s="1" customFormat="1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s="1" customFormat="1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2" s="1" customFormat="1" ht="12.75">
      <c r="A79" s="20"/>
      <c r="B79" s="21"/>
      <c r="C79" s="21"/>
      <c r="D79" s="21"/>
      <c r="E79" s="2"/>
      <c r="F79" s="4"/>
      <c r="G79" s="4"/>
      <c r="H79" s="20"/>
      <c r="I79" s="21"/>
      <c r="J79" s="21"/>
      <c r="K79" s="21"/>
      <c r="L79" s="2"/>
    </row>
    <row r="80" spans="1:12" s="1" customFormat="1" ht="13.5" thickBot="1">
      <c r="A80" s="20"/>
      <c r="B80" s="21"/>
      <c r="C80" s="21"/>
      <c r="D80" s="21"/>
      <c r="E80" s="2"/>
      <c r="F80" s="4"/>
      <c r="G80" s="4"/>
      <c r="H80" s="20"/>
      <c r="I80" s="21"/>
      <c r="J80" s="21" t="s">
        <v>307</v>
      </c>
      <c r="K80" s="21"/>
      <c r="L80" s="2"/>
    </row>
    <row r="81" spans="1:15" s="1" customFormat="1" ht="12.75">
      <c r="A81" s="879" t="s">
        <v>227</v>
      </c>
      <c r="B81" s="882" t="s">
        <v>435</v>
      </c>
      <c r="C81" s="885" t="s">
        <v>436</v>
      </c>
      <c r="D81" s="886"/>
      <c r="E81" s="886"/>
      <c r="F81" s="886"/>
      <c r="G81" s="886"/>
      <c r="H81" s="886"/>
      <c r="I81" s="887"/>
      <c r="J81" s="888" t="s">
        <v>437</v>
      </c>
      <c r="K81" s="7"/>
      <c r="L81" s="864" t="s">
        <v>205</v>
      </c>
      <c r="M81" s="865"/>
      <c r="N81" s="59">
        <v>2006</v>
      </c>
      <c r="O81" s="60">
        <v>2007</v>
      </c>
    </row>
    <row r="82" spans="1:15" s="1" customFormat="1" ht="12.75">
      <c r="A82" s="880"/>
      <c r="B82" s="883"/>
      <c r="C82" s="891" t="s">
        <v>228</v>
      </c>
      <c r="D82" s="893" t="s">
        <v>229</v>
      </c>
      <c r="E82" s="894"/>
      <c r="F82" s="894"/>
      <c r="G82" s="894"/>
      <c r="H82" s="894"/>
      <c r="I82" s="895"/>
      <c r="J82" s="889"/>
      <c r="K82" s="7"/>
      <c r="L82" s="63" t="s">
        <v>273</v>
      </c>
      <c r="M82" s="62"/>
      <c r="N82" s="58">
        <v>0</v>
      </c>
      <c r="O82" s="61">
        <v>0</v>
      </c>
    </row>
    <row r="83" spans="1:15" s="1" customFormat="1" ht="13.5" thickBot="1">
      <c r="A83" s="881"/>
      <c r="B83" s="884"/>
      <c r="C83" s="892"/>
      <c r="D83" s="25">
        <v>1</v>
      </c>
      <c r="E83" s="25">
        <v>2</v>
      </c>
      <c r="F83" s="25">
        <v>3</v>
      </c>
      <c r="G83" s="25">
        <v>4</v>
      </c>
      <c r="H83" s="25">
        <v>5</v>
      </c>
      <c r="I83" s="56">
        <v>6</v>
      </c>
      <c r="J83" s="890"/>
      <c r="K83" s="7"/>
      <c r="L83" s="62" t="s">
        <v>206</v>
      </c>
      <c r="M83" s="63"/>
      <c r="N83" s="22">
        <v>0</v>
      </c>
      <c r="O83" s="23">
        <v>0</v>
      </c>
    </row>
    <row r="84" spans="1:15" s="1" customFormat="1" ht="13.5" thickBot="1">
      <c r="A84" s="26">
        <v>54299</v>
      </c>
      <c r="B84" s="27">
        <v>12700</v>
      </c>
      <c r="C84" s="54">
        <f>SUM(D84:I84)</f>
        <v>793</v>
      </c>
      <c r="D84" s="55">
        <v>80</v>
      </c>
      <c r="E84" s="55">
        <v>211</v>
      </c>
      <c r="F84" s="55">
        <v>15</v>
      </c>
      <c r="G84" s="55">
        <v>16</v>
      </c>
      <c r="H84" s="54">
        <v>471</v>
      </c>
      <c r="I84" s="57"/>
      <c r="J84" s="28">
        <f>SUM(A84-B84-C84)</f>
        <v>40806</v>
      </c>
      <c r="K84" s="7"/>
      <c r="L84" s="64" t="s">
        <v>207</v>
      </c>
      <c r="M84" s="65"/>
      <c r="N84" s="52">
        <v>0</v>
      </c>
      <c r="O84" s="53">
        <v>0</v>
      </c>
    </row>
    <row r="85" spans="1:12" s="1" customFormat="1" ht="12.75">
      <c r="A85" s="20"/>
      <c r="B85" s="21"/>
      <c r="C85" s="21"/>
      <c r="D85" s="21"/>
      <c r="E85" s="2"/>
      <c r="F85" s="200"/>
      <c r="G85" s="4"/>
      <c r="H85" s="20"/>
      <c r="I85" s="21"/>
      <c r="J85" s="21"/>
      <c r="K85" s="21"/>
      <c r="L85" s="2"/>
    </row>
    <row r="86" spans="1:12" s="1" customFormat="1" ht="13.5" thickBot="1">
      <c r="A86" s="20"/>
      <c r="B86" s="21"/>
      <c r="C86" s="21"/>
      <c r="D86" s="21"/>
      <c r="E86" s="2"/>
      <c r="F86" s="200"/>
      <c r="G86" s="4"/>
      <c r="H86" s="20"/>
      <c r="I86" s="21"/>
      <c r="J86" s="21"/>
      <c r="K86" s="21"/>
      <c r="L86" s="21" t="s">
        <v>307</v>
      </c>
    </row>
    <row r="87" spans="1:12" s="1" customFormat="1" ht="12.75">
      <c r="A87" s="855" t="s">
        <v>255</v>
      </c>
      <c r="B87" s="857" t="s">
        <v>438</v>
      </c>
      <c r="C87" s="859" t="s">
        <v>439</v>
      </c>
      <c r="D87" s="860"/>
      <c r="E87" s="860"/>
      <c r="F87" s="861"/>
      <c r="G87" s="862" t="s">
        <v>440</v>
      </c>
      <c r="H87" s="896" t="s">
        <v>230</v>
      </c>
      <c r="I87" s="898" t="s">
        <v>441</v>
      </c>
      <c r="J87" s="899"/>
      <c r="K87" s="899"/>
      <c r="L87" s="900"/>
    </row>
    <row r="88" spans="1:12" s="1" customFormat="1" ht="18.75" thickBot="1">
      <c r="A88" s="856"/>
      <c r="B88" s="858"/>
      <c r="C88" s="29" t="s">
        <v>321</v>
      </c>
      <c r="D88" s="30" t="s">
        <v>231</v>
      </c>
      <c r="E88" s="30" t="s">
        <v>232</v>
      </c>
      <c r="F88" s="31" t="s">
        <v>322</v>
      </c>
      <c r="G88" s="863"/>
      <c r="H88" s="897"/>
      <c r="I88" s="174" t="s">
        <v>442</v>
      </c>
      <c r="J88" s="175" t="s">
        <v>231</v>
      </c>
      <c r="K88" s="175" t="s">
        <v>232</v>
      </c>
      <c r="L88" s="176" t="s">
        <v>443</v>
      </c>
    </row>
    <row r="89" spans="1:12" s="1" customFormat="1" ht="12.75">
      <c r="A89" s="32" t="s">
        <v>233</v>
      </c>
      <c r="B89" s="33">
        <v>5576</v>
      </c>
      <c r="C89" s="34" t="s">
        <v>234</v>
      </c>
      <c r="D89" s="35" t="s">
        <v>234</v>
      </c>
      <c r="E89" s="35" t="s">
        <v>234</v>
      </c>
      <c r="F89" s="36"/>
      <c r="G89" s="37">
        <v>4683</v>
      </c>
      <c r="H89" s="171" t="s">
        <v>234</v>
      </c>
      <c r="I89" s="177" t="s">
        <v>234</v>
      </c>
      <c r="J89" s="178" t="s">
        <v>234</v>
      </c>
      <c r="K89" s="178" t="s">
        <v>234</v>
      </c>
      <c r="L89" s="179" t="s">
        <v>234</v>
      </c>
    </row>
    <row r="90" spans="1:12" s="1" customFormat="1" ht="12.75">
      <c r="A90" s="38" t="s">
        <v>235</v>
      </c>
      <c r="B90" s="39">
        <v>169</v>
      </c>
      <c r="C90" s="40">
        <v>169</v>
      </c>
      <c r="D90" s="41">
        <v>12</v>
      </c>
      <c r="E90" s="41">
        <v>0</v>
      </c>
      <c r="F90" s="42">
        <f>C90+D90-E90</f>
        <v>181</v>
      </c>
      <c r="G90" s="43">
        <v>181</v>
      </c>
      <c r="H90" s="172">
        <f>+G90-F90</f>
        <v>0</v>
      </c>
      <c r="I90" s="40">
        <v>181</v>
      </c>
      <c r="J90" s="41">
        <v>52</v>
      </c>
      <c r="K90" s="41">
        <v>0</v>
      </c>
      <c r="L90" s="42">
        <f>I90+J90-K90</f>
        <v>233</v>
      </c>
    </row>
    <row r="91" spans="1:12" s="1" customFormat="1" ht="12.75">
      <c r="A91" s="38" t="s">
        <v>236</v>
      </c>
      <c r="B91" s="39">
        <v>449</v>
      </c>
      <c r="C91" s="40">
        <v>449</v>
      </c>
      <c r="D91" s="41">
        <v>50</v>
      </c>
      <c r="E91" s="41">
        <v>80</v>
      </c>
      <c r="F91" s="42">
        <f>C91+D91-E91</f>
        <v>419</v>
      </c>
      <c r="G91" s="43">
        <v>419</v>
      </c>
      <c r="H91" s="172">
        <f>+G91-F91</f>
        <v>0</v>
      </c>
      <c r="I91" s="40">
        <v>419</v>
      </c>
      <c r="J91" s="41">
        <v>211</v>
      </c>
      <c r="K91" s="41">
        <v>76</v>
      </c>
      <c r="L91" s="42">
        <f>I91+J91-K91</f>
        <v>554</v>
      </c>
    </row>
    <row r="92" spans="1:12" s="1" customFormat="1" ht="12.75">
      <c r="A92" s="38" t="s">
        <v>256</v>
      </c>
      <c r="B92" s="39">
        <v>3424</v>
      </c>
      <c r="C92" s="40">
        <v>3424</v>
      </c>
      <c r="D92" s="41">
        <v>749</v>
      </c>
      <c r="E92" s="41">
        <v>2415</v>
      </c>
      <c r="F92" s="42">
        <f>C92+D92-E92</f>
        <v>1758</v>
      </c>
      <c r="G92" s="43">
        <v>1758</v>
      </c>
      <c r="H92" s="172">
        <f>+G92-F92</f>
        <v>0</v>
      </c>
      <c r="I92" s="180">
        <v>1758</v>
      </c>
      <c r="J92" s="170">
        <v>869</v>
      </c>
      <c r="K92" s="170">
        <f>L54</f>
        <v>981</v>
      </c>
      <c r="L92" s="42">
        <f>I92+J92-K92</f>
        <v>1646</v>
      </c>
    </row>
    <row r="93" spans="1:12" s="1" customFormat="1" ht="12.75">
      <c r="A93" s="38" t="s">
        <v>237</v>
      </c>
      <c r="B93" s="39">
        <v>1534</v>
      </c>
      <c r="C93" s="50" t="s">
        <v>234</v>
      </c>
      <c r="D93" s="35" t="s">
        <v>234</v>
      </c>
      <c r="E93" s="51" t="s">
        <v>234</v>
      </c>
      <c r="F93" s="42"/>
      <c r="G93" s="43">
        <v>2326</v>
      </c>
      <c r="H93" s="50" t="s">
        <v>234</v>
      </c>
      <c r="I93" s="34"/>
      <c r="J93" s="35"/>
      <c r="K93" s="35"/>
      <c r="L93" s="181">
        <v>0</v>
      </c>
    </row>
    <row r="94" spans="1:12" s="1" customFormat="1" ht="13.5" thickBot="1">
      <c r="A94" s="44" t="s">
        <v>238</v>
      </c>
      <c r="B94" s="45">
        <v>93</v>
      </c>
      <c r="C94" s="46">
        <v>104</v>
      </c>
      <c r="D94" s="47">
        <v>213</v>
      </c>
      <c r="E94" s="47">
        <v>203</v>
      </c>
      <c r="F94" s="48">
        <f>C94+D94-E94</f>
        <v>114</v>
      </c>
      <c r="G94" s="49">
        <v>106</v>
      </c>
      <c r="H94" s="173">
        <f>+G94-F94</f>
        <v>-8</v>
      </c>
      <c r="I94" s="46">
        <v>114</v>
      </c>
      <c r="J94" s="47">
        <v>175</v>
      </c>
      <c r="K94" s="47">
        <v>239</v>
      </c>
      <c r="L94" s="48">
        <f>I94+J94-K94</f>
        <v>50</v>
      </c>
    </row>
    <row r="95" spans="1:12" s="1" customFormat="1" ht="12.75">
      <c r="A95" s="20"/>
      <c r="B95" s="21"/>
      <c r="C95" s="21"/>
      <c r="D95" s="21"/>
      <c r="E95" s="2"/>
      <c r="F95" s="200"/>
      <c r="G95" s="4"/>
      <c r="H95" s="20"/>
      <c r="I95" s="21"/>
      <c r="J95" s="21"/>
      <c r="K95" s="21"/>
      <c r="L95" s="2"/>
    </row>
    <row r="96" spans="1:12" s="1" customFormat="1" ht="12.75">
      <c r="A96" s="20"/>
      <c r="B96" s="21"/>
      <c r="C96" s="21"/>
      <c r="D96" s="21"/>
      <c r="E96" s="2"/>
      <c r="F96" s="200"/>
      <c r="G96" s="4"/>
      <c r="H96" s="20"/>
      <c r="I96" s="21"/>
      <c r="J96" s="21"/>
      <c r="K96" s="21"/>
      <c r="L96" s="2"/>
    </row>
    <row r="97" spans="1:12" s="1" customFormat="1" ht="12.75">
      <c r="A97" s="20"/>
      <c r="B97" s="21"/>
      <c r="C97" s="21"/>
      <c r="D97" s="21"/>
      <c r="E97" s="2"/>
      <c r="F97" s="200"/>
      <c r="G97" s="4"/>
      <c r="H97" s="20"/>
      <c r="I97" s="21"/>
      <c r="J97" s="21"/>
      <c r="K97" s="21"/>
      <c r="L97" s="2"/>
    </row>
    <row r="98" spans="1:12" s="1" customFormat="1" ht="12.75">
      <c r="A98" s="20"/>
      <c r="B98" s="21"/>
      <c r="C98" s="21"/>
      <c r="D98" s="21"/>
      <c r="E98" s="2"/>
      <c r="F98" s="200"/>
      <c r="G98" s="4"/>
      <c r="H98" s="20"/>
      <c r="I98" s="21"/>
      <c r="J98" s="21"/>
      <c r="K98" s="21"/>
      <c r="L98" s="2"/>
    </row>
    <row r="99" spans="1:12" s="1" customFormat="1" ht="12.75">
      <c r="A99" s="20"/>
      <c r="B99" s="21"/>
      <c r="C99" s="21"/>
      <c r="D99" s="21"/>
      <c r="E99" s="2"/>
      <c r="F99" s="200"/>
      <c r="G99" s="4"/>
      <c r="H99" s="20"/>
      <c r="I99" s="21"/>
      <c r="J99" s="21"/>
      <c r="K99" s="21"/>
      <c r="L99" s="2"/>
    </row>
    <row r="100" spans="1:12" s="1" customFormat="1" ht="12.75">
      <c r="A100" s="20"/>
      <c r="B100" s="21"/>
      <c r="C100" s="21"/>
      <c r="D100" s="21"/>
      <c r="E100" s="2"/>
      <c r="F100" s="4"/>
      <c r="G100" s="4"/>
      <c r="H100" s="20"/>
      <c r="I100" s="21"/>
      <c r="J100" s="21"/>
      <c r="K100" s="21"/>
      <c r="L100" s="2"/>
    </row>
    <row r="101" spans="1:12" s="1" customFormat="1" ht="12.75">
      <c r="A101" s="20"/>
      <c r="B101" s="21"/>
      <c r="C101" s="21"/>
      <c r="D101" s="21"/>
      <c r="E101" s="2"/>
      <c r="F101" s="4"/>
      <c r="G101" s="4"/>
      <c r="H101" s="20"/>
      <c r="I101" s="21"/>
      <c r="J101" s="21"/>
      <c r="K101" s="21"/>
      <c r="L101" s="2"/>
    </row>
    <row r="102" spans="8:12" ht="13.5" thickBot="1">
      <c r="H102" s="21" t="s">
        <v>307</v>
      </c>
      <c r="L102" s="21" t="s">
        <v>307</v>
      </c>
    </row>
    <row r="103" spans="1:12" ht="13.5" thickBot="1">
      <c r="A103" s="823" t="s">
        <v>444</v>
      </c>
      <c r="B103" s="824" t="s">
        <v>168</v>
      </c>
      <c r="C103" s="810" t="s">
        <v>239</v>
      </c>
      <c r="D103" s="810"/>
      <c r="E103" s="810"/>
      <c r="F103" s="810"/>
      <c r="G103" s="810"/>
      <c r="H103" s="810"/>
      <c r="I103" s="24"/>
      <c r="J103" s="825" t="s">
        <v>208</v>
      </c>
      <c r="K103" s="825"/>
      <c r="L103" s="825"/>
    </row>
    <row r="104" spans="1:12" ht="13.5" thickBot="1">
      <c r="A104" s="823"/>
      <c r="B104" s="824"/>
      <c r="C104" s="126" t="s">
        <v>240</v>
      </c>
      <c r="D104" s="127" t="s">
        <v>241</v>
      </c>
      <c r="E104" s="127" t="s">
        <v>242</v>
      </c>
      <c r="F104" s="127" t="s">
        <v>243</v>
      </c>
      <c r="G104" s="128" t="s">
        <v>244</v>
      </c>
      <c r="H104" s="129" t="s">
        <v>228</v>
      </c>
      <c r="I104" s="24"/>
      <c r="J104" s="130"/>
      <c r="K104" s="131" t="s">
        <v>209</v>
      </c>
      <c r="L104" s="132" t="s">
        <v>210</v>
      </c>
    </row>
    <row r="105" spans="1:12" ht="12.75">
      <c r="A105" s="133" t="s">
        <v>245</v>
      </c>
      <c r="B105" s="134">
        <v>187</v>
      </c>
      <c r="C105" s="135"/>
      <c r="D105" s="135"/>
      <c r="E105" s="135"/>
      <c r="F105" s="135"/>
      <c r="G105" s="134"/>
      <c r="H105" s="136">
        <f>SUM(C105:G105)</f>
        <v>0</v>
      </c>
      <c r="I105" s="24"/>
      <c r="J105" s="137">
        <v>2007</v>
      </c>
      <c r="K105" s="138">
        <v>7346</v>
      </c>
      <c r="L105" s="139">
        <f>+G30</f>
        <v>6880</v>
      </c>
    </row>
    <row r="106" spans="1:12" ht="13.5" thickBot="1">
      <c r="A106" s="140" t="s">
        <v>246</v>
      </c>
      <c r="B106" s="141">
        <v>2543</v>
      </c>
      <c r="C106" s="142"/>
      <c r="D106" s="142"/>
      <c r="E106" s="142"/>
      <c r="F106" s="142"/>
      <c r="G106" s="141"/>
      <c r="H106" s="143">
        <f>SUM(C106:G106)</f>
        <v>0</v>
      </c>
      <c r="I106" s="24"/>
      <c r="J106" s="144">
        <v>2008</v>
      </c>
      <c r="K106" s="145">
        <f>L30</f>
        <v>8163</v>
      </c>
      <c r="L106" s="146"/>
    </row>
    <row r="107" ht="12.75" customHeight="1"/>
    <row r="108" ht="13.5" thickBot="1">
      <c r="J108" s="208" t="s">
        <v>323</v>
      </c>
    </row>
    <row r="109" spans="1:10" ht="21" customHeight="1" thickBot="1">
      <c r="A109" s="823" t="s">
        <v>211</v>
      </c>
      <c r="B109" s="826" t="s">
        <v>212</v>
      </c>
      <c r="C109" s="826"/>
      <c r="D109" s="826"/>
      <c r="E109" s="827" t="s">
        <v>274</v>
      </c>
      <c r="F109" s="827"/>
      <c r="G109" s="827"/>
      <c r="H109" s="828" t="s">
        <v>213</v>
      </c>
      <c r="I109" s="828"/>
      <c r="J109" s="828"/>
    </row>
    <row r="110" spans="1:10" ht="12.75">
      <c r="A110" s="823"/>
      <c r="B110" s="147">
        <v>2006</v>
      </c>
      <c r="C110" s="147">
        <v>2007</v>
      </c>
      <c r="D110" s="147" t="s">
        <v>214</v>
      </c>
      <c r="E110" s="147">
        <v>2006</v>
      </c>
      <c r="F110" s="147">
        <v>2007</v>
      </c>
      <c r="G110" s="148" t="s">
        <v>214</v>
      </c>
      <c r="H110" s="149">
        <v>2006</v>
      </c>
      <c r="I110" s="147">
        <v>2007</v>
      </c>
      <c r="J110" s="148" t="s">
        <v>214</v>
      </c>
    </row>
    <row r="111" spans="1:10" ht="18.75">
      <c r="A111" s="150" t="s">
        <v>215</v>
      </c>
      <c r="B111" s="151">
        <v>3</v>
      </c>
      <c r="C111" s="151">
        <v>2.66</v>
      </c>
      <c r="D111" s="151">
        <f aca="true" t="shared" si="13" ref="D111:D122">+C111-B111</f>
        <v>-0.33999999999999986</v>
      </c>
      <c r="E111" s="151">
        <v>3</v>
      </c>
      <c r="F111" s="151">
        <v>3</v>
      </c>
      <c r="G111" s="152">
        <f aca="true" t="shared" si="14" ref="G111:G122">+F111-E111</f>
        <v>0</v>
      </c>
      <c r="H111" s="153">
        <v>23072</v>
      </c>
      <c r="I111" s="154">
        <v>21795</v>
      </c>
      <c r="J111" s="155">
        <f aca="true" t="shared" si="15" ref="J111:J122">+I111-H111</f>
        <v>-1277</v>
      </c>
    </row>
    <row r="112" spans="1:10" ht="12.75">
      <c r="A112" s="150" t="s">
        <v>248</v>
      </c>
      <c r="B112" s="151">
        <v>8.67</v>
      </c>
      <c r="C112" s="151">
        <v>7.25</v>
      </c>
      <c r="D112" s="151">
        <f t="shared" si="13"/>
        <v>-1.42</v>
      </c>
      <c r="E112" s="151">
        <v>7.5</v>
      </c>
      <c r="F112" s="151">
        <v>7.5</v>
      </c>
      <c r="G112" s="152">
        <f t="shared" si="14"/>
        <v>0</v>
      </c>
      <c r="H112" s="153">
        <v>21897</v>
      </c>
      <c r="I112" s="156">
        <v>23479</v>
      </c>
      <c r="J112" s="155">
        <f t="shared" si="15"/>
        <v>1582</v>
      </c>
    </row>
    <row r="113" spans="1:10" ht="12.75">
      <c r="A113" s="150" t="s">
        <v>216</v>
      </c>
      <c r="B113" s="151"/>
      <c r="C113" s="151"/>
      <c r="D113" s="151">
        <f t="shared" si="13"/>
        <v>0</v>
      </c>
      <c r="E113" s="151"/>
      <c r="F113" s="151"/>
      <c r="G113" s="152">
        <f t="shared" si="14"/>
        <v>0</v>
      </c>
      <c r="H113" s="153"/>
      <c r="I113" s="156"/>
      <c r="J113" s="155">
        <f t="shared" si="15"/>
        <v>0</v>
      </c>
    </row>
    <row r="114" spans="1:10" ht="12.75">
      <c r="A114" s="150" t="s">
        <v>217</v>
      </c>
      <c r="B114" s="151">
        <v>7.92</v>
      </c>
      <c r="C114" s="151">
        <v>1.16</v>
      </c>
      <c r="D114" s="151">
        <f t="shared" si="13"/>
        <v>-6.76</v>
      </c>
      <c r="E114" s="151">
        <v>8</v>
      </c>
      <c r="F114" s="151">
        <v>8</v>
      </c>
      <c r="G114" s="152">
        <f t="shared" si="14"/>
        <v>0</v>
      </c>
      <c r="H114" s="153">
        <v>15972</v>
      </c>
      <c r="I114" s="156">
        <v>14851</v>
      </c>
      <c r="J114" s="155">
        <f t="shared" si="15"/>
        <v>-1121</v>
      </c>
    </row>
    <row r="115" spans="1:10" ht="12.75">
      <c r="A115" s="150" t="s">
        <v>299</v>
      </c>
      <c r="B115" s="151"/>
      <c r="C115" s="151"/>
      <c r="D115" s="151">
        <f t="shared" si="13"/>
        <v>0</v>
      </c>
      <c r="E115" s="151"/>
      <c r="F115" s="151"/>
      <c r="G115" s="152">
        <f t="shared" si="14"/>
        <v>0</v>
      </c>
      <c r="H115" s="153"/>
      <c r="I115" s="156"/>
      <c r="J115" s="155">
        <f t="shared" si="15"/>
        <v>0</v>
      </c>
    </row>
    <row r="116" spans="1:10" ht="12.75">
      <c r="A116" s="150" t="s">
        <v>297</v>
      </c>
      <c r="B116" s="151"/>
      <c r="C116" s="151"/>
      <c r="D116" s="151">
        <f t="shared" si="13"/>
        <v>0</v>
      </c>
      <c r="E116" s="151"/>
      <c r="F116" s="151"/>
      <c r="G116" s="152">
        <f t="shared" si="14"/>
        <v>0</v>
      </c>
      <c r="H116" s="153"/>
      <c r="I116" s="156"/>
      <c r="J116" s="155">
        <f t="shared" si="15"/>
        <v>0</v>
      </c>
    </row>
    <row r="117" spans="1:10" ht="12.75">
      <c r="A117" s="150" t="s">
        <v>325</v>
      </c>
      <c r="B117" s="151"/>
      <c r="C117" s="151"/>
      <c r="D117" s="151">
        <f t="shared" si="13"/>
        <v>0</v>
      </c>
      <c r="E117" s="151"/>
      <c r="F117" s="151"/>
      <c r="G117" s="152">
        <f t="shared" si="14"/>
        <v>0</v>
      </c>
      <c r="H117" s="153"/>
      <c r="I117" s="156"/>
      <c r="J117" s="155">
        <f t="shared" si="15"/>
        <v>0</v>
      </c>
    </row>
    <row r="118" spans="1:10" ht="12.75">
      <c r="A118" s="150" t="s">
        <v>219</v>
      </c>
      <c r="B118" s="151">
        <v>4</v>
      </c>
      <c r="C118" s="151">
        <v>15.33</v>
      </c>
      <c r="D118" s="151">
        <f t="shared" si="13"/>
        <v>11.33</v>
      </c>
      <c r="E118" s="151">
        <v>4</v>
      </c>
      <c r="F118" s="151">
        <v>10.75</v>
      </c>
      <c r="G118" s="152">
        <f t="shared" si="14"/>
        <v>6.75</v>
      </c>
      <c r="H118" s="153">
        <v>15099</v>
      </c>
      <c r="I118" s="156">
        <v>13805</v>
      </c>
      <c r="J118" s="155">
        <f t="shared" si="15"/>
        <v>-1294</v>
      </c>
    </row>
    <row r="119" spans="1:10" ht="12.75">
      <c r="A119" s="150" t="s">
        <v>220</v>
      </c>
      <c r="B119" s="151">
        <v>1</v>
      </c>
      <c r="C119" s="151">
        <v>0.83</v>
      </c>
      <c r="D119" s="151">
        <f t="shared" si="13"/>
        <v>-0.17000000000000004</v>
      </c>
      <c r="E119" s="151">
        <v>1</v>
      </c>
      <c r="F119" s="151">
        <v>0</v>
      </c>
      <c r="G119" s="152">
        <f t="shared" si="14"/>
        <v>-1</v>
      </c>
      <c r="H119" s="153">
        <v>23768</v>
      </c>
      <c r="I119" s="156">
        <v>18049</v>
      </c>
      <c r="J119" s="155">
        <f t="shared" si="15"/>
        <v>-5719</v>
      </c>
    </row>
    <row r="120" spans="1:10" ht="12.75">
      <c r="A120" s="150" t="s">
        <v>493</v>
      </c>
      <c r="B120" s="151">
        <v>0</v>
      </c>
      <c r="C120" s="151">
        <v>0.25</v>
      </c>
      <c r="D120" s="151">
        <v>0.25</v>
      </c>
      <c r="E120" s="151">
        <v>0</v>
      </c>
      <c r="F120" s="151">
        <v>1</v>
      </c>
      <c r="G120" s="152">
        <v>1</v>
      </c>
      <c r="H120" s="153">
        <v>0</v>
      </c>
      <c r="I120" s="156">
        <v>14667</v>
      </c>
      <c r="J120" s="155"/>
    </row>
    <row r="121" spans="1:10" ht="12.75">
      <c r="A121" s="150" t="s">
        <v>221</v>
      </c>
      <c r="B121" s="151">
        <v>8</v>
      </c>
      <c r="C121" s="151">
        <v>8.5</v>
      </c>
      <c r="D121" s="151">
        <f t="shared" si="13"/>
        <v>0.5</v>
      </c>
      <c r="E121" s="151">
        <v>8</v>
      </c>
      <c r="F121" s="151">
        <v>8.25</v>
      </c>
      <c r="G121" s="152">
        <f t="shared" si="14"/>
        <v>0.25</v>
      </c>
      <c r="H121" s="153">
        <v>12816</v>
      </c>
      <c r="I121" s="156">
        <v>10801</v>
      </c>
      <c r="J121" s="155">
        <f t="shared" si="15"/>
        <v>-2015</v>
      </c>
    </row>
    <row r="122" spans="1:10" ht="13.5" thickBot="1">
      <c r="A122" s="157" t="s">
        <v>168</v>
      </c>
      <c r="B122" s="158">
        <v>32.59</v>
      </c>
      <c r="C122" s="158">
        <f>SUM(C111:C121)</f>
        <v>35.98</v>
      </c>
      <c r="D122" s="158">
        <f t="shared" si="13"/>
        <v>3.3899999999999935</v>
      </c>
      <c r="E122" s="158">
        <f>SUM(E111:E121)</f>
        <v>31.5</v>
      </c>
      <c r="F122" s="158">
        <f>SUM(F111:F121)</f>
        <v>38.5</v>
      </c>
      <c r="G122" s="159">
        <f t="shared" si="14"/>
        <v>7</v>
      </c>
      <c r="H122" s="160">
        <v>17559</v>
      </c>
      <c r="I122" s="161">
        <v>17732</v>
      </c>
      <c r="J122" s="162">
        <f t="shared" si="15"/>
        <v>173</v>
      </c>
    </row>
    <row r="123" ht="13.5" thickBot="1"/>
    <row r="124" spans="1:16" ht="12.75">
      <c r="A124" s="829" t="s">
        <v>222</v>
      </c>
      <c r="B124" s="829"/>
      <c r="C124" s="829"/>
      <c r="D124" s="24"/>
      <c r="E124" s="829" t="s">
        <v>223</v>
      </c>
      <c r="F124" s="829"/>
      <c r="G124" s="829"/>
      <c r="H124"/>
      <c r="I124"/>
      <c r="J124"/>
      <c r="K124"/>
      <c r="L124"/>
      <c r="M124"/>
      <c r="N124"/>
      <c r="O124"/>
      <c r="P124"/>
    </row>
    <row r="125" spans="1:16" ht="13.5" thickBot="1">
      <c r="A125" s="130" t="s">
        <v>224</v>
      </c>
      <c r="B125" s="131" t="s">
        <v>225</v>
      </c>
      <c r="C125" s="132" t="s">
        <v>210</v>
      </c>
      <c r="D125" s="24"/>
      <c r="E125" s="130"/>
      <c r="F125" s="832" t="s">
        <v>226</v>
      </c>
      <c r="G125" s="832"/>
      <c r="H125"/>
      <c r="I125"/>
      <c r="J125"/>
      <c r="K125"/>
      <c r="L125"/>
      <c r="M125"/>
      <c r="N125"/>
      <c r="O125"/>
      <c r="P125"/>
    </row>
    <row r="126" spans="1:16" ht="12.75">
      <c r="A126" s="137">
        <v>2007</v>
      </c>
      <c r="B126" s="138">
        <v>34</v>
      </c>
      <c r="C126" s="139">
        <v>38.5</v>
      </c>
      <c r="D126" s="24"/>
      <c r="E126" s="137">
        <v>2007</v>
      </c>
      <c r="F126" s="830">
        <v>80</v>
      </c>
      <c r="G126" s="830"/>
      <c r="H126"/>
      <c r="I126"/>
      <c r="J126"/>
      <c r="K126"/>
      <c r="L126"/>
      <c r="M126"/>
      <c r="N126"/>
      <c r="O126"/>
      <c r="P126"/>
    </row>
    <row r="127" spans="1:16" ht="13.5" thickBot="1">
      <c r="A127" s="144">
        <v>2008</v>
      </c>
      <c r="B127" s="145">
        <v>44</v>
      </c>
      <c r="C127" s="146"/>
      <c r="D127" s="24"/>
      <c r="E127" s="144">
        <v>2008</v>
      </c>
      <c r="F127" s="831">
        <v>80</v>
      </c>
      <c r="G127" s="831"/>
      <c r="H127"/>
      <c r="I127"/>
      <c r="J127"/>
      <c r="K127"/>
      <c r="L127"/>
      <c r="M127"/>
      <c r="N127"/>
      <c r="O127"/>
      <c r="P127"/>
    </row>
  </sheetData>
  <mergeCells count="132">
    <mergeCell ref="C75:D75"/>
    <mergeCell ref="F75:G75"/>
    <mergeCell ref="I75:K75"/>
    <mergeCell ref="F76:G76"/>
    <mergeCell ref="C73:D73"/>
    <mergeCell ref="F73:G73"/>
    <mergeCell ref="I73:K73"/>
    <mergeCell ref="C74:D74"/>
    <mergeCell ref="F74:G74"/>
    <mergeCell ref="I74:K74"/>
    <mergeCell ref="C71:D71"/>
    <mergeCell ref="F71:G71"/>
    <mergeCell ref="I71:K71"/>
    <mergeCell ref="C72:D72"/>
    <mergeCell ref="F72:G72"/>
    <mergeCell ref="I72:K72"/>
    <mergeCell ref="A69:E69"/>
    <mergeCell ref="F69:L69"/>
    <mergeCell ref="C70:D70"/>
    <mergeCell ref="F70:G70"/>
    <mergeCell ref="I70:K70"/>
    <mergeCell ref="F127:G127"/>
    <mergeCell ref="A124:C124"/>
    <mergeCell ref="E124:G124"/>
    <mergeCell ref="F125:G125"/>
    <mergeCell ref="F126:G126"/>
    <mergeCell ref="J103:L103"/>
    <mergeCell ref="A109:A110"/>
    <mergeCell ref="B109:D109"/>
    <mergeCell ref="E109:G109"/>
    <mergeCell ref="H109:J109"/>
    <mergeCell ref="L81:M81"/>
    <mergeCell ref="C82:C83"/>
    <mergeCell ref="D82:I82"/>
    <mergeCell ref="A87:A88"/>
    <mergeCell ref="B87:B88"/>
    <mergeCell ref="C87:F87"/>
    <mergeCell ref="G87:G88"/>
    <mergeCell ref="H87:H88"/>
    <mergeCell ref="I87:L87"/>
    <mergeCell ref="A81:A83"/>
    <mergeCell ref="B81:B83"/>
    <mergeCell ref="C81:I81"/>
    <mergeCell ref="J81:J83"/>
    <mergeCell ref="A48:B48"/>
    <mergeCell ref="A66:B66"/>
    <mergeCell ref="D66:F66"/>
    <mergeCell ref="H66:K66"/>
    <mergeCell ref="D50:F50"/>
    <mergeCell ref="A62:B62"/>
    <mergeCell ref="D62:F62"/>
    <mergeCell ref="B39:D39"/>
    <mergeCell ref="H42:K43"/>
    <mergeCell ref="L42:L43"/>
    <mergeCell ref="A54:B54"/>
    <mergeCell ref="D54:F54"/>
    <mergeCell ref="H54:K54"/>
    <mergeCell ref="A42:B43"/>
    <mergeCell ref="C42:C43"/>
    <mergeCell ref="D42:F43"/>
    <mergeCell ref="G42:G43"/>
    <mergeCell ref="A1:N1"/>
    <mergeCell ref="J39:L39"/>
    <mergeCell ref="B40:D40"/>
    <mergeCell ref="E40:G40"/>
    <mergeCell ref="E39:G39"/>
    <mergeCell ref="A3:A6"/>
    <mergeCell ref="B3:N3"/>
    <mergeCell ref="H4:I4"/>
    <mergeCell ref="M4:N4"/>
    <mergeCell ref="B4:D4"/>
    <mergeCell ref="H62:K62"/>
    <mergeCell ref="A63:B63"/>
    <mergeCell ref="D63:F63"/>
    <mergeCell ref="H63:K63"/>
    <mergeCell ref="H64:K64"/>
    <mergeCell ref="A65:B65"/>
    <mergeCell ref="D65:F65"/>
    <mergeCell ref="H65:K65"/>
    <mergeCell ref="A64:B64"/>
    <mergeCell ref="D64:F64"/>
    <mergeCell ref="A60:B60"/>
    <mergeCell ref="D60:F60"/>
    <mergeCell ref="H60:K60"/>
    <mergeCell ref="A61:B61"/>
    <mergeCell ref="D61:F61"/>
    <mergeCell ref="H61:K61"/>
    <mergeCell ref="A58:B58"/>
    <mergeCell ref="D58:F58"/>
    <mergeCell ref="H58:K58"/>
    <mergeCell ref="A59:B59"/>
    <mergeCell ref="D59:F59"/>
    <mergeCell ref="H59:K59"/>
    <mergeCell ref="H56:K57"/>
    <mergeCell ref="L56:L57"/>
    <mergeCell ref="A53:B53"/>
    <mergeCell ref="D53:F53"/>
    <mergeCell ref="H53:K53"/>
    <mergeCell ref="A56:B57"/>
    <mergeCell ref="C56:C57"/>
    <mergeCell ref="D56:F57"/>
    <mergeCell ref="G56:G57"/>
    <mergeCell ref="A52:B52"/>
    <mergeCell ref="D52:F52"/>
    <mergeCell ref="H52:K52"/>
    <mergeCell ref="H51:K51"/>
    <mergeCell ref="A51:B51"/>
    <mergeCell ref="D51:F51"/>
    <mergeCell ref="A47:B47"/>
    <mergeCell ref="D47:F47"/>
    <mergeCell ref="H47:K47"/>
    <mergeCell ref="H50:K50"/>
    <mergeCell ref="H48:K48"/>
    <mergeCell ref="H49:K49"/>
    <mergeCell ref="D48:F48"/>
    <mergeCell ref="D49:F49"/>
    <mergeCell ref="A49:B49"/>
    <mergeCell ref="A50:B50"/>
    <mergeCell ref="H45:K45"/>
    <mergeCell ref="A46:B46"/>
    <mergeCell ref="D46:F46"/>
    <mergeCell ref="H46:K46"/>
    <mergeCell ref="E4:G4"/>
    <mergeCell ref="J4:L4"/>
    <mergeCell ref="A103:A104"/>
    <mergeCell ref="B103:B104"/>
    <mergeCell ref="C103:H103"/>
    <mergeCell ref="A44:B44"/>
    <mergeCell ref="D44:F44"/>
    <mergeCell ref="H44:K44"/>
    <mergeCell ref="A45:B45"/>
    <mergeCell ref="D45:F45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8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21"/>
  <sheetViews>
    <sheetView view="pageBreakPreview" zoomScaleSheetLayoutView="100" workbookViewId="0" topLeftCell="A1">
      <selection activeCell="J12" sqref="J12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875"/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307</v>
      </c>
    </row>
    <row r="3" spans="1:14" ht="24" customHeight="1" thickBot="1">
      <c r="A3" s="876" t="s">
        <v>165</v>
      </c>
      <c r="B3" s="792" t="s">
        <v>406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4" ht="14.25" thickBot="1" thickTop="1">
      <c r="A4" s="876"/>
      <c r="B4" s="790" t="s">
        <v>308</v>
      </c>
      <c r="C4" s="790"/>
      <c r="D4" s="790"/>
      <c r="E4" s="790" t="s">
        <v>417</v>
      </c>
      <c r="F4" s="790"/>
      <c r="G4" s="790"/>
      <c r="H4" s="793" t="s">
        <v>309</v>
      </c>
      <c r="I4" s="793"/>
      <c r="J4" s="790" t="s">
        <v>418</v>
      </c>
      <c r="K4" s="790"/>
      <c r="L4" s="790"/>
      <c r="M4" s="790" t="s">
        <v>419</v>
      </c>
      <c r="N4" s="790"/>
    </row>
    <row r="5" spans="1:14" ht="14.25" thickBot="1" thickTop="1">
      <c r="A5" s="876"/>
      <c r="B5" s="66" t="s">
        <v>166</v>
      </c>
      <c r="C5" s="67" t="s">
        <v>167</v>
      </c>
      <c r="D5" s="68" t="s">
        <v>168</v>
      </c>
      <c r="E5" s="66" t="s">
        <v>166</v>
      </c>
      <c r="F5" s="67" t="s">
        <v>167</v>
      </c>
      <c r="G5" s="68" t="s">
        <v>168</v>
      </c>
      <c r="H5" s="69" t="s">
        <v>168</v>
      </c>
      <c r="I5" s="69" t="s">
        <v>169</v>
      </c>
      <c r="J5" s="70" t="s">
        <v>166</v>
      </c>
      <c r="K5" s="67" t="s">
        <v>167</v>
      </c>
      <c r="L5" s="68" t="s">
        <v>168</v>
      </c>
      <c r="M5" s="69" t="s">
        <v>168</v>
      </c>
      <c r="N5" s="68" t="s">
        <v>169</v>
      </c>
    </row>
    <row r="6" spans="1:14" ht="14.25" thickBot="1" thickTop="1">
      <c r="A6" s="791"/>
      <c r="B6" s="183" t="s">
        <v>170</v>
      </c>
      <c r="C6" s="184" t="s">
        <v>170</v>
      </c>
      <c r="D6" s="185"/>
      <c r="E6" s="183" t="s">
        <v>170</v>
      </c>
      <c r="F6" s="184" t="s">
        <v>170</v>
      </c>
      <c r="G6" s="185"/>
      <c r="H6" s="189" t="s">
        <v>171</v>
      </c>
      <c r="I6" s="189" t="s">
        <v>172</v>
      </c>
      <c r="J6" s="197" t="s">
        <v>170</v>
      </c>
      <c r="K6" s="184" t="s">
        <v>170</v>
      </c>
      <c r="L6" s="185"/>
      <c r="M6" s="189" t="s">
        <v>171</v>
      </c>
      <c r="N6" s="185" t="s">
        <v>172</v>
      </c>
    </row>
    <row r="7" spans="1:14" ht="13.5" customHeight="1">
      <c r="A7" s="274" t="s">
        <v>173</v>
      </c>
      <c r="B7" s="163"/>
      <c r="C7" s="164"/>
      <c r="D7" s="167">
        <f aca="true" t="shared" si="0" ref="D7:D18">SUM(B7:C7)</f>
        <v>0</v>
      </c>
      <c r="E7" s="163"/>
      <c r="F7" s="164"/>
      <c r="G7" s="167">
        <f aca="true" t="shared" si="1" ref="G7:G18">SUM(E7:F7)</f>
        <v>0</v>
      </c>
      <c r="H7" s="191">
        <f aca="true" t="shared" si="2" ref="H7:H38">+G7-D7</f>
        <v>0</v>
      </c>
      <c r="I7" s="195"/>
      <c r="J7" s="163"/>
      <c r="K7" s="164"/>
      <c r="L7" s="167">
        <f aca="true" t="shared" si="3" ref="L7:L18">SUM(J7:K7)</f>
        <v>0</v>
      </c>
      <c r="M7" s="191">
        <f aca="true" t="shared" si="4" ref="M7:M38">+L7-G7</f>
        <v>0</v>
      </c>
      <c r="N7" s="192"/>
    </row>
    <row r="8" spans="1:14" ht="13.5" customHeight="1">
      <c r="A8" s="275" t="s">
        <v>174</v>
      </c>
      <c r="B8" s="14">
        <v>7411</v>
      </c>
      <c r="C8" s="13"/>
      <c r="D8" s="168">
        <f t="shared" si="0"/>
        <v>7411</v>
      </c>
      <c r="E8" s="14">
        <v>12253</v>
      </c>
      <c r="F8" s="13"/>
      <c r="G8" s="168">
        <f t="shared" si="1"/>
        <v>12253</v>
      </c>
      <c r="H8" s="193">
        <f t="shared" si="2"/>
        <v>4842</v>
      </c>
      <c r="I8" s="196">
        <f aca="true" t="shared" si="5" ref="I8:I22">+G8/D8</f>
        <v>1.6533531237349886</v>
      </c>
      <c r="J8" s="14">
        <f>13253+808</f>
        <v>14061</v>
      </c>
      <c r="K8" s="13"/>
      <c r="L8" s="168">
        <f t="shared" si="3"/>
        <v>14061</v>
      </c>
      <c r="M8" s="193">
        <f t="shared" si="4"/>
        <v>1808</v>
      </c>
      <c r="N8" s="194">
        <f aca="true" t="shared" si="6" ref="N8:N22">+L8/G8</f>
        <v>1.14755570064474</v>
      </c>
    </row>
    <row r="9" spans="1:14" ht="13.5" customHeight="1">
      <c r="A9" s="275" t="s">
        <v>175</v>
      </c>
      <c r="B9" s="14"/>
      <c r="C9" s="13"/>
      <c r="D9" s="168">
        <f t="shared" si="0"/>
        <v>0</v>
      </c>
      <c r="E9" s="14"/>
      <c r="F9" s="13"/>
      <c r="G9" s="168">
        <f t="shared" si="1"/>
        <v>0</v>
      </c>
      <c r="H9" s="193">
        <f t="shared" si="2"/>
        <v>0</v>
      </c>
      <c r="I9" s="196"/>
      <c r="J9" s="14"/>
      <c r="K9" s="13"/>
      <c r="L9" s="168">
        <f t="shared" si="3"/>
        <v>0</v>
      </c>
      <c r="M9" s="193">
        <f t="shared" si="4"/>
        <v>0</v>
      </c>
      <c r="N9" s="194"/>
    </row>
    <row r="10" spans="1:14" ht="13.5" customHeight="1">
      <c r="A10" s="275" t="s">
        <v>176</v>
      </c>
      <c r="B10" s="14"/>
      <c r="C10" s="13"/>
      <c r="D10" s="168">
        <f t="shared" si="0"/>
        <v>0</v>
      </c>
      <c r="E10" s="14">
        <v>7</v>
      </c>
      <c r="F10" s="13"/>
      <c r="G10" s="168">
        <f t="shared" si="1"/>
        <v>7</v>
      </c>
      <c r="H10" s="193">
        <f t="shared" si="2"/>
        <v>7</v>
      </c>
      <c r="I10" s="196"/>
      <c r="J10" s="14"/>
      <c r="K10" s="13"/>
      <c r="L10" s="168">
        <f t="shared" si="3"/>
        <v>0</v>
      </c>
      <c r="M10" s="193">
        <f t="shared" si="4"/>
        <v>-7</v>
      </c>
      <c r="N10" s="194"/>
    </row>
    <row r="11" spans="1:14" ht="13.5" customHeight="1">
      <c r="A11" s="275" t="s">
        <v>177</v>
      </c>
      <c r="B11" s="14">
        <v>90</v>
      </c>
      <c r="C11" s="13"/>
      <c r="D11" s="168">
        <f t="shared" si="0"/>
        <v>90</v>
      </c>
      <c r="E11" s="14">
        <v>23</v>
      </c>
      <c r="F11" s="13"/>
      <c r="G11" s="168">
        <f t="shared" si="1"/>
        <v>23</v>
      </c>
      <c r="H11" s="193">
        <f t="shared" si="2"/>
        <v>-67</v>
      </c>
      <c r="I11" s="196">
        <f t="shared" si="5"/>
        <v>0.25555555555555554</v>
      </c>
      <c r="J11" s="14">
        <f>358-350</f>
        <v>8</v>
      </c>
      <c r="K11" s="13"/>
      <c r="L11" s="168">
        <f t="shared" si="3"/>
        <v>8</v>
      </c>
      <c r="M11" s="193">
        <f t="shared" si="4"/>
        <v>-15</v>
      </c>
      <c r="N11" s="194">
        <f t="shared" si="6"/>
        <v>0.34782608695652173</v>
      </c>
    </row>
    <row r="12" spans="1:14" ht="13.5" customHeight="1">
      <c r="A12" s="276" t="s">
        <v>178</v>
      </c>
      <c r="B12" s="14">
        <v>11</v>
      </c>
      <c r="C12" s="13"/>
      <c r="D12" s="168">
        <f t="shared" si="0"/>
        <v>11</v>
      </c>
      <c r="E12" s="14">
        <v>7</v>
      </c>
      <c r="F12" s="13"/>
      <c r="G12" s="168">
        <f t="shared" si="1"/>
        <v>7</v>
      </c>
      <c r="H12" s="193">
        <f t="shared" si="2"/>
        <v>-4</v>
      </c>
      <c r="I12" s="196">
        <f t="shared" si="5"/>
        <v>0.6363636363636364</v>
      </c>
      <c r="J12" s="14">
        <f>357-350</f>
        <v>7</v>
      </c>
      <c r="K12" s="13"/>
      <c r="L12" s="168">
        <f t="shared" si="3"/>
        <v>7</v>
      </c>
      <c r="M12" s="193">
        <f t="shared" si="4"/>
        <v>0</v>
      </c>
      <c r="N12" s="194">
        <f t="shared" si="6"/>
        <v>1</v>
      </c>
    </row>
    <row r="13" spans="1:14" ht="13.5" customHeight="1">
      <c r="A13" s="276" t="s">
        <v>179</v>
      </c>
      <c r="B13" s="14"/>
      <c r="C13" s="13"/>
      <c r="D13" s="168">
        <f t="shared" si="0"/>
        <v>0</v>
      </c>
      <c r="E13" s="14"/>
      <c r="F13" s="13"/>
      <c r="G13" s="168">
        <f t="shared" si="1"/>
        <v>0</v>
      </c>
      <c r="H13" s="193">
        <f t="shared" si="2"/>
        <v>0</v>
      </c>
      <c r="I13" s="196"/>
      <c r="J13" s="14"/>
      <c r="K13" s="13"/>
      <c r="L13" s="168">
        <f t="shared" si="3"/>
        <v>0</v>
      </c>
      <c r="M13" s="193">
        <f t="shared" si="4"/>
        <v>0</v>
      </c>
      <c r="N13" s="194"/>
    </row>
    <row r="14" spans="1:14" ht="23.25" customHeight="1">
      <c r="A14" s="276" t="s">
        <v>180</v>
      </c>
      <c r="B14" s="14"/>
      <c r="C14" s="13"/>
      <c r="D14" s="168">
        <f t="shared" si="0"/>
        <v>0</v>
      </c>
      <c r="E14" s="14"/>
      <c r="F14" s="13"/>
      <c r="G14" s="168">
        <f t="shared" si="1"/>
        <v>0</v>
      </c>
      <c r="H14" s="193">
        <f t="shared" si="2"/>
        <v>0</v>
      </c>
      <c r="I14" s="196"/>
      <c r="J14" s="14"/>
      <c r="K14" s="13"/>
      <c r="L14" s="168">
        <f t="shared" si="3"/>
        <v>0</v>
      </c>
      <c r="M14" s="193">
        <f t="shared" si="4"/>
        <v>0</v>
      </c>
      <c r="N14" s="194"/>
    </row>
    <row r="15" spans="1:14" ht="13.5" customHeight="1">
      <c r="A15" s="275" t="s">
        <v>181</v>
      </c>
      <c r="B15" s="14">
        <f>SUM(B16:B18)</f>
        <v>14535.6</v>
      </c>
      <c r="C15" s="13"/>
      <c r="D15" s="168">
        <f t="shared" si="0"/>
        <v>14535.6</v>
      </c>
      <c r="E15" s="14">
        <f>SUM(E16:E18)</f>
        <v>13290</v>
      </c>
      <c r="F15" s="13"/>
      <c r="G15" s="168">
        <f t="shared" si="1"/>
        <v>13290</v>
      </c>
      <c r="H15" s="193">
        <f t="shared" si="2"/>
        <v>-1245.6000000000004</v>
      </c>
      <c r="I15" s="196">
        <f t="shared" si="5"/>
        <v>0.9143069429538512</v>
      </c>
      <c r="J15" s="15">
        <f>SUM(J16:J17)</f>
        <v>8800</v>
      </c>
      <c r="K15" s="279"/>
      <c r="L15" s="168">
        <f t="shared" si="3"/>
        <v>8800</v>
      </c>
      <c r="M15" s="193">
        <f t="shared" si="4"/>
        <v>-4490</v>
      </c>
      <c r="N15" s="194">
        <f t="shared" si="6"/>
        <v>0.6621519939804364</v>
      </c>
    </row>
    <row r="16" spans="1:14" ht="13.5" customHeight="1">
      <c r="A16" s="277" t="s">
        <v>310</v>
      </c>
      <c r="B16" s="14">
        <f>3060+11454</f>
        <v>14514</v>
      </c>
      <c r="C16" s="13"/>
      <c r="D16" s="168">
        <f>B16</f>
        <v>14514</v>
      </c>
      <c r="E16" s="14">
        <v>2819</v>
      </c>
      <c r="F16" s="13"/>
      <c r="G16" s="168">
        <f t="shared" si="1"/>
        <v>2819</v>
      </c>
      <c r="H16" s="193">
        <f t="shared" si="2"/>
        <v>-11695</v>
      </c>
      <c r="I16" s="196">
        <f t="shared" si="5"/>
        <v>0.19422626429654127</v>
      </c>
      <c r="J16" s="15">
        <v>562</v>
      </c>
      <c r="K16" s="13"/>
      <c r="L16" s="168">
        <f t="shared" si="3"/>
        <v>562</v>
      </c>
      <c r="M16" s="193">
        <f t="shared" si="4"/>
        <v>-2257</v>
      </c>
      <c r="N16" s="194">
        <f t="shared" si="6"/>
        <v>0.19936147570060306</v>
      </c>
    </row>
    <row r="17" spans="1:14" ht="13.5" customHeight="1">
      <c r="A17" s="277" t="s">
        <v>311</v>
      </c>
      <c r="B17" s="14"/>
      <c r="C17" s="13"/>
      <c r="D17" s="168"/>
      <c r="E17" s="14">
        <v>10471</v>
      </c>
      <c r="F17" s="13"/>
      <c r="G17" s="168">
        <f t="shared" si="1"/>
        <v>10471</v>
      </c>
      <c r="H17" s="193">
        <f t="shared" si="2"/>
        <v>10471</v>
      </c>
      <c r="I17" s="196"/>
      <c r="J17" s="15">
        <v>8238</v>
      </c>
      <c r="K17" s="13"/>
      <c r="L17" s="168">
        <f t="shared" si="3"/>
        <v>8238</v>
      </c>
      <c r="M17" s="193">
        <f t="shared" si="4"/>
        <v>-2233</v>
      </c>
      <c r="N17" s="194">
        <f t="shared" si="6"/>
        <v>0.7867443415146596</v>
      </c>
    </row>
    <row r="18" spans="1:14" ht="13.5" customHeight="1" thickBot="1">
      <c r="A18" s="278" t="s">
        <v>416</v>
      </c>
      <c r="B18" s="165">
        <v>21.6</v>
      </c>
      <c r="C18" s="166"/>
      <c r="D18" s="168">
        <f t="shared" si="0"/>
        <v>21.6</v>
      </c>
      <c r="E18" s="165">
        <v>0</v>
      </c>
      <c r="F18" s="166"/>
      <c r="G18" s="168">
        <f t="shared" si="1"/>
        <v>0</v>
      </c>
      <c r="H18" s="271"/>
      <c r="I18" s="273"/>
      <c r="J18" s="169"/>
      <c r="K18" s="166"/>
      <c r="L18" s="168">
        <f t="shared" si="3"/>
        <v>0</v>
      </c>
      <c r="M18" s="271"/>
      <c r="N18" s="272"/>
    </row>
    <row r="19" spans="1:14" ht="13.5" customHeight="1" thickBot="1">
      <c r="A19" s="182" t="s">
        <v>182</v>
      </c>
      <c r="B19" s="186">
        <f aca="true" t="shared" si="7" ref="B19:G19">SUM(B7+B8+B9+B10+B11+B13+B15)</f>
        <v>22036.6</v>
      </c>
      <c r="C19" s="187">
        <f t="shared" si="7"/>
        <v>0</v>
      </c>
      <c r="D19" s="188">
        <f t="shared" si="7"/>
        <v>22036.6</v>
      </c>
      <c r="E19" s="186">
        <f t="shared" si="7"/>
        <v>25573</v>
      </c>
      <c r="F19" s="187">
        <f t="shared" si="7"/>
        <v>0</v>
      </c>
      <c r="G19" s="188">
        <f t="shared" si="7"/>
        <v>25573</v>
      </c>
      <c r="H19" s="190">
        <f t="shared" si="2"/>
        <v>3536.4000000000015</v>
      </c>
      <c r="I19" s="108">
        <f t="shared" si="5"/>
        <v>1.1604784767160088</v>
      </c>
      <c r="J19" s="198">
        <f>SUM(J7+J8+J9+J10+J11+J13+J15)</f>
        <v>22869</v>
      </c>
      <c r="K19" s="187">
        <f>SUM(K7+K8+K9+K10+K11+K13+K15)</f>
        <v>0</v>
      </c>
      <c r="L19" s="188">
        <f>SUM(L7+L8+L9+L10+L11+L13+L15)</f>
        <v>22869</v>
      </c>
      <c r="M19" s="190">
        <f t="shared" si="4"/>
        <v>-2704</v>
      </c>
      <c r="N19" s="199">
        <f t="shared" si="6"/>
        <v>0.8942634810151332</v>
      </c>
    </row>
    <row r="20" spans="1:14" ht="13.5" customHeight="1">
      <c r="A20" s="96" t="s">
        <v>183</v>
      </c>
      <c r="B20" s="71">
        <v>4011</v>
      </c>
      <c r="C20" s="72"/>
      <c r="D20" s="73">
        <f aca="true" t="shared" si="8" ref="D20:D37">SUM(B20:C20)</f>
        <v>4011</v>
      </c>
      <c r="E20" s="71">
        <v>3807</v>
      </c>
      <c r="F20" s="72"/>
      <c r="G20" s="97">
        <f aca="true" t="shared" si="9" ref="G20:G37">SUM(E20:F20)</f>
        <v>3807</v>
      </c>
      <c r="H20" s="98">
        <f t="shared" si="2"/>
        <v>-204</v>
      </c>
      <c r="I20" s="99">
        <f t="shared" si="5"/>
        <v>0.9491398653702319</v>
      </c>
      <c r="J20" s="76">
        <v>3565</v>
      </c>
      <c r="K20" s="72"/>
      <c r="L20" s="100">
        <f aca="true" t="shared" si="10" ref="L20:L37">SUM(J20:K20)</f>
        <v>3565</v>
      </c>
      <c r="M20" s="98">
        <f t="shared" si="4"/>
        <v>-242</v>
      </c>
      <c r="N20" s="101">
        <f t="shared" si="6"/>
        <v>0.9364328867874967</v>
      </c>
    </row>
    <row r="21" spans="1:14" ht="21" customHeight="1">
      <c r="A21" s="82" t="s">
        <v>184</v>
      </c>
      <c r="B21" s="71">
        <v>726</v>
      </c>
      <c r="C21" s="72"/>
      <c r="D21" s="73">
        <f t="shared" si="8"/>
        <v>726</v>
      </c>
      <c r="E21" s="71">
        <v>473</v>
      </c>
      <c r="F21" s="72"/>
      <c r="G21" s="97">
        <f t="shared" si="9"/>
        <v>473</v>
      </c>
      <c r="H21" s="74">
        <f t="shared" si="2"/>
        <v>-253</v>
      </c>
      <c r="I21" s="75">
        <f t="shared" si="5"/>
        <v>0.6515151515151515</v>
      </c>
      <c r="J21" s="76">
        <v>250</v>
      </c>
      <c r="K21" s="72"/>
      <c r="L21" s="100">
        <f t="shared" si="10"/>
        <v>250</v>
      </c>
      <c r="M21" s="74">
        <f t="shared" si="4"/>
        <v>-223</v>
      </c>
      <c r="N21" s="77">
        <f t="shared" si="6"/>
        <v>0.5285412262156448</v>
      </c>
    </row>
    <row r="22" spans="1:14" ht="13.5" customHeight="1">
      <c r="A22" s="78" t="s">
        <v>185</v>
      </c>
      <c r="B22" s="79">
        <v>1388</v>
      </c>
      <c r="C22" s="80"/>
      <c r="D22" s="73">
        <f t="shared" si="8"/>
        <v>1388</v>
      </c>
      <c r="E22" s="79">
        <v>1643</v>
      </c>
      <c r="F22" s="80"/>
      <c r="G22" s="97">
        <f t="shared" si="9"/>
        <v>1643</v>
      </c>
      <c r="H22" s="74">
        <f t="shared" si="2"/>
        <v>255</v>
      </c>
      <c r="I22" s="75">
        <f t="shared" si="5"/>
        <v>1.1837175792507204</v>
      </c>
      <c r="J22" s="81">
        <v>1970</v>
      </c>
      <c r="K22" s="80"/>
      <c r="L22" s="100">
        <f t="shared" si="10"/>
        <v>1970</v>
      </c>
      <c r="M22" s="74">
        <f t="shared" si="4"/>
        <v>327</v>
      </c>
      <c r="N22" s="77">
        <f t="shared" si="6"/>
        <v>1.199026171637249</v>
      </c>
    </row>
    <row r="23" spans="1:14" ht="13.5" customHeight="1">
      <c r="A23" s="82" t="s">
        <v>186</v>
      </c>
      <c r="B23" s="79"/>
      <c r="C23" s="80"/>
      <c r="D23" s="73">
        <f t="shared" si="8"/>
        <v>0</v>
      </c>
      <c r="E23" s="79"/>
      <c r="F23" s="80"/>
      <c r="G23" s="97">
        <f t="shared" si="9"/>
        <v>0</v>
      </c>
      <c r="H23" s="74">
        <f t="shared" si="2"/>
        <v>0</v>
      </c>
      <c r="I23" s="75"/>
      <c r="J23" s="81"/>
      <c r="K23" s="80"/>
      <c r="L23" s="100">
        <f t="shared" si="10"/>
        <v>0</v>
      </c>
      <c r="M23" s="74">
        <f t="shared" si="4"/>
        <v>0</v>
      </c>
      <c r="N23" s="77"/>
    </row>
    <row r="24" spans="1:14" ht="13.5" customHeight="1">
      <c r="A24" s="78" t="s">
        <v>298</v>
      </c>
      <c r="B24" s="79">
        <v>9</v>
      </c>
      <c r="C24" s="80"/>
      <c r="D24" s="73">
        <f t="shared" si="8"/>
        <v>9</v>
      </c>
      <c r="E24" s="79">
        <v>60</v>
      </c>
      <c r="F24" s="80"/>
      <c r="G24" s="97">
        <f t="shared" si="9"/>
        <v>60</v>
      </c>
      <c r="H24" s="74">
        <f t="shared" si="2"/>
        <v>51</v>
      </c>
      <c r="I24" s="75">
        <f aca="true" t="shared" si="11" ref="I24:I38">+G24/D24</f>
        <v>6.666666666666667</v>
      </c>
      <c r="J24" s="81">
        <v>65</v>
      </c>
      <c r="K24" s="80"/>
      <c r="L24" s="100">
        <f t="shared" si="10"/>
        <v>65</v>
      </c>
      <c r="M24" s="74">
        <f t="shared" si="4"/>
        <v>5</v>
      </c>
      <c r="N24" s="77">
        <f aca="true" t="shared" si="12" ref="N24:N38">+L24/G24</f>
        <v>1.0833333333333333</v>
      </c>
    </row>
    <row r="25" spans="1:14" ht="13.5" customHeight="1">
      <c r="A25" s="78" t="s">
        <v>187</v>
      </c>
      <c r="B25" s="81">
        <v>804</v>
      </c>
      <c r="C25" s="80"/>
      <c r="D25" s="73">
        <f t="shared" si="8"/>
        <v>804</v>
      </c>
      <c r="E25" s="81">
        <v>2324</v>
      </c>
      <c r="F25" s="80"/>
      <c r="G25" s="97">
        <f t="shared" si="9"/>
        <v>2324</v>
      </c>
      <c r="H25" s="74">
        <f t="shared" si="2"/>
        <v>1520</v>
      </c>
      <c r="I25" s="75">
        <f t="shared" si="11"/>
        <v>2.890547263681592</v>
      </c>
      <c r="J25" s="81">
        <f>J26+J27</f>
        <v>920</v>
      </c>
      <c r="K25" s="80"/>
      <c r="L25" s="100">
        <f t="shared" si="10"/>
        <v>920</v>
      </c>
      <c r="M25" s="74">
        <f t="shared" si="4"/>
        <v>-1404</v>
      </c>
      <c r="N25" s="77">
        <f t="shared" si="12"/>
        <v>0.3958691910499139</v>
      </c>
    </row>
    <row r="26" spans="1:14" ht="13.5" customHeight="1">
      <c r="A26" s="82" t="s">
        <v>188</v>
      </c>
      <c r="B26" s="79">
        <v>240</v>
      </c>
      <c r="C26" s="80"/>
      <c r="D26" s="73">
        <f t="shared" si="8"/>
        <v>240</v>
      </c>
      <c r="E26" s="79">
        <v>1403</v>
      </c>
      <c r="F26" s="80"/>
      <c r="G26" s="97">
        <f t="shared" si="9"/>
        <v>1403</v>
      </c>
      <c r="H26" s="74">
        <f t="shared" si="2"/>
        <v>1163</v>
      </c>
      <c r="I26" s="75">
        <f t="shared" si="11"/>
        <v>5.845833333333333</v>
      </c>
      <c r="J26" s="102">
        <v>300</v>
      </c>
      <c r="K26" s="80"/>
      <c r="L26" s="100">
        <f t="shared" si="10"/>
        <v>300</v>
      </c>
      <c r="M26" s="74">
        <f t="shared" si="4"/>
        <v>-1103</v>
      </c>
      <c r="N26" s="77">
        <f t="shared" si="12"/>
        <v>0.21382751247327156</v>
      </c>
    </row>
    <row r="27" spans="1:14" ht="13.5" customHeight="1">
      <c r="A27" s="78" t="s">
        <v>189</v>
      </c>
      <c r="B27" s="79">
        <v>554</v>
      </c>
      <c r="C27" s="80"/>
      <c r="D27" s="73">
        <f t="shared" si="8"/>
        <v>554</v>
      </c>
      <c r="E27" s="79">
        <v>912</v>
      </c>
      <c r="F27" s="80"/>
      <c r="G27" s="97">
        <f t="shared" si="9"/>
        <v>912</v>
      </c>
      <c r="H27" s="74">
        <f t="shared" si="2"/>
        <v>358</v>
      </c>
      <c r="I27" s="75">
        <f t="shared" si="11"/>
        <v>1.6462093862815885</v>
      </c>
      <c r="J27" s="102">
        <v>620</v>
      </c>
      <c r="K27" s="80"/>
      <c r="L27" s="100">
        <f t="shared" si="10"/>
        <v>620</v>
      </c>
      <c r="M27" s="74">
        <f t="shared" si="4"/>
        <v>-292</v>
      </c>
      <c r="N27" s="77">
        <f t="shared" si="12"/>
        <v>0.6798245614035088</v>
      </c>
    </row>
    <row r="28" spans="1:14" ht="13.5" customHeight="1">
      <c r="A28" s="103" t="s">
        <v>190</v>
      </c>
      <c r="B28" s="81">
        <v>15059</v>
      </c>
      <c r="C28" s="80"/>
      <c r="D28" s="73">
        <f t="shared" si="8"/>
        <v>15059</v>
      </c>
      <c r="E28" s="81">
        <v>16950</v>
      </c>
      <c r="F28" s="80"/>
      <c r="G28" s="97">
        <f t="shared" si="9"/>
        <v>16950</v>
      </c>
      <c r="H28" s="74">
        <f t="shared" si="2"/>
        <v>1891</v>
      </c>
      <c r="I28" s="75">
        <f t="shared" si="11"/>
        <v>1.1255727471943688</v>
      </c>
      <c r="J28" s="81">
        <v>17425</v>
      </c>
      <c r="K28" s="80"/>
      <c r="L28" s="100">
        <f t="shared" si="10"/>
        <v>17425</v>
      </c>
      <c r="M28" s="74">
        <f t="shared" si="4"/>
        <v>475</v>
      </c>
      <c r="N28" s="77">
        <f t="shared" si="12"/>
        <v>1.028023598820059</v>
      </c>
    </row>
    <row r="29" spans="1:14" ht="13.5" customHeight="1">
      <c r="A29" s="82" t="s">
        <v>191</v>
      </c>
      <c r="B29" s="79">
        <v>11014</v>
      </c>
      <c r="C29" s="80"/>
      <c r="D29" s="73">
        <f t="shared" si="8"/>
        <v>11014</v>
      </c>
      <c r="E29" s="79">
        <v>12391</v>
      </c>
      <c r="F29" s="80"/>
      <c r="G29" s="97">
        <f t="shared" si="9"/>
        <v>12391</v>
      </c>
      <c r="H29" s="74">
        <f t="shared" si="2"/>
        <v>1377</v>
      </c>
      <c r="I29" s="75">
        <f t="shared" si="11"/>
        <v>1.1250226983838751</v>
      </c>
      <c r="J29" s="102">
        <v>12739</v>
      </c>
      <c r="K29" s="104"/>
      <c r="L29" s="100">
        <f t="shared" si="10"/>
        <v>12739</v>
      </c>
      <c r="M29" s="74">
        <f t="shared" si="4"/>
        <v>348</v>
      </c>
      <c r="N29" s="77">
        <f t="shared" si="12"/>
        <v>1.0280849003308854</v>
      </c>
    </row>
    <row r="30" spans="1:14" ht="13.5" customHeight="1">
      <c r="A30" s="103" t="s">
        <v>192</v>
      </c>
      <c r="B30" s="79">
        <v>10809</v>
      </c>
      <c r="C30" s="80"/>
      <c r="D30" s="73">
        <f t="shared" si="8"/>
        <v>10809</v>
      </c>
      <c r="E30" s="79">
        <v>12153</v>
      </c>
      <c r="F30" s="80"/>
      <c r="G30" s="97">
        <f t="shared" si="9"/>
        <v>12153</v>
      </c>
      <c r="H30" s="74">
        <f t="shared" si="2"/>
        <v>1344</v>
      </c>
      <c r="I30" s="75">
        <f t="shared" si="11"/>
        <v>1.1243408270885373</v>
      </c>
      <c r="J30" s="81">
        <v>12518</v>
      </c>
      <c r="K30" s="80"/>
      <c r="L30" s="100">
        <f t="shared" si="10"/>
        <v>12518</v>
      </c>
      <c r="M30" s="74">
        <f t="shared" si="4"/>
        <v>365</v>
      </c>
      <c r="N30" s="77">
        <f t="shared" si="12"/>
        <v>1.0300337365259606</v>
      </c>
    </row>
    <row r="31" spans="1:14" ht="13.5" customHeight="1">
      <c r="A31" s="82" t="s">
        <v>193</v>
      </c>
      <c r="B31" s="79">
        <v>205</v>
      </c>
      <c r="C31" s="80"/>
      <c r="D31" s="73">
        <f t="shared" si="8"/>
        <v>205</v>
      </c>
      <c r="E31" s="79">
        <v>238</v>
      </c>
      <c r="F31" s="80"/>
      <c r="G31" s="97">
        <f t="shared" si="9"/>
        <v>238</v>
      </c>
      <c r="H31" s="74">
        <f t="shared" si="2"/>
        <v>33</v>
      </c>
      <c r="I31" s="75">
        <f t="shared" si="11"/>
        <v>1.1609756097560975</v>
      </c>
      <c r="J31" s="81">
        <v>221</v>
      </c>
      <c r="K31" s="80"/>
      <c r="L31" s="100">
        <f t="shared" si="10"/>
        <v>221</v>
      </c>
      <c r="M31" s="74">
        <f t="shared" si="4"/>
        <v>-17</v>
      </c>
      <c r="N31" s="77">
        <f t="shared" si="12"/>
        <v>0.9285714285714286</v>
      </c>
    </row>
    <row r="32" spans="1:14" ht="13.5" customHeight="1">
      <c r="A32" s="82" t="s">
        <v>194</v>
      </c>
      <c r="B32" s="79">
        <v>4045</v>
      </c>
      <c r="C32" s="80"/>
      <c r="D32" s="73">
        <f t="shared" si="8"/>
        <v>4045</v>
      </c>
      <c r="E32" s="79">
        <v>4559</v>
      </c>
      <c r="F32" s="80"/>
      <c r="G32" s="97">
        <f t="shared" si="9"/>
        <v>4559</v>
      </c>
      <c r="H32" s="74">
        <f t="shared" si="2"/>
        <v>514</v>
      </c>
      <c r="I32" s="75">
        <f t="shared" si="11"/>
        <v>1.127070457354759</v>
      </c>
      <c r="J32" s="81">
        <v>4686</v>
      </c>
      <c r="K32" s="80"/>
      <c r="L32" s="100">
        <f t="shared" si="10"/>
        <v>4686</v>
      </c>
      <c r="M32" s="74">
        <f t="shared" si="4"/>
        <v>127</v>
      </c>
      <c r="N32" s="77">
        <f t="shared" si="12"/>
        <v>1.0278569861811802</v>
      </c>
    </row>
    <row r="33" spans="1:14" ht="13.5" customHeight="1">
      <c r="A33" s="103" t="s">
        <v>195</v>
      </c>
      <c r="B33" s="79"/>
      <c r="C33" s="80"/>
      <c r="D33" s="73">
        <f t="shared" si="8"/>
        <v>0</v>
      </c>
      <c r="E33" s="79"/>
      <c r="F33" s="80"/>
      <c r="G33" s="97">
        <f t="shared" si="9"/>
        <v>0</v>
      </c>
      <c r="H33" s="74">
        <f t="shared" si="2"/>
        <v>0</v>
      </c>
      <c r="I33" s="75" t="e">
        <f t="shared" si="11"/>
        <v>#DIV/0!</v>
      </c>
      <c r="J33" s="81"/>
      <c r="K33" s="80"/>
      <c r="L33" s="100">
        <f t="shared" si="10"/>
        <v>0</v>
      </c>
      <c r="M33" s="74">
        <f t="shared" si="4"/>
        <v>0</v>
      </c>
      <c r="N33" s="77"/>
    </row>
    <row r="34" spans="1:14" ht="13.5" customHeight="1">
      <c r="A34" s="103" t="s">
        <v>196</v>
      </c>
      <c r="B34" s="79">
        <v>243</v>
      </c>
      <c r="C34" s="80"/>
      <c r="D34" s="73">
        <f t="shared" si="8"/>
        <v>243</v>
      </c>
      <c r="E34" s="79">
        <v>198</v>
      </c>
      <c r="F34" s="80"/>
      <c r="G34" s="97">
        <f t="shared" si="9"/>
        <v>198</v>
      </c>
      <c r="H34" s="74">
        <f t="shared" si="2"/>
        <v>-45</v>
      </c>
      <c r="I34" s="75">
        <f t="shared" si="11"/>
        <v>0.8148148148148148</v>
      </c>
      <c r="J34" s="81">
        <v>205</v>
      </c>
      <c r="K34" s="80"/>
      <c r="L34" s="100">
        <f t="shared" si="10"/>
        <v>205</v>
      </c>
      <c r="M34" s="74">
        <f t="shared" si="4"/>
        <v>7</v>
      </c>
      <c r="N34" s="77">
        <f t="shared" si="12"/>
        <v>1.0353535353535352</v>
      </c>
    </row>
    <row r="35" spans="1:14" ht="13.5" customHeight="1">
      <c r="A35" s="82" t="s">
        <v>197</v>
      </c>
      <c r="B35" s="79">
        <v>523</v>
      </c>
      <c r="C35" s="80"/>
      <c r="D35" s="73">
        <f t="shared" si="8"/>
        <v>523</v>
      </c>
      <c r="E35" s="79">
        <v>618</v>
      </c>
      <c r="F35" s="80"/>
      <c r="G35" s="97">
        <f t="shared" si="9"/>
        <v>618</v>
      </c>
      <c r="H35" s="74">
        <f t="shared" si="2"/>
        <v>95</v>
      </c>
      <c r="I35" s="75">
        <f t="shared" si="11"/>
        <v>1.181644359464627</v>
      </c>
      <c r="J35" s="102">
        <v>625</v>
      </c>
      <c r="K35" s="80"/>
      <c r="L35" s="100">
        <f t="shared" si="10"/>
        <v>625</v>
      </c>
      <c r="M35" s="74">
        <f t="shared" si="4"/>
        <v>7</v>
      </c>
      <c r="N35" s="77">
        <f t="shared" si="12"/>
        <v>1.0113268608414239</v>
      </c>
    </row>
    <row r="36" spans="1:14" ht="22.5" customHeight="1">
      <c r="A36" s="82" t="s">
        <v>198</v>
      </c>
      <c r="B36" s="79">
        <v>523</v>
      </c>
      <c r="C36" s="80"/>
      <c r="D36" s="73">
        <f t="shared" si="8"/>
        <v>523</v>
      </c>
      <c r="E36" s="79">
        <v>618</v>
      </c>
      <c r="F36" s="80"/>
      <c r="G36" s="97">
        <f t="shared" si="9"/>
        <v>618</v>
      </c>
      <c r="H36" s="74">
        <f t="shared" si="2"/>
        <v>95</v>
      </c>
      <c r="I36" s="75">
        <f t="shared" si="11"/>
        <v>1.181644359464627</v>
      </c>
      <c r="J36" s="102">
        <v>625</v>
      </c>
      <c r="K36" s="80"/>
      <c r="L36" s="100">
        <f t="shared" si="10"/>
        <v>625</v>
      </c>
      <c r="M36" s="74">
        <f t="shared" si="4"/>
        <v>7</v>
      </c>
      <c r="N36" s="77">
        <f t="shared" si="12"/>
        <v>1.0113268608414239</v>
      </c>
    </row>
    <row r="37" spans="1:14" ht="13.5" customHeight="1" thickBot="1">
      <c r="A37" s="105" t="s">
        <v>199</v>
      </c>
      <c r="B37" s="83"/>
      <c r="C37" s="84"/>
      <c r="D37" s="73">
        <f t="shared" si="8"/>
        <v>0</v>
      </c>
      <c r="E37" s="83"/>
      <c r="F37" s="84"/>
      <c r="G37" s="97">
        <f t="shared" si="9"/>
        <v>0</v>
      </c>
      <c r="H37" s="85">
        <f t="shared" si="2"/>
        <v>0</v>
      </c>
      <c r="I37" s="86"/>
      <c r="J37" s="106"/>
      <c r="K37" s="84"/>
      <c r="L37" s="100">
        <f t="shared" si="10"/>
        <v>0</v>
      </c>
      <c r="M37" s="85">
        <f t="shared" si="4"/>
        <v>0</v>
      </c>
      <c r="N37" s="87"/>
    </row>
    <row r="38" spans="1:14" ht="13.5" customHeight="1" thickBot="1">
      <c r="A38" s="88" t="s">
        <v>200</v>
      </c>
      <c r="B38" s="89">
        <f aca="true" t="shared" si="13" ref="B38:G38">SUM(B20+B22+B23+B24+B25+B28+B33+B34+B35+B37)</f>
        <v>22037</v>
      </c>
      <c r="C38" s="90">
        <f t="shared" si="13"/>
        <v>0</v>
      </c>
      <c r="D38" s="91">
        <f t="shared" si="13"/>
        <v>22037</v>
      </c>
      <c r="E38" s="89">
        <f t="shared" si="13"/>
        <v>25600</v>
      </c>
      <c r="F38" s="90">
        <f t="shared" si="13"/>
        <v>0</v>
      </c>
      <c r="G38" s="91">
        <f t="shared" si="13"/>
        <v>25600</v>
      </c>
      <c r="H38" s="92">
        <f t="shared" si="2"/>
        <v>3563</v>
      </c>
      <c r="I38" s="93">
        <f t="shared" si="11"/>
        <v>1.16168262467668</v>
      </c>
      <c r="J38" s="94">
        <f>SUM(J20+J22+J23+J24+J25+J28+J33+J34+J35+J37)</f>
        <v>24775</v>
      </c>
      <c r="K38" s="90">
        <f>SUM(K20+K22+K23+K24+K25+K28+K33+K34+K35+K37)</f>
        <v>0</v>
      </c>
      <c r="L38" s="91">
        <f>SUM(L20+L22+L23+L24+L25+L28+L33+L34+L35+L37)</f>
        <v>24775</v>
      </c>
      <c r="M38" s="92">
        <f t="shared" si="4"/>
        <v>-825</v>
      </c>
      <c r="N38" s="95">
        <f t="shared" si="12"/>
        <v>0.9677734375</v>
      </c>
    </row>
    <row r="39" spans="1:14" ht="13.5" customHeight="1" thickBot="1">
      <c r="A39" s="88" t="s">
        <v>201</v>
      </c>
      <c r="B39" s="787">
        <f>+D19-D38</f>
        <v>-0.4000000000014552</v>
      </c>
      <c r="C39" s="787"/>
      <c r="D39" s="787"/>
      <c r="E39" s="787">
        <v>-26</v>
      </c>
      <c r="F39" s="787"/>
      <c r="G39" s="787">
        <v>-50784</v>
      </c>
      <c r="H39" s="107"/>
      <c r="I39" s="108"/>
      <c r="J39" s="789">
        <f>+L19-L38</f>
        <v>-1906</v>
      </c>
      <c r="K39" s="789"/>
      <c r="L39" s="789">
        <v>0</v>
      </c>
      <c r="M39" s="92"/>
      <c r="N39" s="95"/>
    </row>
    <row r="40" spans="1:16" ht="20.25" customHeight="1" thickBot="1">
      <c r="A40" s="109" t="s">
        <v>202</v>
      </c>
      <c r="B40" s="787"/>
      <c r="C40" s="787"/>
      <c r="D40" s="787"/>
      <c r="E40" s="787"/>
      <c r="F40" s="787"/>
      <c r="G40" s="787"/>
      <c r="H40"/>
      <c r="I40"/>
      <c r="J40"/>
      <c r="K40"/>
      <c r="L40"/>
      <c r="M40"/>
      <c r="N40"/>
      <c r="O40"/>
      <c r="P40"/>
    </row>
    <row r="41" spans="2:8" ht="14.25" customHeight="1" thickBot="1">
      <c r="B41" s="7"/>
      <c r="C41" s="7"/>
      <c r="D41" s="16"/>
      <c r="E41" s="7"/>
      <c r="F41" s="7"/>
      <c r="G41" s="7"/>
      <c r="H41" s="7"/>
    </row>
    <row r="42" spans="1:16" ht="13.5" thickBot="1">
      <c r="A42" s="805" t="s">
        <v>312</v>
      </c>
      <c r="B42" s="805"/>
      <c r="C42" s="799" t="s">
        <v>203</v>
      </c>
      <c r="D42" s="805" t="s">
        <v>420</v>
      </c>
      <c r="E42" s="805"/>
      <c r="F42" s="805"/>
      <c r="G42" s="799" t="s">
        <v>203</v>
      </c>
      <c r="H42" s="785" t="s">
        <v>421</v>
      </c>
      <c r="I42" s="785"/>
      <c r="J42" s="785"/>
      <c r="K42" s="785"/>
      <c r="L42" s="799" t="s">
        <v>203</v>
      </c>
      <c r="O42"/>
      <c r="P42"/>
    </row>
    <row r="43" spans="1:16" ht="13.5" thickBot="1">
      <c r="A43" s="805"/>
      <c r="B43" s="805"/>
      <c r="C43" s="799"/>
      <c r="D43" s="805"/>
      <c r="E43" s="805"/>
      <c r="F43" s="805"/>
      <c r="G43" s="799"/>
      <c r="H43" s="785"/>
      <c r="I43" s="785"/>
      <c r="J43" s="785"/>
      <c r="K43" s="785"/>
      <c r="L43" s="799"/>
      <c r="O43"/>
      <c r="P43"/>
    </row>
    <row r="44" spans="1:16" ht="12.75">
      <c r="A44" s="794" t="s">
        <v>565</v>
      </c>
      <c r="B44" s="794"/>
      <c r="C44" s="110">
        <v>15</v>
      </c>
      <c r="D44" s="795" t="s">
        <v>565</v>
      </c>
      <c r="E44" s="795"/>
      <c r="F44" s="795"/>
      <c r="G44" s="111">
        <v>26</v>
      </c>
      <c r="H44" s="802"/>
      <c r="I44" s="802"/>
      <c r="J44" s="802"/>
      <c r="K44" s="802"/>
      <c r="L44" s="112"/>
      <c r="O44"/>
      <c r="P44"/>
    </row>
    <row r="45" spans="1:16" ht="12.75">
      <c r="A45" s="797" t="s">
        <v>566</v>
      </c>
      <c r="B45" s="797"/>
      <c r="C45" s="113">
        <v>102</v>
      </c>
      <c r="D45" s="795" t="s">
        <v>351</v>
      </c>
      <c r="E45" s="795"/>
      <c r="F45" s="795"/>
      <c r="G45" s="114">
        <v>51</v>
      </c>
      <c r="H45" s="802" t="s">
        <v>204</v>
      </c>
      <c r="I45" s="802"/>
      <c r="J45" s="802"/>
      <c r="K45" s="802"/>
      <c r="L45" s="112">
        <v>251</v>
      </c>
      <c r="O45"/>
      <c r="P45"/>
    </row>
    <row r="46" spans="1:16" ht="12.75">
      <c r="A46" s="797"/>
      <c r="B46" s="797"/>
      <c r="C46" s="113"/>
      <c r="D46" s="795" t="s">
        <v>567</v>
      </c>
      <c r="E46" s="795"/>
      <c r="F46" s="795"/>
      <c r="G46" s="114">
        <v>575</v>
      </c>
      <c r="H46" s="802"/>
      <c r="I46" s="802"/>
      <c r="J46" s="802"/>
      <c r="K46" s="802"/>
      <c r="L46" s="112"/>
      <c r="O46"/>
      <c r="P46"/>
    </row>
    <row r="47" spans="1:16" ht="12.75">
      <c r="A47" s="797"/>
      <c r="B47" s="797"/>
      <c r="C47" s="115"/>
      <c r="D47" s="797"/>
      <c r="E47" s="797"/>
      <c r="F47" s="797"/>
      <c r="G47" s="116"/>
      <c r="H47" s="776"/>
      <c r="I47" s="776"/>
      <c r="J47" s="776"/>
      <c r="K47" s="776"/>
      <c r="L47" s="112"/>
      <c r="O47"/>
      <c r="P47"/>
    </row>
    <row r="48" spans="1:16" ht="12.75">
      <c r="A48" s="797"/>
      <c r="B48" s="797"/>
      <c r="C48" s="115"/>
      <c r="D48" s="797"/>
      <c r="E48" s="797"/>
      <c r="F48" s="797"/>
      <c r="G48" s="116"/>
      <c r="H48" s="776"/>
      <c r="I48" s="776"/>
      <c r="J48" s="776"/>
      <c r="K48" s="776"/>
      <c r="L48" s="112"/>
      <c r="O48"/>
      <c r="P48"/>
    </row>
    <row r="49" spans="1:16" ht="12.75">
      <c r="A49" s="797"/>
      <c r="B49" s="797"/>
      <c r="C49" s="115"/>
      <c r="D49" s="797"/>
      <c r="E49" s="797"/>
      <c r="F49" s="797"/>
      <c r="G49" s="116"/>
      <c r="H49" s="776"/>
      <c r="I49" s="776"/>
      <c r="J49" s="776"/>
      <c r="K49" s="776"/>
      <c r="L49" s="112"/>
      <c r="O49"/>
      <c r="P49"/>
    </row>
    <row r="50" spans="1:16" ht="13.5" thickBot="1">
      <c r="A50" s="800" t="s">
        <v>568</v>
      </c>
      <c r="B50" s="800"/>
      <c r="C50" s="115">
        <v>208</v>
      </c>
      <c r="D50" s="801" t="s">
        <v>569</v>
      </c>
      <c r="E50" s="801"/>
      <c r="F50" s="801"/>
      <c r="G50" s="116">
        <v>240</v>
      </c>
      <c r="H50" s="802"/>
      <c r="I50" s="802"/>
      <c r="J50" s="802"/>
      <c r="K50" s="802"/>
      <c r="L50" s="112"/>
      <c r="O50"/>
      <c r="P50"/>
    </row>
    <row r="51" spans="1:16" ht="13.5" thickBot="1">
      <c r="A51" s="811"/>
      <c r="B51" s="811"/>
      <c r="C51" s="117">
        <f>SUM(C44:C50)</f>
        <v>325</v>
      </c>
      <c r="D51" s="812" t="s">
        <v>168</v>
      </c>
      <c r="E51" s="812"/>
      <c r="F51" s="812"/>
      <c r="G51" s="117">
        <f>SUM(G44:G50)</f>
        <v>892</v>
      </c>
      <c r="H51" s="778" t="s">
        <v>168</v>
      </c>
      <c r="I51" s="778"/>
      <c r="J51" s="778"/>
      <c r="K51" s="778"/>
      <c r="L51" s="117">
        <f>SUM(L44:L50)</f>
        <v>251</v>
      </c>
      <c r="M51" s="17"/>
      <c r="N51" s="17"/>
      <c r="O51"/>
      <c r="P51"/>
    </row>
    <row r="52" spans="1:16" s="1" customFormat="1" ht="13.5" customHeight="1" thickBot="1">
      <c r="A52" s="18"/>
      <c r="B52" s="5"/>
      <c r="C52" s="5"/>
      <c r="D52" s="5"/>
      <c r="E52" s="5"/>
      <c r="F52" s="5"/>
      <c r="G52" s="5"/>
      <c r="H52" s="6"/>
      <c r="I52" s="3"/>
      <c r="J52" s="3"/>
      <c r="K52" s="3"/>
      <c r="L52" s="3"/>
      <c r="M52" s="3"/>
      <c r="N52" s="3"/>
      <c r="O52" s="3"/>
      <c r="P52" s="3"/>
    </row>
    <row r="53" spans="1:16" ht="13.5" thickBot="1">
      <c r="A53" s="866" t="s">
        <v>429</v>
      </c>
      <c r="B53" s="867"/>
      <c r="C53" s="869" t="s">
        <v>203</v>
      </c>
      <c r="D53" s="806" t="s">
        <v>430</v>
      </c>
      <c r="E53" s="806"/>
      <c r="F53" s="806"/>
      <c r="G53" s="798" t="s">
        <v>203</v>
      </c>
      <c r="H53" s="785" t="s">
        <v>431</v>
      </c>
      <c r="I53" s="785"/>
      <c r="J53" s="785"/>
      <c r="K53" s="785"/>
      <c r="L53" s="799" t="s">
        <v>203</v>
      </c>
      <c r="O53"/>
      <c r="P53"/>
    </row>
    <row r="54" spans="1:16" ht="13.5" thickBot="1">
      <c r="A54" s="868"/>
      <c r="B54" s="805"/>
      <c r="C54" s="870"/>
      <c r="D54" s="806"/>
      <c r="E54" s="806"/>
      <c r="F54" s="806"/>
      <c r="G54" s="798"/>
      <c r="H54" s="785"/>
      <c r="I54" s="785"/>
      <c r="J54" s="785"/>
      <c r="K54" s="785"/>
      <c r="L54" s="799"/>
      <c r="O54"/>
      <c r="P54"/>
    </row>
    <row r="55" spans="1:16" ht="12.75">
      <c r="A55" s="871" t="s">
        <v>275</v>
      </c>
      <c r="B55" s="803"/>
      <c r="C55" s="201">
        <v>54</v>
      </c>
      <c r="D55" s="804" t="s">
        <v>275</v>
      </c>
      <c r="E55" s="804"/>
      <c r="F55" s="804"/>
      <c r="G55" s="118">
        <v>130</v>
      </c>
      <c r="H55" s="802" t="s">
        <v>302</v>
      </c>
      <c r="I55" s="802"/>
      <c r="J55" s="802"/>
      <c r="K55" s="802"/>
      <c r="L55" s="112">
        <v>120</v>
      </c>
      <c r="O55"/>
      <c r="P55"/>
    </row>
    <row r="56" spans="1:16" ht="13.5" customHeight="1">
      <c r="A56" s="872" t="s">
        <v>570</v>
      </c>
      <c r="B56" s="781"/>
      <c r="C56" s="202">
        <v>186</v>
      </c>
      <c r="D56" s="782" t="s">
        <v>282</v>
      </c>
      <c r="E56" s="782"/>
      <c r="F56" s="782"/>
      <c r="G56" s="119">
        <v>190</v>
      </c>
      <c r="H56" s="776" t="s">
        <v>282</v>
      </c>
      <c r="I56" s="776"/>
      <c r="J56" s="776"/>
      <c r="K56" s="776"/>
      <c r="L56" s="120">
        <v>180</v>
      </c>
      <c r="O56"/>
      <c r="P56"/>
    </row>
    <row r="57" spans="1:16" ht="13.5" customHeight="1">
      <c r="A57" s="872" t="s">
        <v>571</v>
      </c>
      <c r="B57" s="781"/>
      <c r="C57" s="202">
        <v>0</v>
      </c>
      <c r="D57" s="782" t="s">
        <v>571</v>
      </c>
      <c r="E57" s="782"/>
      <c r="F57" s="782"/>
      <c r="G57" s="119">
        <v>1083</v>
      </c>
      <c r="H57" s="776"/>
      <c r="I57" s="776"/>
      <c r="J57" s="776"/>
      <c r="K57" s="776"/>
      <c r="L57" s="120"/>
      <c r="O57"/>
      <c r="P57"/>
    </row>
    <row r="58" spans="1:16" ht="13.5" customHeight="1">
      <c r="A58" s="872"/>
      <c r="B58" s="781"/>
      <c r="C58" s="202"/>
      <c r="D58" s="782"/>
      <c r="E58" s="782"/>
      <c r="F58" s="782"/>
      <c r="G58" s="119"/>
      <c r="H58" s="776"/>
      <c r="I58" s="776"/>
      <c r="J58" s="776"/>
      <c r="K58" s="776"/>
      <c r="L58" s="120"/>
      <c r="O58"/>
      <c r="P58"/>
    </row>
    <row r="59" spans="1:16" ht="13.5" customHeight="1">
      <c r="A59" s="872"/>
      <c r="B59" s="781"/>
      <c r="C59" s="203"/>
      <c r="D59" s="782"/>
      <c r="E59" s="782"/>
      <c r="F59" s="782"/>
      <c r="G59" s="121"/>
      <c r="H59" s="776"/>
      <c r="I59" s="776"/>
      <c r="J59" s="776"/>
      <c r="K59" s="776"/>
      <c r="L59" s="122"/>
      <c r="O59"/>
      <c r="P59"/>
    </row>
    <row r="60" spans="1:16" ht="13.5" customHeight="1">
      <c r="A60" s="872"/>
      <c r="B60" s="781"/>
      <c r="C60" s="203"/>
      <c r="D60" s="782"/>
      <c r="E60" s="782"/>
      <c r="F60" s="782"/>
      <c r="G60" s="121"/>
      <c r="H60" s="776"/>
      <c r="I60" s="776"/>
      <c r="J60" s="776"/>
      <c r="K60" s="776"/>
      <c r="L60" s="122"/>
      <c r="O60"/>
      <c r="P60"/>
    </row>
    <row r="61" spans="1:16" ht="13.5" customHeight="1">
      <c r="A61" s="872"/>
      <c r="B61" s="873"/>
      <c r="C61" s="202"/>
      <c r="D61" s="782"/>
      <c r="E61" s="782"/>
      <c r="F61" s="782"/>
      <c r="G61" s="119"/>
      <c r="H61" s="776"/>
      <c r="I61" s="776"/>
      <c r="J61" s="776"/>
      <c r="K61" s="776"/>
      <c r="L61" s="120"/>
      <c r="O61"/>
      <c r="P61"/>
    </row>
    <row r="62" spans="1:16" ht="13.5" thickBot="1">
      <c r="A62" s="874"/>
      <c r="B62" s="780"/>
      <c r="C62" s="204"/>
      <c r="D62" s="783"/>
      <c r="E62" s="783"/>
      <c r="F62" s="783"/>
      <c r="G62" s="123"/>
      <c r="H62" s="777"/>
      <c r="I62" s="777"/>
      <c r="J62" s="777"/>
      <c r="K62" s="777"/>
      <c r="L62" s="124"/>
      <c r="O62"/>
      <c r="P62"/>
    </row>
    <row r="63" spans="1:16" ht="13.5" thickBot="1">
      <c r="A63" s="877" t="s">
        <v>168</v>
      </c>
      <c r="B63" s="878"/>
      <c r="C63" s="205">
        <f>SUM(C55:C62)</f>
        <v>240</v>
      </c>
      <c r="D63" s="784" t="s">
        <v>168</v>
      </c>
      <c r="E63" s="784"/>
      <c r="F63" s="784"/>
      <c r="G63" s="125">
        <f>SUM(G55:G62)</f>
        <v>1403</v>
      </c>
      <c r="H63" s="778" t="s">
        <v>168</v>
      </c>
      <c r="I63" s="778"/>
      <c r="J63" s="778"/>
      <c r="K63" s="778"/>
      <c r="L63" s="117">
        <f>SUM(L55:L62)</f>
        <v>300</v>
      </c>
      <c r="M63" s="17"/>
      <c r="N63" s="17"/>
      <c r="O63"/>
      <c r="P63"/>
    </row>
    <row r="64" spans="1:14" s="1" customFormat="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1" customFormat="1" ht="13.5" thickBo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s="1" customFormat="1" ht="26.25" customHeight="1" thickBot="1">
      <c r="A66" s="833" t="s">
        <v>106</v>
      </c>
      <c r="B66" s="834"/>
      <c r="C66" s="834"/>
      <c r="D66" s="834"/>
      <c r="E66" s="835"/>
      <c r="F66" s="836" t="s">
        <v>107</v>
      </c>
      <c r="G66" s="837"/>
      <c r="H66" s="837"/>
      <c r="I66" s="837"/>
      <c r="J66" s="837"/>
      <c r="K66" s="837"/>
      <c r="L66" s="838"/>
      <c r="M66" s="19"/>
      <c r="N66" s="19"/>
    </row>
    <row r="67" spans="1:14" s="1" customFormat="1" ht="14.25" customHeight="1" thickBot="1">
      <c r="A67" s="397" t="s">
        <v>231</v>
      </c>
      <c r="B67" s="398" t="s">
        <v>96</v>
      </c>
      <c r="C67" s="839" t="s">
        <v>232</v>
      </c>
      <c r="D67" s="839"/>
      <c r="E67" s="399" t="s">
        <v>97</v>
      </c>
      <c r="F67" s="840" t="s">
        <v>231</v>
      </c>
      <c r="G67" s="841"/>
      <c r="H67" s="398" t="s">
        <v>96</v>
      </c>
      <c r="I67" s="839" t="s">
        <v>232</v>
      </c>
      <c r="J67" s="839"/>
      <c r="K67" s="839"/>
      <c r="L67" s="400" t="s">
        <v>97</v>
      </c>
      <c r="M67" s="19"/>
      <c r="N67" s="19"/>
    </row>
    <row r="68" spans="1:14" s="1" customFormat="1" ht="12.75">
      <c r="A68" s="401" t="s">
        <v>98</v>
      </c>
      <c r="B68" s="402">
        <v>269</v>
      </c>
      <c r="C68" s="842" t="s">
        <v>99</v>
      </c>
      <c r="D68" s="842"/>
      <c r="E68" s="403"/>
      <c r="F68" s="843" t="s">
        <v>98</v>
      </c>
      <c r="G68" s="844"/>
      <c r="H68" s="402">
        <v>266</v>
      </c>
      <c r="I68" s="842" t="s">
        <v>99</v>
      </c>
      <c r="J68" s="844"/>
      <c r="K68" s="844"/>
      <c r="L68" s="403"/>
      <c r="M68" s="19"/>
      <c r="N68" s="19"/>
    </row>
    <row r="69" spans="1:14" s="1" customFormat="1" ht="12.75">
      <c r="A69" s="404" t="s">
        <v>100</v>
      </c>
      <c r="B69" s="405"/>
      <c r="C69" s="845" t="s">
        <v>101</v>
      </c>
      <c r="D69" s="845"/>
      <c r="E69" s="406"/>
      <c r="F69" s="846" t="s">
        <v>102</v>
      </c>
      <c r="G69" s="847"/>
      <c r="H69" s="405"/>
      <c r="I69" s="845" t="s">
        <v>122</v>
      </c>
      <c r="J69" s="847"/>
      <c r="K69" s="847"/>
      <c r="L69" s="406">
        <v>26</v>
      </c>
      <c r="M69" s="19"/>
      <c r="N69" s="19"/>
    </row>
    <row r="70" spans="1:14" s="1" customFormat="1" ht="12.75">
      <c r="A70" s="404" t="s">
        <v>103</v>
      </c>
      <c r="B70" s="405">
        <v>4</v>
      </c>
      <c r="C70" s="845" t="s">
        <v>121</v>
      </c>
      <c r="D70" s="845"/>
      <c r="E70" s="406">
        <v>7</v>
      </c>
      <c r="F70" s="845" t="s">
        <v>104</v>
      </c>
      <c r="G70" s="845"/>
      <c r="H70" s="405"/>
      <c r="I70" s="845" t="s">
        <v>121</v>
      </c>
      <c r="J70" s="847"/>
      <c r="K70" s="847"/>
      <c r="L70" s="406">
        <v>7</v>
      </c>
      <c r="M70" s="19"/>
      <c r="N70" s="19"/>
    </row>
    <row r="71" spans="1:14" s="1" customFormat="1" ht="13.5" thickBot="1">
      <c r="A71" s="407"/>
      <c r="B71" s="408"/>
      <c r="C71" s="848"/>
      <c r="D71" s="848"/>
      <c r="E71" s="409"/>
      <c r="F71" s="849" t="s">
        <v>103</v>
      </c>
      <c r="G71" s="850"/>
      <c r="H71" s="408">
        <v>3</v>
      </c>
      <c r="I71" s="848"/>
      <c r="J71" s="850"/>
      <c r="K71" s="850"/>
      <c r="L71" s="409"/>
      <c r="M71" s="19"/>
      <c r="N71" s="19"/>
    </row>
    <row r="72" spans="1:14" s="1" customFormat="1" ht="13.5" thickBot="1">
      <c r="A72" s="410" t="s">
        <v>168</v>
      </c>
      <c r="B72" s="411">
        <f>SUM(B68:B71)</f>
        <v>273</v>
      </c>
      <c r="C72" s="851" t="s">
        <v>168</v>
      </c>
      <c r="D72" s="851"/>
      <c r="E72" s="413">
        <f>SUM(E68:E71)</f>
        <v>7</v>
      </c>
      <c r="F72" s="852" t="s">
        <v>168</v>
      </c>
      <c r="G72" s="853"/>
      <c r="H72" s="412">
        <f>SUM(H68:H71)</f>
        <v>269</v>
      </c>
      <c r="I72" s="851" t="s">
        <v>168</v>
      </c>
      <c r="J72" s="853"/>
      <c r="K72" s="853"/>
      <c r="L72" s="413">
        <f>SUM(L68:L71)</f>
        <v>33</v>
      </c>
      <c r="M72" s="19"/>
      <c r="N72" s="19"/>
    </row>
    <row r="73" spans="1:14" s="1" customFormat="1" ht="13.5" thickBot="1">
      <c r="A73" s="414" t="s">
        <v>105</v>
      </c>
      <c r="B73" s="415">
        <f>B72-E72</f>
        <v>266</v>
      </c>
      <c r="C73" s="19"/>
      <c r="D73" s="19"/>
      <c r="E73" s="19"/>
      <c r="F73" s="854" t="s">
        <v>105</v>
      </c>
      <c r="G73" s="701"/>
      <c r="H73" s="416">
        <f>H72-L72</f>
        <v>236</v>
      </c>
      <c r="I73" s="19"/>
      <c r="J73" s="19"/>
      <c r="K73" s="19"/>
      <c r="L73" s="19"/>
      <c r="M73" s="19"/>
      <c r="N73" s="19"/>
    </row>
    <row r="74" spans="1:14" s="1" customFormat="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2" s="1" customFormat="1" ht="13.5" thickBot="1">
      <c r="A75" s="20"/>
      <c r="B75" s="21"/>
      <c r="C75" s="21"/>
      <c r="D75" s="21"/>
      <c r="E75" s="2"/>
      <c r="F75" s="4"/>
      <c r="G75" s="4"/>
      <c r="H75" s="20"/>
      <c r="I75" s="21"/>
      <c r="J75" s="21" t="s">
        <v>307</v>
      </c>
      <c r="K75" s="21"/>
      <c r="L75" s="2"/>
    </row>
    <row r="76" spans="1:15" s="1" customFormat="1" ht="12.75">
      <c r="A76" s="879" t="s">
        <v>227</v>
      </c>
      <c r="B76" s="882" t="s">
        <v>435</v>
      </c>
      <c r="C76" s="885" t="s">
        <v>436</v>
      </c>
      <c r="D76" s="886"/>
      <c r="E76" s="886"/>
      <c r="F76" s="886"/>
      <c r="G76" s="886"/>
      <c r="H76" s="886"/>
      <c r="I76" s="887"/>
      <c r="J76" s="888" t="s">
        <v>437</v>
      </c>
      <c r="K76" s="7"/>
      <c r="L76" s="864" t="s">
        <v>205</v>
      </c>
      <c r="M76" s="865"/>
      <c r="N76" s="59">
        <v>2006</v>
      </c>
      <c r="O76" s="60">
        <v>2007</v>
      </c>
    </row>
    <row r="77" spans="1:15" s="1" customFormat="1" ht="12.75">
      <c r="A77" s="880"/>
      <c r="B77" s="883"/>
      <c r="C77" s="891" t="s">
        <v>228</v>
      </c>
      <c r="D77" s="893" t="s">
        <v>229</v>
      </c>
      <c r="E77" s="894"/>
      <c r="F77" s="894"/>
      <c r="G77" s="894"/>
      <c r="H77" s="894"/>
      <c r="I77" s="895"/>
      <c r="J77" s="889"/>
      <c r="K77" s="7"/>
      <c r="L77" s="63" t="s">
        <v>273</v>
      </c>
      <c r="M77" s="62"/>
      <c r="N77" s="58"/>
      <c r="O77" s="61"/>
    </row>
    <row r="78" spans="1:15" s="1" customFormat="1" ht="13.5" thickBot="1">
      <c r="A78" s="881"/>
      <c r="B78" s="884"/>
      <c r="C78" s="892"/>
      <c r="D78" s="25">
        <v>1</v>
      </c>
      <c r="E78" s="25">
        <v>2</v>
      </c>
      <c r="F78" s="25">
        <v>3</v>
      </c>
      <c r="G78" s="25">
        <v>4</v>
      </c>
      <c r="H78" s="25">
        <v>5</v>
      </c>
      <c r="I78" s="56">
        <v>6</v>
      </c>
      <c r="J78" s="890"/>
      <c r="K78" s="7"/>
      <c r="L78" s="62" t="s">
        <v>206</v>
      </c>
      <c r="M78" s="63"/>
      <c r="N78" s="22">
        <v>0</v>
      </c>
      <c r="O78" s="23">
        <v>0</v>
      </c>
    </row>
    <row r="79" spans="1:15" s="1" customFormat="1" ht="13.5" thickBot="1">
      <c r="A79" s="26">
        <v>25644</v>
      </c>
      <c r="B79" s="27">
        <v>7449</v>
      </c>
      <c r="C79" s="54">
        <f>SUM(D79:I79)</f>
        <v>625</v>
      </c>
      <c r="D79" s="55">
        <v>281</v>
      </c>
      <c r="E79" s="55">
        <v>78</v>
      </c>
      <c r="F79" s="55">
        <v>15</v>
      </c>
      <c r="G79" s="55">
        <v>93</v>
      </c>
      <c r="H79" s="54">
        <v>158</v>
      </c>
      <c r="I79" s="57"/>
      <c r="J79" s="28">
        <v>17570</v>
      </c>
      <c r="K79" s="7"/>
      <c r="L79" s="64" t="s">
        <v>207</v>
      </c>
      <c r="M79" s="65"/>
      <c r="N79" s="52">
        <v>0</v>
      </c>
      <c r="O79" s="53">
        <v>0</v>
      </c>
    </row>
    <row r="80" spans="1:12" s="1" customFormat="1" ht="12.75">
      <c r="A80" s="20"/>
      <c r="B80" s="21"/>
      <c r="C80" s="21"/>
      <c r="D80" s="21"/>
      <c r="E80" s="2"/>
      <c r="F80" s="200"/>
      <c r="G80" s="4"/>
      <c r="H80" s="20"/>
      <c r="I80" s="21"/>
      <c r="J80" s="21"/>
      <c r="K80" s="21"/>
      <c r="L80" s="2"/>
    </row>
    <row r="81" spans="1:12" s="1" customFormat="1" ht="13.5" thickBot="1">
      <c r="A81" s="20"/>
      <c r="B81" s="21"/>
      <c r="C81" s="21"/>
      <c r="D81" s="21"/>
      <c r="E81" s="2"/>
      <c r="F81" s="200"/>
      <c r="G81" s="4"/>
      <c r="H81" s="20"/>
      <c r="I81" s="21"/>
      <c r="J81" s="21"/>
      <c r="K81" s="21"/>
      <c r="L81" s="21" t="s">
        <v>307</v>
      </c>
    </row>
    <row r="82" spans="1:12" s="1" customFormat="1" ht="12.75">
      <c r="A82" s="855" t="s">
        <v>255</v>
      </c>
      <c r="B82" s="857" t="s">
        <v>438</v>
      </c>
      <c r="C82" s="859" t="s">
        <v>439</v>
      </c>
      <c r="D82" s="860"/>
      <c r="E82" s="860"/>
      <c r="F82" s="861"/>
      <c r="G82" s="862" t="s">
        <v>440</v>
      </c>
      <c r="H82" s="896" t="s">
        <v>230</v>
      </c>
      <c r="I82" s="898" t="s">
        <v>441</v>
      </c>
      <c r="J82" s="899"/>
      <c r="K82" s="899"/>
      <c r="L82" s="900"/>
    </row>
    <row r="83" spans="1:12" s="1" customFormat="1" ht="18.75" thickBot="1">
      <c r="A83" s="856"/>
      <c r="B83" s="858"/>
      <c r="C83" s="29" t="s">
        <v>321</v>
      </c>
      <c r="D83" s="30" t="s">
        <v>231</v>
      </c>
      <c r="E83" s="30" t="s">
        <v>232</v>
      </c>
      <c r="F83" s="31" t="s">
        <v>322</v>
      </c>
      <c r="G83" s="863"/>
      <c r="H83" s="897"/>
      <c r="I83" s="174" t="s">
        <v>442</v>
      </c>
      <c r="J83" s="175" t="s">
        <v>231</v>
      </c>
      <c r="K83" s="175" t="s">
        <v>232</v>
      </c>
      <c r="L83" s="176" t="s">
        <v>443</v>
      </c>
    </row>
    <row r="84" spans="1:12" s="1" customFormat="1" ht="12.75">
      <c r="A84" s="32" t="s">
        <v>233</v>
      </c>
      <c r="B84" s="33">
        <v>2134</v>
      </c>
      <c r="C84" s="34"/>
      <c r="D84" s="35" t="s">
        <v>234</v>
      </c>
      <c r="E84" s="35" t="s">
        <v>234</v>
      </c>
      <c r="F84" s="207"/>
      <c r="G84" s="37">
        <v>2797</v>
      </c>
      <c r="H84" s="171" t="s">
        <v>234</v>
      </c>
      <c r="I84" s="177" t="s">
        <v>234</v>
      </c>
      <c r="J84" s="178" t="s">
        <v>234</v>
      </c>
      <c r="K84" s="178" t="s">
        <v>234</v>
      </c>
      <c r="L84" s="179" t="s">
        <v>234</v>
      </c>
    </row>
    <row r="85" spans="1:12" s="1" customFormat="1" ht="12.75">
      <c r="A85" s="38" t="s">
        <v>235</v>
      </c>
      <c r="B85" s="39">
        <v>46.58</v>
      </c>
      <c r="C85" s="40">
        <v>46.58</v>
      </c>
      <c r="D85" s="41"/>
      <c r="E85" s="41"/>
      <c r="F85" s="42">
        <f>C85+D85-E85</f>
        <v>46.58</v>
      </c>
      <c r="G85" s="43">
        <v>47</v>
      </c>
      <c r="H85" s="172">
        <f>+G85-F85</f>
        <v>0.4200000000000017</v>
      </c>
      <c r="I85" s="40">
        <v>47</v>
      </c>
      <c r="J85" s="41"/>
      <c r="K85" s="41"/>
      <c r="L85" s="42">
        <f>I85+J85-K85</f>
        <v>47</v>
      </c>
    </row>
    <row r="86" spans="1:12" s="1" customFormat="1" ht="12.75">
      <c r="A86" s="38" t="s">
        <v>236</v>
      </c>
      <c r="B86" s="39">
        <v>269</v>
      </c>
      <c r="C86" s="40">
        <v>269</v>
      </c>
      <c r="D86" s="41">
        <v>3.52</v>
      </c>
      <c r="E86" s="41">
        <v>7</v>
      </c>
      <c r="F86" s="42">
        <f>C86+D86-E86</f>
        <v>265.52</v>
      </c>
      <c r="G86" s="43">
        <v>266</v>
      </c>
      <c r="H86" s="172">
        <f>+G86-F86</f>
        <v>0.4800000000000182</v>
      </c>
      <c r="I86" s="40">
        <v>266</v>
      </c>
      <c r="J86" s="41">
        <v>3</v>
      </c>
      <c r="K86" s="41">
        <v>33</v>
      </c>
      <c r="L86" s="42">
        <f>I86+J86-K86</f>
        <v>236</v>
      </c>
    </row>
    <row r="87" spans="1:12" s="1" customFormat="1" ht="12.75">
      <c r="A87" s="38" t="s">
        <v>256</v>
      </c>
      <c r="B87" s="39">
        <v>440</v>
      </c>
      <c r="C87" s="40">
        <v>440</v>
      </c>
      <c r="D87" s="41">
        <v>1183</v>
      </c>
      <c r="E87" s="41">
        <v>892</v>
      </c>
      <c r="F87" s="42">
        <f>C87+D87-E87</f>
        <v>731</v>
      </c>
      <c r="G87" s="43">
        <v>731</v>
      </c>
      <c r="H87" s="172">
        <f>+G87-F87</f>
        <v>0</v>
      </c>
      <c r="I87" s="180">
        <v>731</v>
      </c>
      <c r="J87" s="170">
        <v>625</v>
      </c>
      <c r="K87" s="170">
        <f>L51</f>
        <v>251</v>
      </c>
      <c r="L87" s="42">
        <f>I87+J87-K87</f>
        <v>1105</v>
      </c>
    </row>
    <row r="88" spans="1:12" s="1" customFormat="1" ht="12.75">
      <c r="A88" s="38" t="s">
        <v>237</v>
      </c>
      <c r="B88" s="39">
        <v>1378</v>
      </c>
      <c r="C88" s="316"/>
      <c r="D88" s="35" t="s">
        <v>234</v>
      </c>
      <c r="E88" s="51" t="s">
        <v>234</v>
      </c>
      <c r="F88" s="42"/>
      <c r="G88" s="43">
        <v>1753</v>
      </c>
      <c r="H88" s="50" t="s">
        <v>234</v>
      </c>
      <c r="I88" s="206"/>
      <c r="J88" s="35"/>
      <c r="K88" s="35"/>
      <c r="L88" s="181">
        <v>0</v>
      </c>
    </row>
    <row r="89" spans="1:12" s="1" customFormat="1" ht="13.5" thickBot="1">
      <c r="A89" s="44" t="s">
        <v>238</v>
      </c>
      <c r="B89" s="45">
        <v>73</v>
      </c>
      <c r="C89" s="46">
        <v>101</v>
      </c>
      <c r="D89" s="47">
        <v>243</v>
      </c>
      <c r="E89" s="47">
        <v>200</v>
      </c>
      <c r="F89" s="48">
        <f>C89+D89-E89</f>
        <v>144</v>
      </c>
      <c r="G89" s="49">
        <v>77</v>
      </c>
      <c r="H89" s="173">
        <f>+G89-F89</f>
        <v>-67</v>
      </c>
      <c r="I89" s="46">
        <v>144</v>
      </c>
      <c r="J89" s="47">
        <v>250</v>
      </c>
      <c r="K89" s="47">
        <v>247</v>
      </c>
      <c r="L89" s="48">
        <f>I89+J89-K89</f>
        <v>147</v>
      </c>
    </row>
    <row r="90" spans="1:12" s="1" customFormat="1" ht="12.75">
      <c r="A90" s="20"/>
      <c r="B90" s="21"/>
      <c r="C90" s="21"/>
      <c r="D90" s="21"/>
      <c r="E90" s="2"/>
      <c r="F90" s="200"/>
      <c r="G90" s="4"/>
      <c r="H90" s="20"/>
      <c r="I90" s="21"/>
      <c r="J90" s="21"/>
      <c r="K90" s="21"/>
      <c r="L90" s="2"/>
    </row>
    <row r="91" spans="1:12" s="1" customFormat="1" ht="12.75">
      <c r="A91" s="20"/>
      <c r="B91" s="21"/>
      <c r="C91" s="21"/>
      <c r="D91" s="21"/>
      <c r="E91" s="2"/>
      <c r="F91" s="200"/>
      <c r="G91" s="4"/>
      <c r="H91" s="20"/>
      <c r="I91" s="21"/>
      <c r="J91" s="21"/>
      <c r="K91" s="21"/>
      <c r="L91" s="2"/>
    </row>
    <row r="92" spans="1:12" s="1" customFormat="1" ht="12.75">
      <c r="A92" s="20"/>
      <c r="B92" s="21"/>
      <c r="C92" s="21"/>
      <c r="D92" s="21"/>
      <c r="E92" s="2"/>
      <c r="F92" s="200"/>
      <c r="G92" s="4"/>
      <c r="H92" s="20"/>
      <c r="I92" s="21"/>
      <c r="J92" s="21"/>
      <c r="K92" s="21"/>
      <c r="L92" s="2"/>
    </row>
    <row r="93" spans="1:12" s="1" customFormat="1" ht="12.75">
      <c r="A93" s="20"/>
      <c r="B93" s="21"/>
      <c r="C93" s="21"/>
      <c r="D93" s="21"/>
      <c r="E93" s="2"/>
      <c r="F93" s="200"/>
      <c r="G93" s="4"/>
      <c r="H93" s="20"/>
      <c r="I93" s="21"/>
      <c r="J93" s="21"/>
      <c r="K93" s="21"/>
      <c r="L93" s="2"/>
    </row>
    <row r="94" spans="1:12" s="1" customFormat="1" ht="12.75">
      <c r="A94" s="20"/>
      <c r="B94" s="21"/>
      <c r="C94" s="21"/>
      <c r="D94" s="21"/>
      <c r="E94" s="2"/>
      <c r="F94" s="200"/>
      <c r="G94" s="4"/>
      <c r="H94" s="20"/>
      <c r="I94" s="21"/>
      <c r="J94" s="21"/>
      <c r="K94" s="21"/>
      <c r="L94" s="2"/>
    </row>
    <row r="95" spans="1:12" s="1" customFormat="1" ht="12.75">
      <c r="A95" s="20"/>
      <c r="B95" s="21"/>
      <c r="C95" s="21"/>
      <c r="D95" s="21"/>
      <c r="E95" s="2"/>
      <c r="F95" s="4"/>
      <c r="G95" s="4"/>
      <c r="H95" s="20"/>
      <c r="I95" s="21"/>
      <c r="J95" s="21"/>
      <c r="K95" s="21"/>
      <c r="L95" s="2"/>
    </row>
    <row r="96" spans="1:12" s="1" customFormat="1" ht="12.75">
      <c r="A96" s="20"/>
      <c r="B96" s="21"/>
      <c r="C96" s="21"/>
      <c r="D96" s="21"/>
      <c r="E96" s="2"/>
      <c r="F96" s="4"/>
      <c r="G96" s="4"/>
      <c r="H96" s="20"/>
      <c r="I96" s="21"/>
      <c r="J96" s="21"/>
      <c r="K96" s="21"/>
      <c r="L96" s="2"/>
    </row>
    <row r="97" spans="8:12" ht="13.5" thickBot="1">
      <c r="H97" s="21" t="s">
        <v>307</v>
      </c>
      <c r="L97" s="21" t="s">
        <v>307</v>
      </c>
    </row>
    <row r="98" spans="1:12" ht="13.5" thickBot="1">
      <c r="A98" s="823" t="s">
        <v>444</v>
      </c>
      <c r="B98" s="824" t="s">
        <v>168</v>
      </c>
      <c r="C98" s="810" t="s">
        <v>239</v>
      </c>
      <c r="D98" s="810"/>
      <c r="E98" s="810"/>
      <c r="F98" s="810"/>
      <c r="G98" s="810"/>
      <c r="H98" s="810"/>
      <c r="I98" s="24"/>
      <c r="J98" s="825" t="s">
        <v>208</v>
      </c>
      <c r="K98" s="825"/>
      <c r="L98" s="825"/>
    </row>
    <row r="99" spans="1:12" ht="13.5" thickBot="1">
      <c r="A99" s="823"/>
      <c r="B99" s="824"/>
      <c r="C99" s="126" t="s">
        <v>240</v>
      </c>
      <c r="D99" s="127" t="s">
        <v>241</v>
      </c>
      <c r="E99" s="127" t="s">
        <v>242</v>
      </c>
      <c r="F99" s="127" t="s">
        <v>243</v>
      </c>
      <c r="G99" s="128" t="s">
        <v>244</v>
      </c>
      <c r="H99" s="129" t="s">
        <v>228</v>
      </c>
      <c r="I99" s="24"/>
      <c r="J99" s="130"/>
      <c r="K99" s="131" t="s">
        <v>209</v>
      </c>
      <c r="L99" s="132" t="s">
        <v>210</v>
      </c>
    </row>
    <row r="100" spans="1:12" ht="12.75">
      <c r="A100" s="133" t="s">
        <v>245</v>
      </c>
      <c r="B100" s="134">
        <v>257.27</v>
      </c>
      <c r="C100" s="135"/>
      <c r="D100" s="135"/>
      <c r="E100" s="135"/>
      <c r="F100" s="135"/>
      <c r="G100" s="134"/>
      <c r="H100" s="136">
        <f>SUM(C100:G100)</f>
        <v>0</v>
      </c>
      <c r="I100" s="24"/>
      <c r="J100" s="137">
        <v>2007</v>
      </c>
      <c r="K100" s="138">
        <v>12153</v>
      </c>
      <c r="L100" s="139">
        <f>+G30</f>
        <v>12153</v>
      </c>
    </row>
    <row r="101" spans="1:12" ht="13.5" thickBot="1">
      <c r="A101" s="140" t="s">
        <v>246</v>
      </c>
      <c r="B101" s="141">
        <v>1866.85</v>
      </c>
      <c r="C101" s="142"/>
      <c r="D101" s="142"/>
      <c r="E101" s="142"/>
      <c r="F101" s="142"/>
      <c r="G101" s="141"/>
      <c r="H101" s="143">
        <f>SUM(C101:G101)</f>
        <v>0</v>
      </c>
      <c r="I101" s="24"/>
      <c r="J101" s="144">
        <v>2008</v>
      </c>
      <c r="K101" s="145">
        <f>L30</f>
        <v>12518</v>
      </c>
      <c r="L101" s="146"/>
    </row>
    <row r="102" ht="12.75" customHeight="1"/>
    <row r="103" ht="13.5" thickBot="1">
      <c r="J103" s="208" t="s">
        <v>323</v>
      </c>
    </row>
    <row r="104" spans="1:10" ht="21" customHeight="1" thickBot="1">
      <c r="A104" s="823" t="s">
        <v>211</v>
      </c>
      <c r="B104" s="826" t="s">
        <v>212</v>
      </c>
      <c r="C104" s="826"/>
      <c r="D104" s="826"/>
      <c r="E104" s="827" t="s">
        <v>274</v>
      </c>
      <c r="F104" s="827"/>
      <c r="G104" s="827"/>
      <c r="H104" s="828" t="s">
        <v>213</v>
      </c>
      <c r="I104" s="828"/>
      <c r="J104" s="828"/>
    </row>
    <row r="105" spans="1:10" ht="12.75">
      <c r="A105" s="823"/>
      <c r="B105" s="147">
        <v>2006</v>
      </c>
      <c r="C105" s="147">
        <v>2007</v>
      </c>
      <c r="D105" s="147" t="s">
        <v>214</v>
      </c>
      <c r="E105" s="147">
        <v>2006</v>
      </c>
      <c r="F105" s="147">
        <v>2007</v>
      </c>
      <c r="G105" s="148" t="s">
        <v>214</v>
      </c>
      <c r="H105" s="149">
        <v>2006</v>
      </c>
      <c r="I105" s="147">
        <v>2007</v>
      </c>
      <c r="J105" s="148" t="s">
        <v>214</v>
      </c>
    </row>
    <row r="106" spans="1:10" ht="18.75">
      <c r="A106" s="150" t="s">
        <v>215</v>
      </c>
      <c r="B106" s="151">
        <v>4.7</v>
      </c>
      <c r="C106" s="151">
        <v>4.9</v>
      </c>
      <c r="D106" s="151">
        <f aca="true" t="shared" si="14" ref="D106:D116">+C106-B106</f>
        <v>0.20000000000000018</v>
      </c>
      <c r="E106" s="151">
        <v>4.7</v>
      </c>
      <c r="F106" s="151">
        <v>5.7</v>
      </c>
      <c r="G106" s="152">
        <f aca="true" t="shared" si="15" ref="G106:G116">+F106-E106</f>
        <v>1</v>
      </c>
      <c r="H106" s="153">
        <v>22680</v>
      </c>
      <c r="I106" s="154">
        <v>23375</v>
      </c>
      <c r="J106" s="155">
        <f aca="true" t="shared" si="16" ref="J106:J116">+I106-H106</f>
        <v>695</v>
      </c>
    </row>
    <row r="107" spans="1:10" ht="12.75">
      <c r="A107" s="150" t="s">
        <v>248</v>
      </c>
      <c r="B107" s="151">
        <v>1.3</v>
      </c>
      <c r="C107" s="151">
        <v>1.1</v>
      </c>
      <c r="D107" s="151">
        <f t="shared" si="14"/>
        <v>-0.19999999999999996</v>
      </c>
      <c r="E107" s="151">
        <v>1</v>
      </c>
      <c r="F107" s="151">
        <v>1</v>
      </c>
      <c r="G107" s="152">
        <f t="shared" si="15"/>
        <v>0</v>
      </c>
      <c r="H107" s="153">
        <v>19150</v>
      </c>
      <c r="I107" s="156">
        <v>23716</v>
      </c>
      <c r="J107" s="155">
        <f t="shared" si="16"/>
        <v>4566</v>
      </c>
    </row>
    <row r="108" spans="1:10" ht="12.75">
      <c r="A108" s="150" t="s">
        <v>216</v>
      </c>
      <c r="B108" s="151">
        <v>4</v>
      </c>
      <c r="C108" s="151">
        <v>3.3</v>
      </c>
      <c r="D108" s="151">
        <f t="shared" si="14"/>
        <v>-0.7000000000000002</v>
      </c>
      <c r="E108" s="151">
        <v>4</v>
      </c>
      <c r="F108" s="151">
        <v>3</v>
      </c>
      <c r="G108" s="152">
        <f t="shared" si="15"/>
        <v>-1</v>
      </c>
      <c r="H108" s="153">
        <v>17670</v>
      </c>
      <c r="I108" s="156">
        <v>19892</v>
      </c>
      <c r="J108" s="155">
        <f t="shared" si="16"/>
        <v>2222</v>
      </c>
    </row>
    <row r="109" spans="1:10" ht="12.75">
      <c r="A109" s="150" t="s">
        <v>217</v>
      </c>
      <c r="B109" s="151"/>
      <c r="C109" s="151"/>
      <c r="D109" s="151">
        <f t="shared" si="14"/>
        <v>0</v>
      </c>
      <c r="E109" s="151"/>
      <c r="F109" s="151"/>
      <c r="G109" s="152">
        <f t="shared" si="15"/>
        <v>0</v>
      </c>
      <c r="H109" s="153"/>
      <c r="I109" s="156"/>
      <c r="J109" s="155">
        <f t="shared" si="16"/>
        <v>0</v>
      </c>
    </row>
    <row r="110" spans="1:10" ht="12.75">
      <c r="A110" s="150" t="s">
        <v>299</v>
      </c>
      <c r="B110" s="151"/>
      <c r="C110" s="151"/>
      <c r="D110" s="151">
        <f t="shared" si="14"/>
        <v>0</v>
      </c>
      <c r="E110" s="151"/>
      <c r="F110" s="151"/>
      <c r="G110" s="152">
        <f t="shared" si="15"/>
        <v>0</v>
      </c>
      <c r="H110" s="153"/>
      <c r="I110" s="156"/>
      <c r="J110" s="155">
        <f t="shared" si="16"/>
        <v>0</v>
      </c>
    </row>
    <row r="111" spans="1:10" ht="12.75">
      <c r="A111" s="150" t="s">
        <v>297</v>
      </c>
      <c r="B111" s="151"/>
      <c r="C111" s="151"/>
      <c r="D111" s="151">
        <f t="shared" si="14"/>
        <v>0</v>
      </c>
      <c r="E111" s="151"/>
      <c r="F111" s="151"/>
      <c r="G111" s="152">
        <f t="shared" si="15"/>
        <v>0</v>
      </c>
      <c r="H111" s="153"/>
      <c r="I111" s="156"/>
      <c r="J111" s="155">
        <f t="shared" si="16"/>
        <v>0</v>
      </c>
    </row>
    <row r="112" spans="1:10" ht="12.75">
      <c r="A112" s="150" t="s">
        <v>325</v>
      </c>
      <c r="B112" s="151">
        <v>6.9</v>
      </c>
      <c r="C112" s="151">
        <v>6.2</v>
      </c>
      <c r="D112" s="151">
        <f t="shared" si="14"/>
        <v>-0.7000000000000002</v>
      </c>
      <c r="E112" s="151">
        <v>7</v>
      </c>
      <c r="F112" s="151">
        <v>6</v>
      </c>
      <c r="G112" s="152">
        <f>+F112-E112</f>
        <v>-1</v>
      </c>
      <c r="H112" s="153">
        <v>11318</v>
      </c>
      <c r="I112" s="156">
        <v>11428</v>
      </c>
      <c r="J112" s="155">
        <f t="shared" si="16"/>
        <v>110</v>
      </c>
    </row>
    <row r="113" spans="1:10" ht="12.75">
      <c r="A113" s="150" t="s">
        <v>219</v>
      </c>
      <c r="B113" s="151">
        <v>37.6</v>
      </c>
      <c r="C113" s="151">
        <v>38.2</v>
      </c>
      <c r="D113" s="151">
        <f t="shared" si="14"/>
        <v>0.6000000000000014</v>
      </c>
      <c r="E113" s="151">
        <v>36.8</v>
      </c>
      <c r="F113" s="151">
        <v>39.8</v>
      </c>
      <c r="G113" s="152">
        <f>+F113-E113</f>
        <v>3</v>
      </c>
      <c r="H113" s="153">
        <v>14597</v>
      </c>
      <c r="I113" s="156">
        <v>17092</v>
      </c>
      <c r="J113" s="155">
        <f t="shared" si="16"/>
        <v>2495</v>
      </c>
    </row>
    <row r="114" spans="1:10" ht="12.75">
      <c r="A114" s="150" t="s">
        <v>220</v>
      </c>
      <c r="B114" s="151">
        <v>1</v>
      </c>
      <c r="C114" s="151">
        <v>1</v>
      </c>
      <c r="D114" s="151">
        <f t="shared" si="14"/>
        <v>0</v>
      </c>
      <c r="E114" s="151">
        <v>1</v>
      </c>
      <c r="F114" s="151">
        <v>1</v>
      </c>
      <c r="G114" s="152">
        <f>+F114-E114</f>
        <v>0</v>
      </c>
      <c r="H114" s="153">
        <v>15321</v>
      </c>
      <c r="I114" s="156">
        <v>17819</v>
      </c>
      <c r="J114" s="155">
        <f t="shared" si="16"/>
        <v>2498</v>
      </c>
    </row>
    <row r="115" spans="1:10" ht="12.75">
      <c r="A115" s="150" t="s">
        <v>221</v>
      </c>
      <c r="B115" s="151">
        <v>4.5</v>
      </c>
      <c r="C115" s="151">
        <v>5.6</v>
      </c>
      <c r="D115" s="151">
        <f t="shared" si="14"/>
        <v>1.0999999999999996</v>
      </c>
      <c r="E115" s="151">
        <v>5</v>
      </c>
      <c r="F115" s="151">
        <v>7.3</v>
      </c>
      <c r="G115" s="152">
        <f t="shared" si="15"/>
        <v>2.3</v>
      </c>
      <c r="H115" s="153">
        <v>12612</v>
      </c>
      <c r="I115" s="156">
        <v>11874</v>
      </c>
      <c r="J115" s="155">
        <f t="shared" si="16"/>
        <v>-738</v>
      </c>
    </row>
    <row r="116" spans="1:10" ht="13.5" thickBot="1">
      <c r="A116" s="157" t="s">
        <v>168</v>
      </c>
      <c r="B116" s="158">
        <v>60</v>
      </c>
      <c r="C116" s="158">
        <v>60.3</v>
      </c>
      <c r="D116" s="158">
        <f t="shared" si="14"/>
        <v>0.29999999999999716</v>
      </c>
      <c r="E116" s="158">
        <v>59.5</v>
      </c>
      <c r="F116" s="158">
        <v>63.8</v>
      </c>
      <c r="G116" s="159">
        <f t="shared" si="15"/>
        <v>4.299999999999997</v>
      </c>
      <c r="H116" s="160">
        <v>15013</v>
      </c>
      <c r="I116" s="161">
        <v>16789</v>
      </c>
      <c r="J116" s="162">
        <f t="shared" si="16"/>
        <v>1776</v>
      </c>
    </row>
    <row r="117" ht="13.5" thickBot="1"/>
    <row r="118" spans="1:16" ht="12.75">
      <c r="A118" s="829" t="s">
        <v>222</v>
      </c>
      <c r="B118" s="829"/>
      <c r="C118" s="829"/>
      <c r="D118" s="24"/>
      <c r="E118" s="829" t="s">
        <v>223</v>
      </c>
      <c r="F118" s="829"/>
      <c r="G118" s="829"/>
      <c r="H118"/>
      <c r="I118"/>
      <c r="J118"/>
      <c r="K118"/>
      <c r="L118"/>
      <c r="M118"/>
      <c r="N118"/>
      <c r="O118"/>
      <c r="P118"/>
    </row>
    <row r="119" spans="1:16" ht="13.5" thickBot="1">
      <c r="A119" s="130" t="s">
        <v>224</v>
      </c>
      <c r="B119" s="131" t="s">
        <v>225</v>
      </c>
      <c r="C119" s="132" t="s">
        <v>210</v>
      </c>
      <c r="D119" s="24"/>
      <c r="E119" s="130"/>
      <c r="F119" s="832" t="s">
        <v>226</v>
      </c>
      <c r="G119" s="832"/>
      <c r="H119"/>
      <c r="I119"/>
      <c r="J119"/>
      <c r="K119"/>
      <c r="L119"/>
      <c r="M119"/>
      <c r="N119"/>
      <c r="O119"/>
      <c r="P119"/>
    </row>
    <row r="120" spans="1:16" ht="12.75">
      <c r="A120" s="137">
        <v>2007</v>
      </c>
      <c r="B120" s="138">
        <v>61</v>
      </c>
      <c r="C120" s="139">
        <v>60.3</v>
      </c>
      <c r="D120" s="24"/>
      <c r="E120" s="137">
        <v>2007</v>
      </c>
      <c r="F120" s="830">
        <v>100</v>
      </c>
      <c r="G120" s="830"/>
      <c r="H120"/>
      <c r="I120"/>
      <c r="J120"/>
      <c r="K120"/>
      <c r="L120"/>
      <c r="M120"/>
      <c r="N120"/>
      <c r="O120"/>
      <c r="P120"/>
    </row>
    <row r="121" spans="1:16" ht="13.5" thickBot="1">
      <c r="A121" s="144">
        <v>2008</v>
      </c>
      <c r="B121" s="145">
        <v>61</v>
      </c>
      <c r="C121" s="146"/>
      <c r="D121" s="24"/>
      <c r="E121" s="144">
        <v>2008</v>
      </c>
      <c r="F121" s="831">
        <v>100</v>
      </c>
      <c r="G121" s="831"/>
      <c r="H121"/>
      <c r="I121"/>
      <c r="J121"/>
      <c r="K121"/>
      <c r="L121"/>
      <c r="M121"/>
      <c r="N121"/>
      <c r="O121"/>
      <c r="P121"/>
    </row>
  </sheetData>
  <mergeCells count="123">
    <mergeCell ref="C72:D72"/>
    <mergeCell ref="F72:G72"/>
    <mergeCell ref="I72:K72"/>
    <mergeCell ref="F73:G73"/>
    <mergeCell ref="C70:D70"/>
    <mergeCell ref="F70:G70"/>
    <mergeCell ref="I70:K70"/>
    <mergeCell ref="C71:D71"/>
    <mergeCell ref="F71:G71"/>
    <mergeCell ref="I71:K71"/>
    <mergeCell ref="C68:D68"/>
    <mergeCell ref="F68:G68"/>
    <mergeCell ref="I68:K68"/>
    <mergeCell ref="C69:D69"/>
    <mergeCell ref="F69:G69"/>
    <mergeCell ref="I69:K69"/>
    <mergeCell ref="A66:E66"/>
    <mergeCell ref="F66:L66"/>
    <mergeCell ref="C67:D67"/>
    <mergeCell ref="F67:G67"/>
    <mergeCell ref="I67:K67"/>
    <mergeCell ref="F121:G121"/>
    <mergeCell ref="A118:C118"/>
    <mergeCell ref="E118:G118"/>
    <mergeCell ref="F119:G119"/>
    <mergeCell ref="F120:G120"/>
    <mergeCell ref="A104:A105"/>
    <mergeCell ref="B104:D104"/>
    <mergeCell ref="E104:G104"/>
    <mergeCell ref="H104:J104"/>
    <mergeCell ref="A82:A83"/>
    <mergeCell ref="B82:B83"/>
    <mergeCell ref="C82:F82"/>
    <mergeCell ref="G82:G83"/>
    <mergeCell ref="A98:A99"/>
    <mergeCell ref="B98:B99"/>
    <mergeCell ref="C98:H98"/>
    <mergeCell ref="J98:L98"/>
    <mergeCell ref="L76:M76"/>
    <mergeCell ref="C77:C78"/>
    <mergeCell ref="D77:I77"/>
    <mergeCell ref="H82:H83"/>
    <mergeCell ref="I82:L82"/>
    <mergeCell ref="L53:L54"/>
    <mergeCell ref="A63:B63"/>
    <mergeCell ref="D63:F63"/>
    <mergeCell ref="H63:K63"/>
    <mergeCell ref="A58:B58"/>
    <mergeCell ref="D58:F58"/>
    <mergeCell ref="H58:K58"/>
    <mergeCell ref="A56:B56"/>
    <mergeCell ref="D56:F56"/>
    <mergeCell ref="H56:K56"/>
    <mergeCell ref="L42:L43"/>
    <mergeCell ref="A51:B51"/>
    <mergeCell ref="D51:F51"/>
    <mergeCell ref="H51:K51"/>
    <mergeCell ref="A45:B45"/>
    <mergeCell ref="D45:F45"/>
    <mergeCell ref="H45:K45"/>
    <mergeCell ref="A46:B46"/>
    <mergeCell ref="D46:F46"/>
    <mergeCell ref="H46:K46"/>
    <mergeCell ref="A1:N1"/>
    <mergeCell ref="J39:L39"/>
    <mergeCell ref="B40:D40"/>
    <mergeCell ref="E40:G40"/>
    <mergeCell ref="B39:D39"/>
    <mergeCell ref="E39:G39"/>
    <mergeCell ref="B4:D4"/>
    <mergeCell ref="E4:G4"/>
    <mergeCell ref="J4:L4"/>
    <mergeCell ref="A3:A6"/>
    <mergeCell ref="A57:B57"/>
    <mergeCell ref="D57:F57"/>
    <mergeCell ref="H57:K57"/>
    <mergeCell ref="A55:B55"/>
    <mergeCell ref="D55:F55"/>
    <mergeCell ref="H55:K55"/>
    <mergeCell ref="A53:B54"/>
    <mergeCell ref="C53:C54"/>
    <mergeCell ref="D53:F54"/>
    <mergeCell ref="G53:G54"/>
    <mergeCell ref="H53:K54"/>
    <mergeCell ref="H50:K50"/>
    <mergeCell ref="H48:K48"/>
    <mergeCell ref="A49:B49"/>
    <mergeCell ref="D49:F49"/>
    <mergeCell ref="H49:K49"/>
    <mergeCell ref="A48:B48"/>
    <mergeCell ref="D48:F48"/>
    <mergeCell ref="A50:B50"/>
    <mergeCell ref="D50:F50"/>
    <mergeCell ref="C42:C43"/>
    <mergeCell ref="D42:F43"/>
    <mergeCell ref="G42:G43"/>
    <mergeCell ref="H42:K43"/>
    <mergeCell ref="B3:N3"/>
    <mergeCell ref="H4:I4"/>
    <mergeCell ref="M4:N4"/>
    <mergeCell ref="A47:B47"/>
    <mergeCell ref="D47:F47"/>
    <mergeCell ref="H47:K47"/>
    <mergeCell ref="A44:B44"/>
    <mergeCell ref="D44:F44"/>
    <mergeCell ref="H44:K44"/>
    <mergeCell ref="A42:B43"/>
    <mergeCell ref="A59:B59"/>
    <mergeCell ref="D59:F59"/>
    <mergeCell ref="H59:K59"/>
    <mergeCell ref="A60:B60"/>
    <mergeCell ref="D60:F60"/>
    <mergeCell ref="H60:K60"/>
    <mergeCell ref="A76:A78"/>
    <mergeCell ref="A61:B61"/>
    <mergeCell ref="D61:F61"/>
    <mergeCell ref="H61:K61"/>
    <mergeCell ref="A62:B62"/>
    <mergeCell ref="D62:F62"/>
    <mergeCell ref="H62:K62"/>
    <mergeCell ref="B76:B78"/>
    <mergeCell ref="C76:I76"/>
    <mergeCell ref="J76:J78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SheetLayoutView="100" workbookViewId="0" topLeftCell="A1">
      <selection activeCell="L62" sqref="L62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875"/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307</v>
      </c>
    </row>
    <row r="3" spans="1:14" ht="24" customHeight="1" thickBot="1">
      <c r="A3" s="876" t="s">
        <v>165</v>
      </c>
      <c r="B3" s="792" t="s">
        <v>409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4" ht="14.25" thickBot="1" thickTop="1">
      <c r="A4" s="876"/>
      <c r="B4" s="790" t="s">
        <v>308</v>
      </c>
      <c r="C4" s="790"/>
      <c r="D4" s="790"/>
      <c r="E4" s="790" t="s">
        <v>417</v>
      </c>
      <c r="F4" s="790"/>
      <c r="G4" s="790"/>
      <c r="H4" s="793" t="s">
        <v>309</v>
      </c>
      <c r="I4" s="793"/>
      <c r="J4" s="790" t="s">
        <v>418</v>
      </c>
      <c r="K4" s="790"/>
      <c r="L4" s="790"/>
      <c r="M4" s="790" t="s">
        <v>419</v>
      </c>
      <c r="N4" s="790"/>
    </row>
    <row r="5" spans="1:14" ht="14.25" thickBot="1" thickTop="1">
      <c r="A5" s="876"/>
      <c r="B5" s="66" t="s">
        <v>166</v>
      </c>
      <c r="C5" s="67" t="s">
        <v>167</v>
      </c>
      <c r="D5" s="68" t="s">
        <v>168</v>
      </c>
      <c r="E5" s="66" t="s">
        <v>166</v>
      </c>
      <c r="F5" s="67" t="s">
        <v>167</v>
      </c>
      <c r="G5" s="68" t="s">
        <v>168</v>
      </c>
      <c r="H5" s="69" t="s">
        <v>168</v>
      </c>
      <c r="I5" s="69" t="s">
        <v>169</v>
      </c>
      <c r="J5" s="70" t="s">
        <v>166</v>
      </c>
      <c r="K5" s="67" t="s">
        <v>167</v>
      </c>
      <c r="L5" s="68" t="s">
        <v>168</v>
      </c>
      <c r="M5" s="69" t="s">
        <v>168</v>
      </c>
      <c r="N5" s="68" t="s">
        <v>169</v>
      </c>
    </row>
    <row r="6" spans="1:14" ht="14.25" thickBot="1" thickTop="1">
      <c r="A6" s="791"/>
      <c r="B6" s="183" t="s">
        <v>170</v>
      </c>
      <c r="C6" s="184" t="s">
        <v>170</v>
      </c>
      <c r="D6" s="185"/>
      <c r="E6" s="183" t="s">
        <v>170</v>
      </c>
      <c r="F6" s="184" t="s">
        <v>170</v>
      </c>
      <c r="G6" s="185"/>
      <c r="H6" s="189" t="s">
        <v>171</v>
      </c>
      <c r="I6" s="189" t="s">
        <v>172</v>
      </c>
      <c r="J6" s="197" t="s">
        <v>170</v>
      </c>
      <c r="K6" s="184" t="s">
        <v>170</v>
      </c>
      <c r="L6" s="185"/>
      <c r="M6" s="189" t="s">
        <v>171</v>
      </c>
      <c r="N6" s="185" t="s">
        <v>172</v>
      </c>
    </row>
    <row r="7" spans="1:14" ht="13.5" customHeight="1">
      <c r="A7" s="274" t="s">
        <v>173</v>
      </c>
      <c r="B7" s="163"/>
      <c r="C7" s="164"/>
      <c r="D7" s="167">
        <f aca="true" t="shared" si="0" ref="D7:D18">SUM(B7:C7)</f>
        <v>0</v>
      </c>
      <c r="E7" s="163"/>
      <c r="F7" s="164"/>
      <c r="G7" s="167">
        <f aca="true" t="shared" si="1" ref="G7:G18">SUM(E7:F7)</f>
        <v>0</v>
      </c>
      <c r="H7" s="191">
        <f aca="true" t="shared" si="2" ref="H7:H38">+G7-D7</f>
        <v>0</v>
      </c>
      <c r="I7" s="195"/>
      <c r="J7" s="163"/>
      <c r="K7" s="164"/>
      <c r="L7" s="167">
        <f aca="true" t="shared" si="3" ref="L7:L18">SUM(J7:K7)</f>
        <v>0</v>
      </c>
      <c r="M7" s="191">
        <f aca="true" t="shared" si="4" ref="M7:M38">+L7-G7</f>
        <v>0</v>
      </c>
      <c r="N7" s="192"/>
    </row>
    <row r="8" spans="1:14" ht="13.5" customHeight="1">
      <c r="A8" s="275" t="s">
        <v>174</v>
      </c>
      <c r="B8" s="14">
        <v>5839</v>
      </c>
      <c r="C8" s="13"/>
      <c r="D8" s="168">
        <f t="shared" si="0"/>
        <v>5839</v>
      </c>
      <c r="E8" s="14">
        <v>8712</v>
      </c>
      <c r="F8" s="13"/>
      <c r="G8" s="168">
        <f t="shared" si="1"/>
        <v>8712</v>
      </c>
      <c r="H8" s="193">
        <f t="shared" si="2"/>
        <v>2873</v>
      </c>
      <c r="I8" s="196">
        <f aca="true" t="shared" si="5" ref="I8:I22">+G8/D8</f>
        <v>1.4920363075869156</v>
      </c>
      <c r="J8" s="14">
        <v>8900</v>
      </c>
      <c r="K8" s="13"/>
      <c r="L8" s="168">
        <f t="shared" si="3"/>
        <v>8900</v>
      </c>
      <c r="M8" s="193">
        <f t="shared" si="4"/>
        <v>188</v>
      </c>
      <c r="N8" s="194">
        <f aca="true" t="shared" si="6" ref="N8:N22">+L8/G8</f>
        <v>1.0215794306703398</v>
      </c>
    </row>
    <row r="9" spans="1:14" ht="13.5" customHeight="1">
      <c r="A9" s="275" t="s">
        <v>175</v>
      </c>
      <c r="B9" s="14"/>
      <c r="C9" s="13"/>
      <c r="D9" s="168">
        <f t="shared" si="0"/>
        <v>0</v>
      </c>
      <c r="E9" s="14"/>
      <c r="F9" s="13"/>
      <c r="G9" s="168">
        <f t="shared" si="1"/>
        <v>0</v>
      </c>
      <c r="H9" s="193">
        <f t="shared" si="2"/>
        <v>0</v>
      </c>
      <c r="I9" s="196"/>
      <c r="J9" s="14"/>
      <c r="K9" s="13"/>
      <c r="L9" s="168">
        <f t="shared" si="3"/>
        <v>0</v>
      </c>
      <c r="M9" s="193">
        <f t="shared" si="4"/>
        <v>0</v>
      </c>
      <c r="N9" s="194"/>
    </row>
    <row r="10" spans="1:14" ht="13.5" customHeight="1">
      <c r="A10" s="275" t="s">
        <v>176</v>
      </c>
      <c r="B10" s="14"/>
      <c r="C10" s="13"/>
      <c r="D10" s="168">
        <f t="shared" si="0"/>
        <v>0</v>
      </c>
      <c r="E10" s="14"/>
      <c r="F10" s="13"/>
      <c r="G10" s="168">
        <f t="shared" si="1"/>
        <v>0</v>
      </c>
      <c r="H10" s="193">
        <f t="shared" si="2"/>
        <v>0</v>
      </c>
      <c r="I10" s="196"/>
      <c r="J10" s="14"/>
      <c r="K10" s="13"/>
      <c r="L10" s="168">
        <f t="shared" si="3"/>
        <v>0</v>
      </c>
      <c r="M10" s="193">
        <f t="shared" si="4"/>
        <v>0</v>
      </c>
      <c r="N10" s="194"/>
    </row>
    <row r="11" spans="1:14" ht="13.5" customHeight="1">
      <c r="A11" s="275" t="s">
        <v>177</v>
      </c>
      <c r="B11" s="14">
        <v>138</v>
      </c>
      <c r="C11" s="13"/>
      <c r="D11" s="168">
        <f t="shared" si="0"/>
        <v>138</v>
      </c>
      <c r="E11" s="14">
        <v>4</v>
      </c>
      <c r="F11" s="13"/>
      <c r="G11" s="168">
        <f t="shared" si="1"/>
        <v>4</v>
      </c>
      <c r="H11" s="193">
        <f t="shared" si="2"/>
        <v>-134</v>
      </c>
      <c r="I11" s="196">
        <f t="shared" si="5"/>
        <v>0.028985507246376812</v>
      </c>
      <c r="J11" s="14">
        <f>5+200</f>
        <v>205</v>
      </c>
      <c r="K11" s="13"/>
      <c r="L11" s="168">
        <f t="shared" si="3"/>
        <v>205</v>
      </c>
      <c r="M11" s="193">
        <f t="shared" si="4"/>
        <v>201</v>
      </c>
      <c r="N11" s="194">
        <f t="shared" si="6"/>
        <v>51.25</v>
      </c>
    </row>
    <row r="12" spans="1:14" ht="13.5" customHeight="1">
      <c r="A12" s="276" t="s">
        <v>178</v>
      </c>
      <c r="B12" s="14">
        <v>133</v>
      </c>
      <c r="C12" s="13"/>
      <c r="D12" s="168">
        <f t="shared" si="0"/>
        <v>133</v>
      </c>
      <c r="E12" s="14"/>
      <c r="F12" s="13"/>
      <c r="G12" s="168">
        <f t="shared" si="1"/>
        <v>0</v>
      </c>
      <c r="H12" s="193">
        <f t="shared" si="2"/>
        <v>-133</v>
      </c>
      <c r="I12" s="196">
        <f t="shared" si="5"/>
        <v>0</v>
      </c>
      <c r="J12" s="14">
        <v>200</v>
      </c>
      <c r="K12" s="13"/>
      <c r="L12" s="168">
        <f t="shared" si="3"/>
        <v>200</v>
      </c>
      <c r="M12" s="193">
        <f t="shared" si="4"/>
        <v>200</v>
      </c>
      <c r="N12" s="194"/>
    </row>
    <row r="13" spans="1:14" ht="13.5" customHeight="1">
      <c r="A13" s="276" t="s">
        <v>179</v>
      </c>
      <c r="B13" s="14"/>
      <c r="C13" s="13"/>
      <c r="D13" s="168">
        <f t="shared" si="0"/>
        <v>0</v>
      </c>
      <c r="E13" s="14"/>
      <c r="F13" s="13"/>
      <c r="G13" s="168">
        <f t="shared" si="1"/>
        <v>0</v>
      </c>
      <c r="H13" s="193">
        <f t="shared" si="2"/>
        <v>0</v>
      </c>
      <c r="I13" s="196"/>
      <c r="J13" s="14"/>
      <c r="K13" s="13"/>
      <c r="L13" s="168">
        <f t="shared" si="3"/>
        <v>0</v>
      </c>
      <c r="M13" s="193">
        <f t="shared" si="4"/>
        <v>0</v>
      </c>
      <c r="N13" s="194"/>
    </row>
    <row r="14" spans="1:14" ht="23.25" customHeight="1">
      <c r="A14" s="276" t="s">
        <v>180</v>
      </c>
      <c r="B14" s="14"/>
      <c r="C14" s="13"/>
      <c r="D14" s="168">
        <f t="shared" si="0"/>
        <v>0</v>
      </c>
      <c r="E14" s="14"/>
      <c r="F14" s="13"/>
      <c r="G14" s="168">
        <f t="shared" si="1"/>
        <v>0</v>
      </c>
      <c r="H14" s="193">
        <f t="shared" si="2"/>
        <v>0</v>
      </c>
      <c r="I14" s="196"/>
      <c r="J14" s="14"/>
      <c r="K14" s="13"/>
      <c r="L14" s="168">
        <f t="shared" si="3"/>
        <v>0</v>
      </c>
      <c r="M14" s="193">
        <f t="shared" si="4"/>
        <v>0</v>
      </c>
      <c r="N14" s="194"/>
    </row>
    <row r="15" spans="1:14" ht="13.5" customHeight="1">
      <c r="A15" s="275" t="s">
        <v>181</v>
      </c>
      <c r="B15" s="14">
        <v>13034</v>
      </c>
      <c r="C15" s="13"/>
      <c r="D15" s="168">
        <f t="shared" si="0"/>
        <v>13034</v>
      </c>
      <c r="E15" s="14">
        <v>16277</v>
      </c>
      <c r="F15" s="13"/>
      <c r="G15" s="168">
        <f t="shared" si="1"/>
        <v>16277</v>
      </c>
      <c r="H15" s="193">
        <f t="shared" si="2"/>
        <v>3243</v>
      </c>
      <c r="I15" s="196">
        <f t="shared" si="5"/>
        <v>1.2488108025164952</v>
      </c>
      <c r="J15" s="15">
        <v>7489</v>
      </c>
      <c r="K15" s="279"/>
      <c r="L15" s="168">
        <f t="shared" si="3"/>
        <v>7489</v>
      </c>
      <c r="M15" s="193">
        <f t="shared" si="4"/>
        <v>-8788</v>
      </c>
      <c r="N15" s="194">
        <f t="shared" si="6"/>
        <v>0.46009706948454876</v>
      </c>
    </row>
    <row r="16" spans="1:14" ht="13.5" customHeight="1">
      <c r="A16" s="277" t="s">
        <v>310</v>
      </c>
      <c r="B16" s="14">
        <v>13034</v>
      </c>
      <c r="C16" s="13"/>
      <c r="D16" s="168">
        <f t="shared" si="0"/>
        <v>13034</v>
      </c>
      <c r="E16" s="14">
        <v>6462</v>
      </c>
      <c r="F16" s="13"/>
      <c r="G16" s="168">
        <f t="shared" si="1"/>
        <v>6462</v>
      </c>
      <c r="H16" s="193">
        <f t="shared" si="2"/>
        <v>-6572</v>
      </c>
      <c r="I16" s="196">
        <f t="shared" si="5"/>
        <v>0.4957802669940157</v>
      </c>
      <c r="J16" s="15">
        <v>433</v>
      </c>
      <c r="K16" s="13"/>
      <c r="L16" s="168">
        <f t="shared" si="3"/>
        <v>433</v>
      </c>
      <c r="M16" s="193">
        <f t="shared" si="4"/>
        <v>-6029</v>
      </c>
      <c r="N16" s="194">
        <f t="shared" si="6"/>
        <v>0.06700711853915196</v>
      </c>
    </row>
    <row r="17" spans="1:14" ht="13.5" customHeight="1">
      <c r="A17" s="277" t="s">
        <v>311</v>
      </c>
      <c r="B17" s="14"/>
      <c r="C17" s="13"/>
      <c r="D17" s="168">
        <f t="shared" si="0"/>
        <v>0</v>
      </c>
      <c r="E17" s="14">
        <v>9815</v>
      </c>
      <c r="F17" s="13"/>
      <c r="G17" s="168">
        <f t="shared" si="1"/>
        <v>9815</v>
      </c>
      <c r="H17" s="193">
        <f t="shared" si="2"/>
        <v>9815</v>
      </c>
      <c r="I17" s="196"/>
      <c r="J17" s="15">
        <v>7056</v>
      </c>
      <c r="K17" s="13"/>
      <c r="L17" s="168">
        <f t="shared" si="3"/>
        <v>7056</v>
      </c>
      <c r="M17" s="193">
        <f t="shared" si="4"/>
        <v>-2759</v>
      </c>
      <c r="N17" s="194">
        <f t="shared" si="6"/>
        <v>0.7188996434029546</v>
      </c>
    </row>
    <row r="18" spans="1:14" ht="13.5" customHeight="1" thickBot="1">
      <c r="A18" s="278" t="s">
        <v>416</v>
      </c>
      <c r="B18" s="165"/>
      <c r="C18" s="166"/>
      <c r="D18" s="168">
        <f t="shared" si="0"/>
        <v>0</v>
      </c>
      <c r="E18" s="165"/>
      <c r="F18" s="166"/>
      <c r="G18" s="168">
        <f t="shared" si="1"/>
        <v>0</v>
      </c>
      <c r="H18" s="271"/>
      <c r="I18" s="273"/>
      <c r="J18" s="169"/>
      <c r="K18" s="166"/>
      <c r="L18" s="168">
        <f t="shared" si="3"/>
        <v>0</v>
      </c>
      <c r="M18" s="271"/>
      <c r="N18" s="272"/>
    </row>
    <row r="19" spans="1:14" ht="13.5" customHeight="1" thickBot="1">
      <c r="A19" s="182" t="s">
        <v>182</v>
      </c>
      <c r="B19" s="186">
        <f aca="true" t="shared" si="7" ref="B19:G19">SUM(B7+B8+B9+B10+B11+B13+B15)</f>
        <v>19011</v>
      </c>
      <c r="C19" s="187">
        <f t="shared" si="7"/>
        <v>0</v>
      </c>
      <c r="D19" s="188">
        <f t="shared" si="7"/>
        <v>19011</v>
      </c>
      <c r="E19" s="186">
        <f t="shared" si="7"/>
        <v>24993</v>
      </c>
      <c r="F19" s="187">
        <f t="shared" si="7"/>
        <v>0</v>
      </c>
      <c r="G19" s="188">
        <f t="shared" si="7"/>
        <v>24993</v>
      </c>
      <c r="H19" s="190">
        <f t="shared" si="2"/>
        <v>5982</v>
      </c>
      <c r="I19" s="108">
        <f t="shared" si="5"/>
        <v>1.3146599337225817</v>
      </c>
      <c r="J19" s="198">
        <f>SUM(J7+J8+J9+J10+J11+J13+J15)</f>
        <v>16594</v>
      </c>
      <c r="K19" s="187">
        <f>SUM(K7+K8+K9+K10+K11+K13+K15)</f>
        <v>0</v>
      </c>
      <c r="L19" s="188">
        <f>SUM(L7+L8+L9+L10+L11+L13+L15)</f>
        <v>16594</v>
      </c>
      <c r="M19" s="190">
        <f t="shared" si="4"/>
        <v>-8399</v>
      </c>
      <c r="N19" s="199">
        <f t="shared" si="6"/>
        <v>0.6639459048533589</v>
      </c>
    </row>
    <row r="20" spans="1:14" ht="13.5" customHeight="1">
      <c r="A20" s="96" t="s">
        <v>183</v>
      </c>
      <c r="B20" s="71">
        <v>3541</v>
      </c>
      <c r="C20" s="72"/>
      <c r="D20" s="73">
        <f aca="true" t="shared" si="8" ref="D20:D37">SUM(B20:C20)</f>
        <v>3541</v>
      </c>
      <c r="E20" s="71">
        <v>3893</v>
      </c>
      <c r="F20" s="72"/>
      <c r="G20" s="97">
        <f aca="true" t="shared" si="9" ref="G20:G37">SUM(E20:F20)</f>
        <v>3893</v>
      </c>
      <c r="H20" s="98">
        <f t="shared" si="2"/>
        <v>352</v>
      </c>
      <c r="I20" s="99">
        <f t="shared" si="5"/>
        <v>1.0994069471900594</v>
      </c>
      <c r="J20" s="76">
        <f>3840-300</f>
        <v>3540</v>
      </c>
      <c r="K20" s="72"/>
      <c r="L20" s="100">
        <f aca="true" t="shared" si="10" ref="L20:L37">SUM(J20:K20)</f>
        <v>3540</v>
      </c>
      <c r="M20" s="98">
        <f t="shared" si="4"/>
        <v>-353</v>
      </c>
      <c r="N20" s="101">
        <f t="shared" si="6"/>
        <v>0.9093244284613409</v>
      </c>
    </row>
    <row r="21" spans="1:14" ht="21" customHeight="1">
      <c r="A21" s="82" t="s">
        <v>184</v>
      </c>
      <c r="B21" s="71">
        <v>665</v>
      </c>
      <c r="C21" s="72"/>
      <c r="D21" s="73">
        <f t="shared" si="8"/>
        <v>665</v>
      </c>
      <c r="E21" s="71">
        <v>956</v>
      </c>
      <c r="F21" s="72"/>
      <c r="G21" s="97">
        <f t="shared" si="9"/>
        <v>956</v>
      </c>
      <c r="H21" s="74">
        <f t="shared" si="2"/>
        <v>291</v>
      </c>
      <c r="I21" s="75">
        <f t="shared" si="5"/>
        <v>1.437593984962406</v>
      </c>
      <c r="J21" s="76">
        <f>600-300</f>
        <v>300</v>
      </c>
      <c r="K21" s="72"/>
      <c r="L21" s="100">
        <f t="shared" si="10"/>
        <v>300</v>
      </c>
      <c r="M21" s="74">
        <f t="shared" si="4"/>
        <v>-656</v>
      </c>
      <c r="N21" s="77">
        <f t="shared" si="6"/>
        <v>0.3138075313807531</v>
      </c>
    </row>
    <row r="22" spans="1:14" ht="13.5" customHeight="1">
      <c r="A22" s="78" t="s">
        <v>185</v>
      </c>
      <c r="B22" s="79">
        <v>1106</v>
      </c>
      <c r="C22" s="80"/>
      <c r="D22" s="73">
        <f t="shared" si="8"/>
        <v>1106</v>
      </c>
      <c r="E22" s="79">
        <v>990</v>
      </c>
      <c r="F22" s="80"/>
      <c r="G22" s="97">
        <f t="shared" si="9"/>
        <v>990</v>
      </c>
      <c r="H22" s="74">
        <f t="shared" si="2"/>
        <v>-116</v>
      </c>
      <c r="I22" s="75">
        <f t="shared" si="5"/>
        <v>0.895117540687161</v>
      </c>
      <c r="J22" s="81">
        <f>1340-200</f>
        <v>1140</v>
      </c>
      <c r="K22" s="80"/>
      <c r="L22" s="100">
        <f t="shared" si="10"/>
        <v>1140</v>
      </c>
      <c r="M22" s="74">
        <f t="shared" si="4"/>
        <v>150</v>
      </c>
      <c r="N22" s="77">
        <f t="shared" si="6"/>
        <v>1.1515151515151516</v>
      </c>
    </row>
    <row r="23" spans="1:14" ht="13.5" customHeight="1">
      <c r="A23" s="82" t="s">
        <v>186</v>
      </c>
      <c r="B23" s="79"/>
      <c r="C23" s="80"/>
      <c r="D23" s="73">
        <f t="shared" si="8"/>
        <v>0</v>
      </c>
      <c r="E23" s="79"/>
      <c r="F23" s="80"/>
      <c r="G23" s="97">
        <f t="shared" si="9"/>
        <v>0</v>
      </c>
      <c r="H23" s="74">
        <f t="shared" si="2"/>
        <v>0</v>
      </c>
      <c r="I23" s="75"/>
      <c r="J23" s="81"/>
      <c r="K23" s="80"/>
      <c r="L23" s="100">
        <f t="shared" si="10"/>
        <v>0</v>
      </c>
      <c r="M23" s="74">
        <f t="shared" si="4"/>
        <v>0</v>
      </c>
      <c r="N23" s="77"/>
    </row>
    <row r="24" spans="1:14" ht="13.5" customHeight="1">
      <c r="A24" s="78" t="s">
        <v>298</v>
      </c>
      <c r="B24" s="79"/>
      <c r="C24" s="80"/>
      <c r="D24" s="73">
        <f t="shared" si="8"/>
        <v>0</v>
      </c>
      <c r="E24" s="79">
        <v>10</v>
      </c>
      <c r="F24" s="80"/>
      <c r="G24" s="97">
        <f t="shared" si="9"/>
        <v>10</v>
      </c>
      <c r="H24" s="74">
        <f t="shared" si="2"/>
        <v>10</v>
      </c>
      <c r="I24" s="75"/>
      <c r="J24" s="81">
        <v>20</v>
      </c>
      <c r="K24" s="80"/>
      <c r="L24" s="100">
        <f t="shared" si="10"/>
        <v>20</v>
      </c>
      <c r="M24" s="74">
        <f t="shared" si="4"/>
        <v>10</v>
      </c>
      <c r="N24" s="77">
        <f aca="true" t="shared" si="11" ref="N24:N38">+L24/G24</f>
        <v>2</v>
      </c>
    </row>
    <row r="25" spans="1:14" ht="13.5" customHeight="1">
      <c r="A25" s="78" t="s">
        <v>187</v>
      </c>
      <c r="B25" s="81">
        <v>2413</v>
      </c>
      <c r="C25" s="80"/>
      <c r="D25" s="73">
        <f t="shared" si="8"/>
        <v>2413</v>
      </c>
      <c r="E25" s="81">
        <v>6910</v>
      </c>
      <c r="F25" s="80"/>
      <c r="G25" s="97">
        <f t="shared" si="9"/>
        <v>6910</v>
      </c>
      <c r="H25" s="74">
        <f t="shared" si="2"/>
        <v>4497</v>
      </c>
      <c r="I25" s="75">
        <f aca="true" t="shared" si="12" ref="I25:I38">+G25/D25</f>
        <v>2.8636552009946126</v>
      </c>
      <c r="J25" s="81">
        <f>2104</f>
        <v>2104</v>
      </c>
      <c r="K25" s="80"/>
      <c r="L25" s="100">
        <f t="shared" si="10"/>
        <v>2104</v>
      </c>
      <c r="M25" s="74">
        <f t="shared" si="4"/>
        <v>-4806</v>
      </c>
      <c r="N25" s="77">
        <f t="shared" si="11"/>
        <v>0.3044862518089725</v>
      </c>
    </row>
    <row r="26" spans="1:14" ht="13.5" customHeight="1">
      <c r="A26" s="82" t="s">
        <v>188</v>
      </c>
      <c r="B26" s="79">
        <v>1549</v>
      </c>
      <c r="C26" s="80"/>
      <c r="D26" s="73">
        <f t="shared" si="8"/>
        <v>1549</v>
      </c>
      <c r="E26" s="79">
        <v>5979</v>
      </c>
      <c r="F26" s="80"/>
      <c r="G26" s="97">
        <f t="shared" si="9"/>
        <v>5979</v>
      </c>
      <c r="H26" s="74">
        <f t="shared" si="2"/>
        <v>4430</v>
      </c>
      <c r="I26" s="75">
        <f t="shared" si="12"/>
        <v>3.8599096191091027</v>
      </c>
      <c r="J26" s="102">
        <f>1000</f>
        <v>1000</v>
      </c>
      <c r="K26" s="80"/>
      <c r="L26" s="100">
        <f t="shared" si="10"/>
        <v>1000</v>
      </c>
      <c r="M26" s="74">
        <f t="shared" si="4"/>
        <v>-4979</v>
      </c>
      <c r="N26" s="77">
        <f t="shared" si="11"/>
        <v>0.16725204883759826</v>
      </c>
    </row>
    <row r="27" spans="1:14" ht="13.5" customHeight="1">
      <c r="A27" s="78" t="s">
        <v>189</v>
      </c>
      <c r="B27" s="79">
        <v>864</v>
      </c>
      <c r="C27" s="80"/>
      <c r="D27" s="73">
        <f t="shared" si="8"/>
        <v>864</v>
      </c>
      <c r="E27" s="79">
        <v>931</v>
      </c>
      <c r="F27" s="80"/>
      <c r="G27" s="97">
        <f t="shared" si="9"/>
        <v>931</v>
      </c>
      <c r="H27" s="74">
        <f t="shared" si="2"/>
        <v>67</v>
      </c>
      <c r="I27" s="75">
        <f t="shared" si="12"/>
        <v>1.0775462962962963</v>
      </c>
      <c r="J27" s="102">
        <v>1104</v>
      </c>
      <c r="K27" s="80"/>
      <c r="L27" s="100">
        <f t="shared" si="10"/>
        <v>1104</v>
      </c>
      <c r="M27" s="74">
        <f t="shared" si="4"/>
        <v>173</v>
      </c>
      <c r="N27" s="77">
        <f t="shared" si="11"/>
        <v>1.1858216970998925</v>
      </c>
    </row>
    <row r="28" spans="1:14" ht="13.5" customHeight="1">
      <c r="A28" s="103" t="s">
        <v>190</v>
      </c>
      <c r="B28" s="81">
        <v>11311</v>
      </c>
      <c r="C28" s="80"/>
      <c r="D28" s="73">
        <f t="shared" si="8"/>
        <v>11311</v>
      </c>
      <c r="E28" s="81">
        <v>12687</v>
      </c>
      <c r="F28" s="80"/>
      <c r="G28" s="97">
        <f t="shared" si="9"/>
        <v>12687</v>
      </c>
      <c r="H28" s="74">
        <f t="shared" si="2"/>
        <v>1376</v>
      </c>
      <c r="I28" s="75">
        <f t="shared" si="12"/>
        <v>1.1216514897002918</v>
      </c>
      <c r="J28" s="81">
        <v>12976</v>
      </c>
      <c r="K28" s="80"/>
      <c r="L28" s="100">
        <f t="shared" si="10"/>
        <v>12976</v>
      </c>
      <c r="M28" s="74">
        <f t="shared" si="4"/>
        <v>289</v>
      </c>
      <c r="N28" s="77">
        <f t="shared" si="11"/>
        <v>1.0227792228265153</v>
      </c>
    </row>
    <row r="29" spans="1:14" ht="13.5" customHeight="1">
      <c r="A29" s="82" t="s">
        <v>191</v>
      </c>
      <c r="B29" s="79">
        <v>8268</v>
      </c>
      <c r="C29" s="80"/>
      <c r="D29" s="73">
        <f t="shared" si="8"/>
        <v>8268</v>
      </c>
      <c r="E29" s="79">
        <v>9270</v>
      </c>
      <c r="F29" s="80"/>
      <c r="G29" s="97">
        <f t="shared" si="9"/>
        <v>9270</v>
      </c>
      <c r="H29" s="74">
        <f t="shared" si="2"/>
        <v>1002</v>
      </c>
      <c r="I29" s="75">
        <f t="shared" si="12"/>
        <v>1.1211901306240928</v>
      </c>
      <c r="J29" s="102">
        <v>9476</v>
      </c>
      <c r="K29" s="104"/>
      <c r="L29" s="100">
        <f t="shared" si="10"/>
        <v>9476</v>
      </c>
      <c r="M29" s="74">
        <f t="shared" si="4"/>
        <v>206</v>
      </c>
      <c r="N29" s="77">
        <f t="shared" si="11"/>
        <v>1.0222222222222221</v>
      </c>
    </row>
    <row r="30" spans="1:14" ht="13.5" customHeight="1">
      <c r="A30" s="103" t="s">
        <v>192</v>
      </c>
      <c r="B30" s="79">
        <v>8018</v>
      </c>
      <c r="C30" s="80"/>
      <c r="D30" s="73">
        <f t="shared" si="8"/>
        <v>8018</v>
      </c>
      <c r="E30" s="79">
        <v>9020</v>
      </c>
      <c r="F30" s="80"/>
      <c r="G30" s="97">
        <f t="shared" si="9"/>
        <v>9020</v>
      </c>
      <c r="H30" s="74">
        <f t="shared" si="2"/>
        <v>1002</v>
      </c>
      <c r="I30" s="75">
        <f t="shared" si="12"/>
        <v>1.124968820154652</v>
      </c>
      <c r="J30" s="81">
        <v>9196</v>
      </c>
      <c r="K30" s="80"/>
      <c r="L30" s="100">
        <f t="shared" si="10"/>
        <v>9196</v>
      </c>
      <c r="M30" s="74">
        <f t="shared" si="4"/>
        <v>176</v>
      </c>
      <c r="N30" s="77">
        <f t="shared" si="11"/>
        <v>1.0195121951219512</v>
      </c>
    </row>
    <row r="31" spans="1:14" ht="13.5" customHeight="1">
      <c r="A31" s="82" t="s">
        <v>193</v>
      </c>
      <c r="B31" s="79">
        <v>250</v>
      </c>
      <c r="C31" s="80"/>
      <c r="D31" s="73">
        <f t="shared" si="8"/>
        <v>250</v>
      </c>
      <c r="E31" s="79">
        <v>250</v>
      </c>
      <c r="F31" s="80"/>
      <c r="G31" s="97">
        <f t="shared" si="9"/>
        <v>250</v>
      </c>
      <c r="H31" s="74">
        <f t="shared" si="2"/>
        <v>0</v>
      </c>
      <c r="I31" s="75">
        <f t="shared" si="12"/>
        <v>1</v>
      </c>
      <c r="J31" s="81">
        <v>280</v>
      </c>
      <c r="K31" s="80"/>
      <c r="L31" s="100">
        <f t="shared" si="10"/>
        <v>280</v>
      </c>
      <c r="M31" s="74">
        <f t="shared" si="4"/>
        <v>30</v>
      </c>
      <c r="N31" s="77">
        <f t="shared" si="11"/>
        <v>1.12</v>
      </c>
    </row>
    <row r="32" spans="1:14" ht="13.5" customHeight="1">
      <c r="A32" s="82" t="s">
        <v>194</v>
      </c>
      <c r="B32" s="79">
        <v>3043</v>
      </c>
      <c r="C32" s="80"/>
      <c r="D32" s="73">
        <f t="shared" si="8"/>
        <v>3043</v>
      </c>
      <c r="E32" s="79">
        <v>3417</v>
      </c>
      <c r="F32" s="80"/>
      <c r="G32" s="97">
        <f t="shared" si="9"/>
        <v>3417</v>
      </c>
      <c r="H32" s="74">
        <f t="shared" si="2"/>
        <v>374</v>
      </c>
      <c r="I32" s="75">
        <f t="shared" si="12"/>
        <v>1.1229050279329609</v>
      </c>
      <c r="J32" s="81">
        <v>3500</v>
      </c>
      <c r="K32" s="80"/>
      <c r="L32" s="100">
        <f t="shared" si="10"/>
        <v>3500</v>
      </c>
      <c r="M32" s="74">
        <f t="shared" si="4"/>
        <v>83</v>
      </c>
      <c r="N32" s="77">
        <f t="shared" si="11"/>
        <v>1.0242903131401815</v>
      </c>
    </row>
    <row r="33" spans="1:14" ht="13.5" customHeight="1">
      <c r="A33" s="103" t="s">
        <v>195</v>
      </c>
      <c r="B33" s="79"/>
      <c r="C33" s="80"/>
      <c r="D33" s="73">
        <f t="shared" si="8"/>
        <v>0</v>
      </c>
      <c r="E33" s="79"/>
      <c r="F33" s="80"/>
      <c r="G33" s="97">
        <f t="shared" si="9"/>
        <v>0</v>
      </c>
      <c r="H33" s="74">
        <f t="shared" si="2"/>
        <v>0</v>
      </c>
      <c r="I33" s="75"/>
      <c r="J33" s="81"/>
      <c r="K33" s="80"/>
      <c r="L33" s="100">
        <f t="shared" si="10"/>
        <v>0</v>
      </c>
      <c r="M33" s="74">
        <f t="shared" si="4"/>
        <v>0</v>
      </c>
      <c r="N33" s="77"/>
    </row>
    <row r="34" spans="1:14" ht="13.5" customHeight="1">
      <c r="A34" s="103" t="s">
        <v>196</v>
      </c>
      <c r="B34" s="79">
        <v>24</v>
      </c>
      <c r="C34" s="80"/>
      <c r="D34" s="73">
        <f t="shared" si="8"/>
        <v>24</v>
      </c>
      <c r="E34" s="79">
        <v>40</v>
      </c>
      <c r="F34" s="80"/>
      <c r="G34" s="97">
        <f t="shared" si="9"/>
        <v>40</v>
      </c>
      <c r="H34" s="74">
        <f t="shared" si="2"/>
        <v>16</v>
      </c>
      <c r="I34" s="75">
        <f t="shared" si="12"/>
        <v>1.6666666666666667</v>
      </c>
      <c r="J34" s="81">
        <v>27</v>
      </c>
      <c r="K34" s="80"/>
      <c r="L34" s="100">
        <f t="shared" si="10"/>
        <v>27</v>
      </c>
      <c r="M34" s="74">
        <f t="shared" si="4"/>
        <v>-13</v>
      </c>
      <c r="N34" s="77">
        <f t="shared" si="11"/>
        <v>0.675</v>
      </c>
    </row>
    <row r="35" spans="1:14" ht="13.5" customHeight="1">
      <c r="A35" s="82" t="s">
        <v>197</v>
      </c>
      <c r="B35" s="79">
        <v>383</v>
      </c>
      <c r="C35" s="80"/>
      <c r="D35" s="73">
        <f t="shared" si="8"/>
        <v>383</v>
      </c>
      <c r="E35" s="79">
        <v>376</v>
      </c>
      <c r="F35" s="80"/>
      <c r="G35" s="97">
        <f t="shared" si="9"/>
        <v>376</v>
      </c>
      <c r="H35" s="74">
        <f t="shared" si="2"/>
        <v>-7</v>
      </c>
      <c r="I35" s="75">
        <f t="shared" si="12"/>
        <v>0.9817232375979112</v>
      </c>
      <c r="J35" s="102">
        <v>437</v>
      </c>
      <c r="K35" s="80"/>
      <c r="L35" s="100">
        <f t="shared" si="10"/>
        <v>437</v>
      </c>
      <c r="M35" s="74">
        <f t="shared" si="4"/>
        <v>61</v>
      </c>
      <c r="N35" s="77">
        <f t="shared" si="11"/>
        <v>1.1622340425531914</v>
      </c>
    </row>
    <row r="36" spans="1:14" ht="22.5" customHeight="1">
      <c r="A36" s="82" t="s">
        <v>198</v>
      </c>
      <c r="B36" s="79">
        <v>383</v>
      </c>
      <c r="C36" s="80"/>
      <c r="D36" s="73">
        <f t="shared" si="8"/>
        <v>383</v>
      </c>
      <c r="E36" s="79">
        <v>376</v>
      </c>
      <c r="F36" s="80"/>
      <c r="G36" s="97">
        <f t="shared" si="9"/>
        <v>376</v>
      </c>
      <c r="H36" s="74">
        <f t="shared" si="2"/>
        <v>-7</v>
      </c>
      <c r="I36" s="75">
        <f t="shared" si="12"/>
        <v>0.9817232375979112</v>
      </c>
      <c r="J36" s="102">
        <v>437</v>
      </c>
      <c r="K36" s="80"/>
      <c r="L36" s="100">
        <f t="shared" si="10"/>
        <v>437</v>
      </c>
      <c r="M36" s="74">
        <f t="shared" si="4"/>
        <v>61</v>
      </c>
      <c r="N36" s="77">
        <f t="shared" si="11"/>
        <v>1.1622340425531914</v>
      </c>
    </row>
    <row r="37" spans="1:14" ht="13.5" customHeight="1" thickBot="1">
      <c r="A37" s="105" t="s">
        <v>199</v>
      </c>
      <c r="B37" s="83"/>
      <c r="C37" s="84"/>
      <c r="D37" s="73">
        <f t="shared" si="8"/>
        <v>0</v>
      </c>
      <c r="E37" s="83"/>
      <c r="F37" s="84"/>
      <c r="G37" s="97">
        <f t="shared" si="9"/>
        <v>0</v>
      </c>
      <c r="H37" s="85">
        <f t="shared" si="2"/>
        <v>0</v>
      </c>
      <c r="I37" s="86"/>
      <c r="J37" s="106"/>
      <c r="K37" s="84"/>
      <c r="L37" s="100">
        <f t="shared" si="10"/>
        <v>0</v>
      </c>
      <c r="M37" s="85">
        <f t="shared" si="4"/>
        <v>0</v>
      </c>
      <c r="N37" s="87"/>
    </row>
    <row r="38" spans="1:14" ht="13.5" customHeight="1" thickBot="1">
      <c r="A38" s="88" t="s">
        <v>200</v>
      </c>
      <c r="B38" s="89">
        <f aca="true" t="shared" si="13" ref="B38:G38">SUM(B20+B22+B23+B24+B25+B28+B33+B34+B35+B37)</f>
        <v>18778</v>
      </c>
      <c r="C38" s="90">
        <f t="shared" si="13"/>
        <v>0</v>
      </c>
      <c r="D38" s="91">
        <f t="shared" si="13"/>
        <v>18778</v>
      </c>
      <c r="E38" s="89">
        <f t="shared" si="13"/>
        <v>24906</v>
      </c>
      <c r="F38" s="90">
        <f t="shared" si="13"/>
        <v>0</v>
      </c>
      <c r="G38" s="91">
        <f t="shared" si="13"/>
        <v>24906</v>
      </c>
      <c r="H38" s="92">
        <f t="shared" si="2"/>
        <v>6128</v>
      </c>
      <c r="I38" s="93">
        <f t="shared" si="12"/>
        <v>1.3263393332623283</v>
      </c>
      <c r="J38" s="94">
        <f>SUM(J20+J22+J23+J24+J25+J28+J33+J34+J35+J37)</f>
        <v>20244</v>
      </c>
      <c r="K38" s="90">
        <f>SUM(K20+K22+K23+K24+K25+K28+K33+K34+K35+K37)</f>
        <v>0</v>
      </c>
      <c r="L38" s="91">
        <f>SUM(L20+L22+L23+L24+L25+L28+L33+L34+L35+L37)</f>
        <v>20244</v>
      </c>
      <c r="M38" s="92">
        <f t="shared" si="4"/>
        <v>-4662</v>
      </c>
      <c r="N38" s="95">
        <f t="shared" si="11"/>
        <v>0.8128161888701517</v>
      </c>
    </row>
    <row r="39" spans="1:14" ht="13.5" customHeight="1" thickBot="1">
      <c r="A39" s="88" t="s">
        <v>201</v>
      </c>
      <c r="B39" s="787">
        <f>+D19-D38</f>
        <v>233</v>
      </c>
      <c r="C39" s="787"/>
      <c r="D39" s="787"/>
      <c r="E39" s="787">
        <f>+G19-G38</f>
        <v>87</v>
      </c>
      <c r="F39" s="787"/>
      <c r="G39" s="787">
        <v>-50784</v>
      </c>
      <c r="H39" s="107"/>
      <c r="I39" s="108"/>
      <c r="J39" s="789">
        <f>+L19-L38</f>
        <v>-3650</v>
      </c>
      <c r="K39" s="789"/>
      <c r="L39" s="789">
        <v>0</v>
      </c>
      <c r="M39" s="92"/>
      <c r="N39" s="95"/>
    </row>
    <row r="40" spans="1:16" ht="20.25" customHeight="1" thickBot="1">
      <c r="A40" s="109" t="s">
        <v>202</v>
      </c>
      <c r="B40" s="787"/>
      <c r="C40" s="787"/>
      <c r="D40" s="787"/>
      <c r="E40" s="787"/>
      <c r="F40" s="787"/>
      <c r="G40" s="787"/>
      <c r="H40"/>
      <c r="I40"/>
      <c r="J40"/>
      <c r="K40"/>
      <c r="L40"/>
      <c r="M40"/>
      <c r="N40"/>
      <c r="O40"/>
      <c r="P40"/>
    </row>
    <row r="41" spans="2:8" ht="14.25" customHeight="1" thickBot="1">
      <c r="B41" s="7"/>
      <c r="C41" s="7"/>
      <c r="D41" s="16"/>
      <c r="E41" s="7"/>
      <c r="F41" s="7"/>
      <c r="G41" s="7"/>
      <c r="H41" s="7"/>
    </row>
    <row r="42" spans="1:16" ht="13.5" thickBot="1">
      <c r="A42" s="805" t="s">
        <v>312</v>
      </c>
      <c r="B42" s="805"/>
      <c r="C42" s="799" t="s">
        <v>203</v>
      </c>
      <c r="D42" s="805" t="s">
        <v>420</v>
      </c>
      <c r="E42" s="805"/>
      <c r="F42" s="805"/>
      <c r="G42" s="799" t="s">
        <v>203</v>
      </c>
      <c r="H42" s="785" t="s">
        <v>421</v>
      </c>
      <c r="I42" s="785"/>
      <c r="J42" s="785"/>
      <c r="K42" s="785"/>
      <c r="L42" s="799" t="s">
        <v>203</v>
      </c>
      <c r="O42"/>
      <c r="P42"/>
    </row>
    <row r="43" spans="1:16" ht="13.5" thickBot="1">
      <c r="A43" s="805"/>
      <c r="B43" s="805"/>
      <c r="C43" s="799"/>
      <c r="D43" s="805"/>
      <c r="E43" s="805"/>
      <c r="F43" s="805"/>
      <c r="G43" s="799"/>
      <c r="H43" s="785"/>
      <c r="I43" s="785"/>
      <c r="J43" s="785"/>
      <c r="K43" s="785"/>
      <c r="L43" s="799"/>
      <c r="O43"/>
      <c r="P43"/>
    </row>
    <row r="44" spans="1:16" ht="12.75">
      <c r="A44" s="794" t="s">
        <v>293</v>
      </c>
      <c r="B44" s="794"/>
      <c r="C44" s="110">
        <v>119</v>
      </c>
      <c r="D44" s="795" t="s">
        <v>336</v>
      </c>
      <c r="E44" s="795"/>
      <c r="F44" s="795"/>
      <c r="G44" s="111">
        <v>129</v>
      </c>
      <c r="H44" s="802" t="s">
        <v>19</v>
      </c>
      <c r="I44" s="802"/>
      <c r="J44" s="802"/>
      <c r="K44" s="802"/>
      <c r="L44" s="112">
        <v>160</v>
      </c>
      <c r="O44"/>
      <c r="P44"/>
    </row>
    <row r="45" spans="1:16" ht="12.75">
      <c r="A45" s="797" t="s">
        <v>337</v>
      </c>
      <c r="B45" s="797"/>
      <c r="C45" s="113">
        <v>81</v>
      </c>
      <c r="D45" s="795" t="s">
        <v>338</v>
      </c>
      <c r="E45" s="795"/>
      <c r="F45" s="795"/>
      <c r="G45" s="114">
        <v>100</v>
      </c>
      <c r="H45" s="802" t="s">
        <v>20</v>
      </c>
      <c r="I45" s="802"/>
      <c r="J45" s="802"/>
      <c r="K45" s="802"/>
      <c r="L45" s="112">
        <v>60</v>
      </c>
      <c r="O45"/>
      <c r="P45"/>
    </row>
    <row r="46" spans="1:16" ht="12.75">
      <c r="A46" s="797" t="s">
        <v>21</v>
      </c>
      <c r="B46" s="797"/>
      <c r="C46" s="113">
        <v>61</v>
      </c>
      <c r="D46" s="795" t="s">
        <v>377</v>
      </c>
      <c r="E46" s="795"/>
      <c r="F46" s="795"/>
      <c r="G46" s="114">
        <v>580</v>
      </c>
      <c r="H46" s="802" t="s">
        <v>22</v>
      </c>
      <c r="I46" s="802"/>
      <c r="J46" s="802"/>
      <c r="K46" s="802"/>
      <c r="L46" s="112">
        <v>100</v>
      </c>
      <c r="O46"/>
      <c r="P46"/>
    </row>
    <row r="47" spans="1:16" ht="12.75">
      <c r="A47" s="797"/>
      <c r="B47" s="797"/>
      <c r="C47" s="115"/>
      <c r="D47" s="797" t="s">
        <v>204</v>
      </c>
      <c r="E47" s="797"/>
      <c r="F47" s="797"/>
      <c r="G47" s="116">
        <v>101</v>
      </c>
      <c r="H47" s="776" t="s">
        <v>204</v>
      </c>
      <c r="I47" s="776"/>
      <c r="J47" s="776"/>
      <c r="K47" s="776"/>
      <c r="L47" s="112">
        <v>104</v>
      </c>
      <c r="O47"/>
      <c r="P47"/>
    </row>
    <row r="48" spans="1:16" ht="12.75">
      <c r="A48" s="797"/>
      <c r="B48" s="797"/>
      <c r="C48" s="115"/>
      <c r="D48" s="797"/>
      <c r="E48" s="797"/>
      <c r="F48" s="797"/>
      <c r="G48" s="116"/>
      <c r="H48" s="776" t="s">
        <v>672</v>
      </c>
      <c r="I48" s="776"/>
      <c r="J48" s="776"/>
      <c r="K48" s="776"/>
      <c r="L48" s="112">
        <v>120</v>
      </c>
      <c r="O48"/>
      <c r="P48"/>
    </row>
    <row r="49" spans="1:16" ht="12.75">
      <c r="A49" s="797"/>
      <c r="B49" s="797"/>
      <c r="C49" s="115"/>
      <c r="D49" s="797"/>
      <c r="E49" s="797"/>
      <c r="F49" s="797"/>
      <c r="G49" s="116"/>
      <c r="H49" s="776" t="s">
        <v>673</v>
      </c>
      <c r="I49" s="776"/>
      <c r="J49" s="776"/>
      <c r="K49" s="776"/>
      <c r="L49" s="112">
        <v>80</v>
      </c>
      <c r="O49"/>
      <c r="P49"/>
    </row>
    <row r="50" spans="1:16" ht="13.5" thickBot="1">
      <c r="A50" s="800"/>
      <c r="B50" s="800"/>
      <c r="C50" s="115"/>
      <c r="D50" s="801"/>
      <c r="E50" s="801"/>
      <c r="F50" s="801"/>
      <c r="G50" s="116"/>
      <c r="H50" s="802"/>
      <c r="I50" s="802"/>
      <c r="J50" s="802"/>
      <c r="K50" s="802"/>
      <c r="L50" s="112"/>
      <c r="O50"/>
      <c r="P50"/>
    </row>
    <row r="51" spans="1:16" ht="13.5" thickBot="1">
      <c r="A51" s="811"/>
      <c r="B51" s="811"/>
      <c r="C51" s="117">
        <f>SUM(C44:C50)</f>
        <v>261</v>
      </c>
      <c r="D51" s="812" t="s">
        <v>168</v>
      </c>
      <c r="E51" s="812"/>
      <c r="F51" s="812"/>
      <c r="G51" s="117">
        <f>SUM(G44:G50)</f>
        <v>910</v>
      </c>
      <c r="H51" s="778" t="s">
        <v>168</v>
      </c>
      <c r="I51" s="778"/>
      <c r="J51" s="778"/>
      <c r="K51" s="778"/>
      <c r="L51" s="117">
        <f>SUM(L44:L50)</f>
        <v>624</v>
      </c>
      <c r="M51" s="17"/>
      <c r="N51" s="17"/>
      <c r="O51"/>
      <c r="P51"/>
    </row>
    <row r="52" spans="1:16" s="1" customFormat="1" ht="13.5" customHeight="1" thickBot="1">
      <c r="A52" s="18"/>
      <c r="B52" s="5"/>
      <c r="C52" s="5"/>
      <c r="D52" s="5"/>
      <c r="E52" s="5"/>
      <c r="F52" s="5"/>
      <c r="G52" s="5"/>
      <c r="H52" s="6"/>
      <c r="I52" s="3"/>
      <c r="J52" s="3"/>
      <c r="K52" s="3"/>
      <c r="L52" s="3"/>
      <c r="M52" s="3"/>
      <c r="N52" s="3"/>
      <c r="O52" s="3"/>
      <c r="P52" s="3"/>
    </row>
    <row r="53" spans="1:16" ht="13.5" thickBot="1">
      <c r="A53" s="866" t="s">
        <v>429</v>
      </c>
      <c r="B53" s="867"/>
      <c r="C53" s="869" t="s">
        <v>203</v>
      </c>
      <c r="D53" s="806" t="s">
        <v>430</v>
      </c>
      <c r="E53" s="806"/>
      <c r="F53" s="806"/>
      <c r="G53" s="798" t="s">
        <v>203</v>
      </c>
      <c r="H53" s="785" t="s">
        <v>431</v>
      </c>
      <c r="I53" s="785"/>
      <c r="J53" s="785"/>
      <c r="K53" s="785"/>
      <c r="L53" s="799" t="s">
        <v>203</v>
      </c>
      <c r="O53"/>
      <c r="P53"/>
    </row>
    <row r="54" spans="1:16" ht="13.5" thickBot="1">
      <c r="A54" s="868"/>
      <c r="B54" s="805"/>
      <c r="C54" s="870"/>
      <c r="D54" s="806"/>
      <c r="E54" s="806"/>
      <c r="F54" s="806"/>
      <c r="G54" s="798"/>
      <c r="H54" s="785"/>
      <c r="I54" s="785"/>
      <c r="J54" s="785"/>
      <c r="K54" s="785"/>
      <c r="L54" s="799"/>
      <c r="O54"/>
      <c r="P54"/>
    </row>
    <row r="55" spans="1:16" ht="12.75">
      <c r="A55" s="871" t="s">
        <v>340</v>
      </c>
      <c r="B55" s="803"/>
      <c r="C55" s="201">
        <v>250</v>
      </c>
      <c r="D55" s="804" t="s">
        <v>23</v>
      </c>
      <c r="E55" s="804"/>
      <c r="F55" s="804"/>
      <c r="G55" s="118">
        <v>120</v>
      </c>
      <c r="H55" s="802" t="s">
        <v>24</v>
      </c>
      <c r="I55" s="802"/>
      <c r="J55" s="802"/>
      <c r="K55" s="802"/>
      <c r="L55" s="112">
        <v>50</v>
      </c>
      <c r="O55"/>
      <c r="P55"/>
    </row>
    <row r="56" spans="1:16" ht="13.5" customHeight="1">
      <c r="A56" s="872" t="s">
        <v>25</v>
      </c>
      <c r="B56" s="781"/>
      <c r="C56" s="202">
        <v>155</v>
      </c>
      <c r="D56" s="782" t="s">
        <v>340</v>
      </c>
      <c r="E56" s="782"/>
      <c r="F56" s="782"/>
      <c r="G56" s="119">
        <v>100</v>
      </c>
      <c r="H56" s="776" t="s">
        <v>340</v>
      </c>
      <c r="I56" s="776"/>
      <c r="J56" s="776"/>
      <c r="K56" s="776"/>
      <c r="L56" s="120">
        <v>120</v>
      </c>
      <c r="O56"/>
      <c r="P56"/>
    </row>
    <row r="57" spans="1:16" ht="13.5" customHeight="1">
      <c r="A57" s="872" t="s">
        <v>342</v>
      </c>
      <c r="B57" s="781"/>
      <c r="C57" s="202">
        <v>125</v>
      </c>
      <c r="D57" s="782" t="s">
        <v>26</v>
      </c>
      <c r="E57" s="782"/>
      <c r="F57" s="782"/>
      <c r="G57" s="119">
        <v>130</v>
      </c>
      <c r="H57" s="776" t="s">
        <v>661</v>
      </c>
      <c r="I57" s="776"/>
      <c r="J57" s="776"/>
      <c r="K57" s="776"/>
      <c r="L57" s="120">
        <v>270</v>
      </c>
      <c r="O57"/>
      <c r="P57"/>
    </row>
    <row r="58" spans="1:16" ht="13.5" customHeight="1">
      <c r="A58" s="872" t="s">
        <v>27</v>
      </c>
      <c r="B58" s="781"/>
      <c r="C58" s="202">
        <v>265</v>
      </c>
      <c r="D58" s="782" t="s">
        <v>28</v>
      </c>
      <c r="E58" s="782"/>
      <c r="F58" s="782"/>
      <c r="G58" s="119">
        <v>4869</v>
      </c>
      <c r="H58" s="776" t="s">
        <v>662</v>
      </c>
      <c r="I58" s="776"/>
      <c r="J58" s="776"/>
      <c r="K58" s="776"/>
      <c r="L58" s="120">
        <v>120</v>
      </c>
      <c r="O58"/>
      <c r="P58"/>
    </row>
    <row r="59" spans="1:16" ht="13.5" customHeight="1">
      <c r="A59" s="872" t="s">
        <v>339</v>
      </c>
      <c r="B59" s="781"/>
      <c r="C59" s="203">
        <v>445</v>
      </c>
      <c r="D59" s="782" t="s">
        <v>29</v>
      </c>
      <c r="E59" s="782"/>
      <c r="F59" s="782"/>
      <c r="G59" s="121">
        <v>100</v>
      </c>
      <c r="H59" s="776" t="s">
        <v>30</v>
      </c>
      <c r="I59" s="776"/>
      <c r="J59" s="776"/>
      <c r="K59" s="776"/>
      <c r="L59" s="122">
        <v>250</v>
      </c>
      <c r="O59"/>
      <c r="P59"/>
    </row>
    <row r="60" spans="1:16" ht="13.5" customHeight="1">
      <c r="A60" s="872" t="s">
        <v>341</v>
      </c>
      <c r="B60" s="781"/>
      <c r="C60" s="203">
        <v>309</v>
      </c>
      <c r="D60" s="782" t="s">
        <v>339</v>
      </c>
      <c r="E60" s="782"/>
      <c r="F60" s="782"/>
      <c r="G60" s="121">
        <v>270</v>
      </c>
      <c r="H60" s="776" t="s">
        <v>31</v>
      </c>
      <c r="I60" s="776"/>
      <c r="J60" s="776"/>
      <c r="K60" s="776"/>
      <c r="L60" s="122">
        <v>110</v>
      </c>
      <c r="O60"/>
      <c r="P60"/>
    </row>
    <row r="61" spans="1:16" ht="13.5" customHeight="1">
      <c r="A61" s="872"/>
      <c r="B61" s="873"/>
      <c r="C61" s="202"/>
      <c r="D61" s="782" t="s">
        <v>31</v>
      </c>
      <c r="E61" s="782"/>
      <c r="F61" s="782"/>
      <c r="G61" s="119">
        <v>390</v>
      </c>
      <c r="H61" s="776" t="s">
        <v>674</v>
      </c>
      <c r="I61" s="776"/>
      <c r="J61" s="776"/>
      <c r="K61" s="776"/>
      <c r="L61" s="120">
        <v>80</v>
      </c>
      <c r="O61"/>
      <c r="P61"/>
    </row>
    <row r="62" spans="1:16" ht="13.5" thickBot="1">
      <c r="A62" s="874"/>
      <c r="B62" s="780"/>
      <c r="C62" s="204"/>
      <c r="D62" s="783"/>
      <c r="E62" s="783"/>
      <c r="F62" s="783"/>
      <c r="G62" s="123"/>
      <c r="H62" s="777"/>
      <c r="I62" s="777"/>
      <c r="J62" s="777"/>
      <c r="K62" s="777"/>
      <c r="L62" s="124"/>
      <c r="O62"/>
      <c r="P62"/>
    </row>
    <row r="63" spans="1:16" ht="13.5" thickBot="1">
      <c r="A63" s="877" t="s">
        <v>168</v>
      </c>
      <c r="B63" s="878"/>
      <c r="C63" s="205">
        <f>SUM(C55:C62)</f>
        <v>1549</v>
      </c>
      <c r="D63" s="784" t="s">
        <v>168</v>
      </c>
      <c r="E63" s="784"/>
      <c r="F63" s="784"/>
      <c r="G63" s="125">
        <f>SUM(G55:G62)</f>
        <v>5979</v>
      </c>
      <c r="H63" s="778" t="s">
        <v>168</v>
      </c>
      <c r="I63" s="778"/>
      <c r="J63" s="778"/>
      <c r="K63" s="778"/>
      <c r="L63" s="117">
        <f>SUM(L55:L62)</f>
        <v>1000</v>
      </c>
      <c r="M63" s="17"/>
      <c r="N63" s="17"/>
      <c r="O63"/>
      <c r="P63"/>
    </row>
    <row r="64" spans="1:14" s="1" customFormat="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1" customFormat="1" ht="13.5" thickBo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s="1" customFormat="1" ht="26.25" customHeight="1" thickBot="1">
      <c r="A66" s="833" t="s">
        <v>106</v>
      </c>
      <c r="B66" s="834"/>
      <c r="C66" s="834"/>
      <c r="D66" s="834"/>
      <c r="E66" s="835"/>
      <c r="F66" s="836" t="s">
        <v>107</v>
      </c>
      <c r="G66" s="837"/>
      <c r="H66" s="837"/>
      <c r="I66" s="837"/>
      <c r="J66" s="837"/>
      <c r="K66" s="837"/>
      <c r="L66" s="838"/>
      <c r="M66" s="19"/>
      <c r="N66" s="19"/>
    </row>
    <row r="67" spans="1:14" s="1" customFormat="1" ht="14.25" customHeight="1" thickBot="1">
      <c r="A67" s="397" t="s">
        <v>231</v>
      </c>
      <c r="B67" s="398" t="s">
        <v>96</v>
      </c>
      <c r="C67" s="839" t="s">
        <v>232</v>
      </c>
      <c r="D67" s="839"/>
      <c r="E67" s="399" t="s">
        <v>97</v>
      </c>
      <c r="F67" s="840" t="s">
        <v>231</v>
      </c>
      <c r="G67" s="841"/>
      <c r="H67" s="398" t="s">
        <v>96</v>
      </c>
      <c r="I67" s="839" t="s">
        <v>232</v>
      </c>
      <c r="J67" s="839"/>
      <c r="K67" s="839"/>
      <c r="L67" s="400" t="s">
        <v>97</v>
      </c>
      <c r="M67" s="19"/>
      <c r="N67" s="19"/>
    </row>
    <row r="68" spans="1:14" s="1" customFormat="1" ht="12.75">
      <c r="A68" s="401" t="s">
        <v>98</v>
      </c>
      <c r="B68" s="402">
        <v>43</v>
      </c>
      <c r="C68" s="842" t="s">
        <v>99</v>
      </c>
      <c r="D68" s="842"/>
      <c r="E68" s="403"/>
      <c r="F68" s="843" t="s">
        <v>98</v>
      </c>
      <c r="G68" s="844"/>
      <c r="H68" s="402">
        <v>231</v>
      </c>
      <c r="I68" s="842" t="s">
        <v>99</v>
      </c>
      <c r="J68" s="844"/>
      <c r="K68" s="844"/>
      <c r="L68" s="403"/>
      <c r="M68" s="19"/>
      <c r="N68" s="19"/>
    </row>
    <row r="69" spans="1:14" s="1" customFormat="1" ht="12.75">
      <c r="A69" s="404" t="s">
        <v>100</v>
      </c>
      <c r="B69" s="405">
        <v>188</v>
      </c>
      <c r="C69" s="845" t="s">
        <v>101</v>
      </c>
      <c r="D69" s="845"/>
      <c r="E69" s="406"/>
      <c r="F69" s="846" t="s">
        <v>102</v>
      </c>
      <c r="G69" s="847"/>
      <c r="H69" s="405">
        <v>70</v>
      </c>
      <c r="I69" s="845" t="s">
        <v>101</v>
      </c>
      <c r="J69" s="847"/>
      <c r="K69" s="847"/>
      <c r="L69" s="406"/>
      <c r="M69" s="19"/>
      <c r="N69" s="19"/>
    </row>
    <row r="70" spans="1:14" s="1" customFormat="1" ht="12.75">
      <c r="A70" s="404" t="s">
        <v>103</v>
      </c>
      <c r="B70" s="405"/>
      <c r="C70" s="845"/>
      <c r="D70" s="845"/>
      <c r="E70" s="406"/>
      <c r="F70" s="845" t="s">
        <v>104</v>
      </c>
      <c r="G70" s="845"/>
      <c r="H70" s="405"/>
      <c r="I70" s="845"/>
      <c r="J70" s="847"/>
      <c r="K70" s="847"/>
      <c r="L70" s="406"/>
      <c r="M70" s="19"/>
      <c r="N70" s="19"/>
    </row>
    <row r="71" spans="1:14" s="1" customFormat="1" ht="13.5" thickBot="1">
      <c r="A71" s="407"/>
      <c r="B71" s="408"/>
      <c r="C71" s="848"/>
      <c r="D71" s="848"/>
      <c r="E71" s="409"/>
      <c r="F71" s="849"/>
      <c r="G71" s="850"/>
      <c r="H71" s="408"/>
      <c r="I71" s="848"/>
      <c r="J71" s="850"/>
      <c r="K71" s="850"/>
      <c r="L71" s="409"/>
      <c r="M71" s="19"/>
      <c r="N71" s="19"/>
    </row>
    <row r="72" spans="1:14" s="1" customFormat="1" ht="13.5" thickBot="1">
      <c r="A72" s="410" t="s">
        <v>168</v>
      </c>
      <c r="B72" s="411">
        <f>SUM(B68:B71)</f>
        <v>231</v>
      </c>
      <c r="C72" s="851" t="s">
        <v>168</v>
      </c>
      <c r="D72" s="851"/>
      <c r="E72" s="413">
        <f>SUM(E68:E71)</f>
        <v>0</v>
      </c>
      <c r="F72" s="852" t="s">
        <v>168</v>
      </c>
      <c r="G72" s="853"/>
      <c r="H72" s="412">
        <f>SUM(H68:H71)</f>
        <v>301</v>
      </c>
      <c r="I72" s="851" t="s">
        <v>168</v>
      </c>
      <c r="J72" s="853"/>
      <c r="K72" s="853"/>
      <c r="L72" s="413">
        <f>SUM(L68:L71)</f>
        <v>0</v>
      </c>
      <c r="M72" s="19"/>
      <c r="N72" s="19"/>
    </row>
    <row r="73" spans="1:14" s="1" customFormat="1" ht="13.5" thickBot="1">
      <c r="A73" s="414" t="s">
        <v>105</v>
      </c>
      <c r="B73" s="415">
        <f>B72-E72</f>
        <v>231</v>
      </c>
      <c r="C73" s="19"/>
      <c r="D73" s="19"/>
      <c r="E73" s="19"/>
      <c r="F73" s="854" t="s">
        <v>105</v>
      </c>
      <c r="G73" s="701"/>
      <c r="H73" s="416">
        <f>H72-L72</f>
        <v>301</v>
      </c>
      <c r="I73" s="19"/>
      <c r="J73" s="19"/>
      <c r="K73" s="19"/>
      <c r="L73" s="19"/>
      <c r="M73" s="19"/>
      <c r="N73" s="19"/>
    </row>
    <row r="74" spans="1:14" s="1" customFormat="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s="1" customFormat="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2" s="1" customFormat="1" ht="12.75">
      <c r="A76" s="20"/>
      <c r="B76" s="21"/>
      <c r="C76" s="21"/>
      <c r="D76" s="21"/>
      <c r="E76" s="2"/>
      <c r="F76" s="4"/>
      <c r="G76" s="4"/>
      <c r="H76" s="20"/>
      <c r="I76" s="21"/>
      <c r="J76" s="21"/>
      <c r="K76" s="21"/>
      <c r="L76" s="2"/>
    </row>
    <row r="77" spans="1:12" s="1" customFormat="1" ht="13.5" thickBot="1">
      <c r="A77" s="20"/>
      <c r="B77" s="21"/>
      <c r="C77" s="21"/>
      <c r="D77" s="21"/>
      <c r="E77" s="2"/>
      <c r="F77" s="4"/>
      <c r="G77" s="4"/>
      <c r="H77" s="20"/>
      <c r="I77" s="21"/>
      <c r="J77" s="21" t="s">
        <v>307</v>
      </c>
      <c r="K77" s="21"/>
      <c r="L77" s="2"/>
    </row>
    <row r="78" spans="1:15" s="1" customFormat="1" ht="12.75">
      <c r="A78" s="879" t="s">
        <v>227</v>
      </c>
      <c r="B78" s="882" t="s">
        <v>435</v>
      </c>
      <c r="C78" s="885" t="s">
        <v>436</v>
      </c>
      <c r="D78" s="886"/>
      <c r="E78" s="886"/>
      <c r="F78" s="886"/>
      <c r="G78" s="886"/>
      <c r="H78" s="886"/>
      <c r="I78" s="887"/>
      <c r="J78" s="888" t="s">
        <v>437</v>
      </c>
      <c r="K78" s="7"/>
      <c r="L78" s="864" t="s">
        <v>205</v>
      </c>
      <c r="M78" s="865"/>
      <c r="N78" s="59">
        <v>2006</v>
      </c>
      <c r="O78" s="60">
        <v>2007</v>
      </c>
    </row>
    <row r="79" spans="1:15" s="1" customFormat="1" ht="12.75">
      <c r="A79" s="880"/>
      <c r="B79" s="883"/>
      <c r="C79" s="891" t="s">
        <v>228</v>
      </c>
      <c r="D79" s="893" t="s">
        <v>229</v>
      </c>
      <c r="E79" s="894"/>
      <c r="F79" s="894"/>
      <c r="G79" s="894"/>
      <c r="H79" s="894"/>
      <c r="I79" s="895"/>
      <c r="J79" s="889"/>
      <c r="K79" s="7"/>
      <c r="L79" s="63" t="s">
        <v>273</v>
      </c>
      <c r="M79" s="62"/>
      <c r="N79" s="58"/>
      <c r="O79" s="61"/>
    </row>
    <row r="80" spans="1:15" s="1" customFormat="1" ht="13.5" thickBot="1">
      <c r="A80" s="881"/>
      <c r="B80" s="884"/>
      <c r="C80" s="892"/>
      <c r="D80" s="25">
        <v>1</v>
      </c>
      <c r="E80" s="25">
        <v>2</v>
      </c>
      <c r="F80" s="25">
        <v>3</v>
      </c>
      <c r="G80" s="25">
        <v>4</v>
      </c>
      <c r="H80" s="25">
        <v>5</v>
      </c>
      <c r="I80" s="56">
        <v>6</v>
      </c>
      <c r="J80" s="890"/>
      <c r="K80" s="7"/>
      <c r="L80" s="62" t="s">
        <v>206</v>
      </c>
      <c r="M80" s="63"/>
      <c r="N80" s="22">
        <v>0</v>
      </c>
      <c r="O80" s="23">
        <v>0</v>
      </c>
    </row>
    <row r="81" spans="1:15" s="1" customFormat="1" ht="13.5" thickBot="1">
      <c r="A81" s="26">
        <v>15416</v>
      </c>
      <c r="B81" s="27">
        <v>4668</v>
      </c>
      <c r="C81" s="54">
        <v>437</v>
      </c>
      <c r="D81" s="55">
        <v>171</v>
      </c>
      <c r="E81" s="55">
        <v>154</v>
      </c>
      <c r="F81" s="55">
        <v>6</v>
      </c>
      <c r="G81" s="55">
        <v>5</v>
      </c>
      <c r="H81" s="54">
        <v>101</v>
      </c>
      <c r="I81" s="57"/>
      <c r="J81" s="28">
        <f>SUM(A81-B81-C81)</f>
        <v>10311</v>
      </c>
      <c r="K81" s="7"/>
      <c r="L81" s="64" t="s">
        <v>207</v>
      </c>
      <c r="M81" s="65"/>
      <c r="N81" s="52">
        <v>0</v>
      </c>
      <c r="O81" s="53">
        <v>0</v>
      </c>
    </row>
    <row r="82" spans="1:12" s="1" customFormat="1" ht="12.75">
      <c r="A82" s="20"/>
      <c r="B82" s="21"/>
      <c r="C82" s="21"/>
      <c r="D82" s="21"/>
      <c r="E82" s="2"/>
      <c r="F82" s="200"/>
      <c r="G82" s="4"/>
      <c r="H82" s="20"/>
      <c r="I82" s="21"/>
      <c r="J82" s="21"/>
      <c r="K82" s="21"/>
      <c r="L82" s="2"/>
    </row>
    <row r="83" spans="1:12" s="1" customFormat="1" ht="13.5" thickBot="1">
      <c r="A83" s="20"/>
      <c r="B83" s="21"/>
      <c r="C83" s="21"/>
      <c r="D83" s="21"/>
      <c r="E83" s="2"/>
      <c r="F83" s="200"/>
      <c r="G83" s="4"/>
      <c r="H83" s="20"/>
      <c r="I83" s="21"/>
      <c r="J83" s="21"/>
      <c r="K83" s="21"/>
      <c r="L83" s="21" t="s">
        <v>307</v>
      </c>
    </row>
    <row r="84" spans="1:12" s="1" customFormat="1" ht="12.75">
      <c r="A84" s="855" t="s">
        <v>255</v>
      </c>
      <c r="B84" s="857" t="s">
        <v>438</v>
      </c>
      <c r="C84" s="859" t="s">
        <v>439</v>
      </c>
      <c r="D84" s="860"/>
      <c r="E84" s="860"/>
      <c r="F84" s="861"/>
      <c r="G84" s="862" t="s">
        <v>440</v>
      </c>
      <c r="H84" s="896" t="s">
        <v>230</v>
      </c>
      <c r="I84" s="898" t="s">
        <v>441</v>
      </c>
      <c r="J84" s="899"/>
      <c r="K84" s="899"/>
      <c r="L84" s="900"/>
    </row>
    <row r="85" spans="1:12" s="1" customFormat="1" ht="18.75" thickBot="1">
      <c r="A85" s="856"/>
      <c r="B85" s="858"/>
      <c r="C85" s="29" t="s">
        <v>321</v>
      </c>
      <c r="D85" s="30" t="s">
        <v>231</v>
      </c>
      <c r="E85" s="30" t="s">
        <v>232</v>
      </c>
      <c r="F85" s="31" t="s">
        <v>322</v>
      </c>
      <c r="G85" s="863"/>
      <c r="H85" s="897"/>
      <c r="I85" s="174" t="s">
        <v>442</v>
      </c>
      <c r="J85" s="175" t="s">
        <v>231</v>
      </c>
      <c r="K85" s="175" t="s">
        <v>232</v>
      </c>
      <c r="L85" s="176" t="s">
        <v>443</v>
      </c>
    </row>
    <row r="86" spans="1:12" s="1" customFormat="1" ht="12.75">
      <c r="A86" s="32" t="s">
        <v>233</v>
      </c>
      <c r="B86" s="33">
        <v>1785</v>
      </c>
      <c r="C86" s="34" t="s">
        <v>234</v>
      </c>
      <c r="D86" s="35" t="s">
        <v>234</v>
      </c>
      <c r="E86" s="35" t="s">
        <v>234</v>
      </c>
      <c r="F86" s="36"/>
      <c r="G86" s="37">
        <v>724</v>
      </c>
      <c r="H86" s="171" t="s">
        <v>234</v>
      </c>
      <c r="I86" s="177" t="s">
        <v>234</v>
      </c>
      <c r="J86" s="178" t="s">
        <v>234</v>
      </c>
      <c r="K86" s="178" t="s">
        <v>234</v>
      </c>
      <c r="L86" s="179" t="s">
        <v>234</v>
      </c>
    </row>
    <row r="87" spans="1:12" s="1" customFormat="1" ht="12.75">
      <c r="A87" s="38" t="s">
        <v>235</v>
      </c>
      <c r="B87" s="39">
        <v>74</v>
      </c>
      <c r="C87" s="40">
        <v>74</v>
      </c>
      <c r="D87" s="41">
        <v>45</v>
      </c>
      <c r="E87" s="41">
        <v>0</v>
      </c>
      <c r="F87" s="42">
        <f>C87+D87-E87</f>
        <v>119</v>
      </c>
      <c r="G87" s="43">
        <v>119</v>
      </c>
      <c r="H87" s="172">
        <f>+G87-F87</f>
        <v>0</v>
      </c>
      <c r="I87" s="40">
        <v>119</v>
      </c>
      <c r="J87" s="41">
        <v>17</v>
      </c>
      <c r="K87" s="41">
        <v>0</v>
      </c>
      <c r="L87" s="42">
        <f>I87+J87-K87</f>
        <v>136</v>
      </c>
    </row>
    <row r="88" spans="1:12" s="1" customFormat="1" ht="12.75">
      <c r="A88" s="38" t="s">
        <v>236</v>
      </c>
      <c r="B88" s="39">
        <v>43</v>
      </c>
      <c r="C88" s="40">
        <v>43</v>
      </c>
      <c r="D88" s="41">
        <v>188</v>
      </c>
      <c r="E88" s="41">
        <v>0</v>
      </c>
      <c r="F88" s="42">
        <f>C88+D88-E88</f>
        <v>231</v>
      </c>
      <c r="G88" s="43">
        <v>231</v>
      </c>
      <c r="H88" s="172">
        <f>+G88-F88</f>
        <v>0</v>
      </c>
      <c r="I88" s="40">
        <v>231</v>
      </c>
      <c r="J88" s="41">
        <v>70</v>
      </c>
      <c r="K88" s="41">
        <v>0</v>
      </c>
      <c r="L88" s="42">
        <f>I88+J88-K88</f>
        <v>301</v>
      </c>
    </row>
    <row r="89" spans="1:12" s="1" customFormat="1" ht="12.75">
      <c r="A89" s="38" t="s">
        <v>256</v>
      </c>
      <c r="B89" s="39">
        <v>239</v>
      </c>
      <c r="C89" s="40">
        <v>239</v>
      </c>
      <c r="D89" s="41">
        <v>950</v>
      </c>
      <c r="E89" s="41">
        <v>910</v>
      </c>
      <c r="F89" s="42">
        <f>C89+D89-E89</f>
        <v>279</v>
      </c>
      <c r="G89" s="43">
        <v>279</v>
      </c>
      <c r="H89" s="172">
        <f>+G89-F89</f>
        <v>0</v>
      </c>
      <c r="I89" s="180">
        <v>279</v>
      </c>
      <c r="J89" s="170">
        <v>437</v>
      </c>
      <c r="K89" s="170">
        <v>624</v>
      </c>
      <c r="L89" s="42">
        <f>I89+J89-K89</f>
        <v>92</v>
      </c>
    </row>
    <row r="90" spans="1:12" s="1" customFormat="1" ht="12.75">
      <c r="A90" s="38" t="s">
        <v>237</v>
      </c>
      <c r="B90" s="39">
        <v>1429</v>
      </c>
      <c r="C90" s="50" t="s">
        <v>234</v>
      </c>
      <c r="D90" s="35" t="s">
        <v>234</v>
      </c>
      <c r="E90" s="51" t="s">
        <v>234</v>
      </c>
      <c r="F90" s="42"/>
      <c r="G90" s="43">
        <v>95</v>
      </c>
      <c r="H90" s="50" t="s">
        <v>234</v>
      </c>
      <c r="I90" s="34"/>
      <c r="J90" s="35"/>
      <c r="K90" s="35"/>
      <c r="L90" s="181">
        <v>0</v>
      </c>
    </row>
    <row r="91" spans="1:12" s="1" customFormat="1" ht="13.5" thickBot="1">
      <c r="A91" s="44" t="s">
        <v>238</v>
      </c>
      <c r="B91" s="45">
        <v>173</v>
      </c>
      <c r="C91" s="46">
        <v>164</v>
      </c>
      <c r="D91" s="47">
        <v>180</v>
      </c>
      <c r="E91" s="47">
        <v>140</v>
      </c>
      <c r="F91" s="48">
        <f>C91+D91-E91</f>
        <v>204</v>
      </c>
      <c r="G91" s="49">
        <v>191</v>
      </c>
      <c r="H91" s="173">
        <f>+G91-F91</f>
        <v>-13</v>
      </c>
      <c r="I91" s="46">
        <v>204</v>
      </c>
      <c r="J91" s="47">
        <v>184</v>
      </c>
      <c r="K91" s="47">
        <v>220</v>
      </c>
      <c r="L91" s="48">
        <f>I91+J91-K91</f>
        <v>168</v>
      </c>
    </row>
    <row r="92" spans="1:12" s="1" customFormat="1" ht="12.75">
      <c r="A92" s="20"/>
      <c r="B92" s="21"/>
      <c r="C92" s="21"/>
      <c r="D92" s="21"/>
      <c r="E92" s="2"/>
      <c r="F92" s="200"/>
      <c r="G92" s="4"/>
      <c r="H92" s="20"/>
      <c r="I92" s="21"/>
      <c r="J92" s="21"/>
      <c r="K92" s="21"/>
      <c r="L92" s="2"/>
    </row>
    <row r="93" spans="1:12" s="1" customFormat="1" ht="12.75">
      <c r="A93" s="20"/>
      <c r="B93" s="21"/>
      <c r="C93" s="21"/>
      <c r="D93" s="21"/>
      <c r="E93" s="2"/>
      <c r="F93" s="200"/>
      <c r="G93" s="4"/>
      <c r="H93" s="20"/>
      <c r="I93" s="21"/>
      <c r="J93" s="21"/>
      <c r="K93" s="21"/>
      <c r="L93" s="2"/>
    </row>
    <row r="94" spans="1:12" s="1" customFormat="1" ht="12.75">
      <c r="A94" s="20"/>
      <c r="B94" s="21"/>
      <c r="C94" s="21"/>
      <c r="D94" s="21"/>
      <c r="E94" s="2"/>
      <c r="F94" s="200"/>
      <c r="G94" s="4"/>
      <c r="H94" s="20"/>
      <c r="I94" s="21"/>
      <c r="J94" s="21"/>
      <c r="K94" s="21"/>
      <c r="L94" s="2"/>
    </row>
    <row r="95" spans="1:12" s="1" customFormat="1" ht="12.75">
      <c r="A95" s="20"/>
      <c r="B95" s="21"/>
      <c r="C95" s="21"/>
      <c r="D95" s="21"/>
      <c r="E95" s="2"/>
      <c r="F95" s="200"/>
      <c r="G95" s="4"/>
      <c r="H95" s="20"/>
      <c r="I95" s="21"/>
      <c r="J95" s="21"/>
      <c r="K95" s="21"/>
      <c r="L95" s="2"/>
    </row>
    <row r="96" spans="1:12" s="1" customFormat="1" ht="12.75">
      <c r="A96" s="20"/>
      <c r="B96" s="21"/>
      <c r="C96" s="21"/>
      <c r="D96" s="21"/>
      <c r="E96" s="2"/>
      <c r="F96" s="200"/>
      <c r="G96" s="4"/>
      <c r="H96" s="20"/>
      <c r="I96" s="21"/>
      <c r="J96" s="21"/>
      <c r="K96" s="21"/>
      <c r="L96" s="2"/>
    </row>
    <row r="97" spans="1:12" s="1" customFormat="1" ht="12.75">
      <c r="A97" s="20"/>
      <c r="B97" s="21"/>
      <c r="C97" s="21"/>
      <c r="D97" s="21"/>
      <c r="E97" s="2"/>
      <c r="F97" s="4"/>
      <c r="G97" s="4"/>
      <c r="H97" s="20"/>
      <c r="I97" s="21"/>
      <c r="J97" s="21"/>
      <c r="K97" s="21"/>
      <c r="L97" s="2"/>
    </row>
    <row r="98" spans="1:12" s="1" customFormat="1" ht="12.75">
      <c r="A98" s="20"/>
      <c r="B98" s="21"/>
      <c r="C98" s="21"/>
      <c r="D98" s="21"/>
      <c r="E98" s="2"/>
      <c r="F98" s="4"/>
      <c r="G98" s="4"/>
      <c r="H98" s="20"/>
      <c r="I98" s="21"/>
      <c r="J98" s="21"/>
      <c r="K98" s="21"/>
      <c r="L98" s="2"/>
    </row>
    <row r="99" spans="8:12" ht="13.5" thickBot="1">
      <c r="H99" s="21" t="s">
        <v>307</v>
      </c>
      <c r="L99" s="21" t="s">
        <v>307</v>
      </c>
    </row>
    <row r="100" spans="1:12" ht="13.5" thickBot="1">
      <c r="A100" s="823" t="s">
        <v>444</v>
      </c>
      <c r="B100" s="824" t="s">
        <v>168</v>
      </c>
      <c r="C100" s="810" t="s">
        <v>239</v>
      </c>
      <c r="D100" s="810"/>
      <c r="E100" s="810"/>
      <c r="F100" s="810"/>
      <c r="G100" s="810"/>
      <c r="H100" s="810"/>
      <c r="I100" s="24"/>
      <c r="J100" s="825" t="s">
        <v>208</v>
      </c>
      <c r="K100" s="825"/>
      <c r="L100" s="825"/>
    </row>
    <row r="101" spans="1:12" ht="13.5" thickBot="1">
      <c r="A101" s="823"/>
      <c r="B101" s="824"/>
      <c r="C101" s="126" t="s">
        <v>240</v>
      </c>
      <c r="D101" s="127" t="s">
        <v>241</v>
      </c>
      <c r="E101" s="127" t="s">
        <v>242</v>
      </c>
      <c r="F101" s="127" t="s">
        <v>243</v>
      </c>
      <c r="G101" s="128" t="s">
        <v>244</v>
      </c>
      <c r="H101" s="129" t="s">
        <v>228</v>
      </c>
      <c r="I101" s="24"/>
      <c r="J101" s="130"/>
      <c r="K101" s="131" t="s">
        <v>209</v>
      </c>
      <c r="L101" s="132" t="s">
        <v>210</v>
      </c>
    </row>
    <row r="102" spans="1:12" ht="12.75">
      <c r="A102" s="133" t="s">
        <v>245</v>
      </c>
      <c r="B102" s="134">
        <v>188</v>
      </c>
      <c r="C102" s="135">
        <v>188</v>
      </c>
      <c r="D102" s="135"/>
      <c r="E102" s="135"/>
      <c r="F102" s="135"/>
      <c r="G102" s="134"/>
      <c r="H102" s="136">
        <f>SUM(C102:G102)</f>
        <v>188</v>
      </c>
      <c r="I102" s="24"/>
      <c r="J102" s="137">
        <v>2007</v>
      </c>
      <c r="K102" s="138">
        <v>9020</v>
      </c>
      <c r="L102" s="139">
        <v>9020</v>
      </c>
    </row>
    <row r="103" spans="1:12" ht="13.5" thickBot="1">
      <c r="A103" s="140" t="s">
        <v>246</v>
      </c>
      <c r="B103" s="141">
        <v>42</v>
      </c>
      <c r="C103" s="142">
        <v>21</v>
      </c>
      <c r="D103" s="142"/>
      <c r="E103" s="142"/>
      <c r="F103" s="142"/>
      <c r="G103" s="141">
        <v>21</v>
      </c>
      <c r="H103" s="143">
        <f>SUM(C103:G103)</f>
        <v>42</v>
      </c>
      <c r="I103" s="24"/>
      <c r="J103" s="144">
        <v>2008</v>
      </c>
      <c r="K103" s="145">
        <v>9196</v>
      </c>
      <c r="L103" s="146"/>
    </row>
    <row r="104" ht="12.75" customHeight="1"/>
    <row r="105" ht="13.5" thickBot="1">
      <c r="J105" s="208" t="s">
        <v>323</v>
      </c>
    </row>
    <row r="106" spans="1:10" ht="21" customHeight="1" thickBot="1">
      <c r="A106" s="823" t="s">
        <v>211</v>
      </c>
      <c r="B106" s="826" t="s">
        <v>212</v>
      </c>
      <c r="C106" s="826"/>
      <c r="D106" s="826"/>
      <c r="E106" s="827" t="s">
        <v>274</v>
      </c>
      <c r="F106" s="827"/>
      <c r="G106" s="827"/>
      <c r="H106" s="828" t="s">
        <v>213</v>
      </c>
      <c r="I106" s="828"/>
      <c r="J106" s="828"/>
    </row>
    <row r="107" spans="1:10" ht="12.75">
      <c r="A107" s="823"/>
      <c r="B107" s="147">
        <v>2006</v>
      </c>
      <c r="C107" s="147">
        <v>2007</v>
      </c>
      <c r="D107" s="147" t="s">
        <v>214</v>
      </c>
      <c r="E107" s="147">
        <v>2006</v>
      </c>
      <c r="F107" s="147">
        <v>2007</v>
      </c>
      <c r="G107" s="148" t="s">
        <v>214</v>
      </c>
      <c r="H107" s="149">
        <v>2006</v>
      </c>
      <c r="I107" s="147">
        <v>2007</v>
      </c>
      <c r="J107" s="148" t="s">
        <v>214</v>
      </c>
    </row>
    <row r="108" spans="1:10" ht="18.75">
      <c r="A108" s="150" t="s">
        <v>215</v>
      </c>
      <c r="B108" s="151">
        <v>3.97</v>
      </c>
      <c r="C108" s="151">
        <v>4.26</v>
      </c>
      <c r="D108" s="151">
        <f aca="true" t="shared" si="14" ref="D108:D118">+C108-B108</f>
        <v>0.2899999999999996</v>
      </c>
      <c r="E108" s="151">
        <v>3.6</v>
      </c>
      <c r="F108" s="151">
        <v>5</v>
      </c>
      <c r="G108" s="152">
        <f aca="true" t="shared" si="15" ref="G108:G118">+F108-E108</f>
        <v>1.4</v>
      </c>
      <c r="H108" s="153">
        <v>22694</v>
      </c>
      <c r="I108" s="154">
        <v>24814</v>
      </c>
      <c r="J108" s="155">
        <f aca="true" t="shared" si="16" ref="J108:J118">+I108-H108</f>
        <v>2120</v>
      </c>
    </row>
    <row r="109" spans="1:10" ht="12.75">
      <c r="A109" s="150" t="s">
        <v>248</v>
      </c>
      <c r="B109" s="151">
        <v>9.5</v>
      </c>
      <c r="C109" s="151">
        <v>10.24</v>
      </c>
      <c r="D109" s="151">
        <f t="shared" si="14"/>
        <v>0.7400000000000002</v>
      </c>
      <c r="E109" s="151">
        <v>10</v>
      </c>
      <c r="F109" s="151">
        <v>11.5</v>
      </c>
      <c r="G109" s="152">
        <f t="shared" si="15"/>
        <v>1.5</v>
      </c>
      <c r="H109" s="153">
        <v>21279</v>
      </c>
      <c r="I109" s="156">
        <v>23031</v>
      </c>
      <c r="J109" s="155">
        <f t="shared" si="16"/>
        <v>1752</v>
      </c>
    </row>
    <row r="110" spans="1:10" ht="12.75">
      <c r="A110" s="150" t="s">
        <v>216</v>
      </c>
      <c r="B110" s="151">
        <v>1</v>
      </c>
      <c r="C110" s="151"/>
      <c r="D110" s="151">
        <f t="shared" si="14"/>
        <v>-1</v>
      </c>
      <c r="E110" s="151">
        <v>1</v>
      </c>
      <c r="F110" s="151"/>
      <c r="G110" s="152">
        <f t="shared" si="15"/>
        <v>-1</v>
      </c>
      <c r="H110" s="153">
        <v>17374</v>
      </c>
      <c r="I110" s="156"/>
      <c r="J110" s="155">
        <f t="shared" si="16"/>
        <v>-17374</v>
      </c>
    </row>
    <row r="111" spans="1:10" ht="12.75">
      <c r="A111" s="150" t="s">
        <v>217</v>
      </c>
      <c r="B111" s="151">
        <v>4.85</v>
      </c>
      <c r="C111" s="151">
        <v>4.53</v>
      </c>
      <c r="D111" s="151">
        <f t="shared" si="14"/>
        <v>-0.3199999999999994</v>
      </c>
      <c r="E111" s="151">
        <v>5</v>
      </c>
      <c r="F111" s="151">
        <v>3</v>
      </c>
      <c r="G111" s="152">
        <f t="shared" si="15"/>
        <v>-2</v>
      </c>
      <c r="H111" s="153">
        <v>13407</v>
      </c>
      <c r="I111" s="156">
        <v>15639</v>
      </c>
      <c r="J111" s="155">
        <f t="shared" si="16"/>
        <v>2232</v>
      </c>
    </row>
    <row r="112" spans="1:10" ht="12.75">
      <c r="A112" s="150" t="s">
        <v>299</v>
      </c>
      <c r="B112" s="151"/>
      <c r="C112" s="151"/>
      <c r="D112" s="151">
        <f t="shared" si="14"/>
        <v>0</v>
      </c>
      <c r="E112" s="151"/>
      <c r="F112" s="151"/>
      <c r="G112" s="152">
        <f t="shared" si="15"/>
        <v>0</v>
      </c>
      <c r="H112" s="153"/>
      <c r="I112" s="156"/>
      <c r="J112" s="155">
        <f t="shared" si="16"/>
        <v>0</v>
      </c>
    </row>
    <row r="113" spans="1:10" ht="12.75">
      <c r="A113" s="150" t="s">
        <v>297</v>
      </c>
      <c r="B113" s="151"/>
      <c r="C113" s="151"/>
      <c r="D113" s="151">
        <f t="shared" si="14"/>
        <v>0</v>
      </c>
      <c r="E113" s="151"/>
      <c r="F113" s="151"/>
      <c r="G113" s="152">
        <f t="shared" si="15"/>
        <v>0</v>
      </c>
      <c r="H113" s="153"/>
      <c r="I113" s="156"/>
      <c r="J113" s="155">
        <f t="shared" si="16"/>
        <v>0</v>
      </c>
    </row>
    <row r="114" spans="1:10" ht="12.75">
      <c r="A114" s="150" t="s">
        <v>325</v>
      </c>
      <c r="B114" s="151">
        <v>0</v>
      </c>
      <c r="C114" s="151">
        <v>6</v>
      </c>
      <c r="D114" s="151">
        <f t="shared" si="14"/>
        <v>6</v>
      </c>
      <c r="E114" s="151">
        <v>6</v>
      </c>
      <c r="F114" s="151">
        <v>6</v>
      </c>
      <c r="G114" s="152">
        <f t="shared" si="15"/>
        <v>0</v>
      </c>
      <c r="H114" s="153">
        <v>0</v>
      </c>
      <c r="I114" s="156">
        <v>0</v>
      </c>
      <c r="J114" s="155">
        <f t="shared" si="16"/>
        <v>0</v>
      </c>
    </row>
    <row r="115" spans="1:10" ht="12.75">
      <c r="A115" s="150" t="s">
        <v>219</v>
      </c>
      <c r="B115" s="151">
        <v>7.55</v>
      </c>
      <c r="C115" s="151">
        <v>8.35</v>
      </c>
      <c r="D115" s="151">
        <f t="shared" si="14"/>
        <v>0.7999999999999998</v>
      </c>
      <c r="E115" s="151">
        <v>8</v>
      </c>
      <c r="F115" s="151">
        <v>8.45</v>
      </c>
      <c r="G115" s="152">
        <f t="shared" si="15"/>
        <v>0.4499999999999993</v>
      </c>
      <c r="H115" s="153">
        <v>15305</v>
      </c>
      <c r="I115" s="156">
        <v>15424</v>
      </c>
      <c r="J115" s="155">
        <f t="shared" si="16"/>
        <v>119</v>
      </c>
    </row>
    <row r="116" spans="1:10" ht="12.75">
      <c r="A116" s="150" t="s">
        <v>220</v>
      </c>
      <c r="B116" s="151">
        <v>1.5</v>
      </c>
      <c r="C116" s="151">
        <v>1.38</v>
      </c>
      <c r="D116" s="151">
        <f t="shared" si="14"/>
        <v>-0.1200000000000001</v>
      </c>
      <c r="E116" s="151">
        <v>1.5</v>
      </c>
      <c r="F116" s="151">
        <v>1</v>
      </c>
      <c r="G116" s="152">
        <f t="shared" si="15"/>
        <v>-0.5</v>
      </c>
      <c r="H116" s="153">
        <v>21210</v>
      </c>
      <c r="I116" s="156">
        <v>22115</v>
      </c>
      <c r="J116" s="155">
        <f t="shared" si="16"/>
        <v>905</v>
      </c>
    </row>
    <row r="117" spans="1:10" ht="12.75">
      <c r="A117" s="150" t="s">
        <v>221</v>
      </c>
      <c r="B117" s="151">
        <v>13.5</v>
      </c>
      <c r="C117" s="151">
        <v>8</v>
      </c>
      <c r="D117" s="151">
        <f t="shared" si="14"/>
        <v>-5.5</v>
      </c>
      <c r="E117" s="151">
        <v>7</v>
      </c>
      <c r="F117" s="151">
        <v>8</v>
      </c>
      <c r="G117" s="152">
        <f t="shared" si="15"/>
        <v>1</v>
      </c>
      <c r="H117" s="153">
        <v>10826</v>
      </c>
      <c r="I117" s="156">
        <v>12855</v>
      </c>
      <c r="J117" s="155">
        <f t="shared" si="16"/>
        <v>2029</v>
      </c>
    </row>
    <row r="118" spans="1:10" ht="13.5" thickBot="1">
      <c r="A118" s="157" t="s">
        <v>168</v>
      </c>
      <c r="B118" s="158">
        <v>41.87</v>
      </c>
      <c r="C118" s="158">
        <v>42.76</v>
      </c>
      <c r="D118" s="158">
        <f t="shared" si="14"/>
        <v>0.8900000000000006</v>
      </c>
      <c r="E118" s="158">
        <v>42.1</v>
      </c>
      <c r="F118" s="158">
        <v>42.95</v>
      </c>
      <c r="G118" s="159">
        <f t="shared" si="15"/>
        <v>0.8500000000000014</v>
      </c>
      <c r="H118" s="160">
        <v>15958</v>
      </c>
      <c r="I118" s="161">
        <v>17579</v>
      </c>
      <c r="J118" s="162">
        <f t="shared" si="16"/>
        <v>1621</v>
      </c>
    </row>
    <row r="119" ht="13.5" thickBot="1"/>
    <row r="120" spans="1:16" ht="12.75">
      <c r="A120" s="829" t="s">
        <v>222</v>
      </c>
      <c r="B120" s="829"/>
      <c r="C120" s="829"/>
      <c r="D120" s="24"/>
      <c r="E120" s="829" t="s">
        <v>223</v>
      </c>
      <c r="F120" s="829"/>
      <c r="G120" s="829"/>
      <c r="H120"/>
      <c r="I120"/>
      <c r="J120"/>
      <c r="K120"/>
      <c r="L120"/>
      <c r="M120"/>
      <c r="N120"/>
      <c r="O120"/>
      <c r="P120"/>
    </row>
    <row r="121" spans="1:16" ht="13.5" thickBot="1">
      <c r="A121" s="130" t="s">
        <v>224</v>
      </c>
      <c r="B121" s="131" t="s">
        <v>225</v>
      </c>
      <c r="C121" s="132" t="s">
        <v>210</v>
      </c>
      <c r="D121" s="24"/>
      <c r="E121" s="130"/>
      <c r="F121" s="832" t="s">
        <v>226</v>
      </c>
      <c r="G121" s="832"/>
      <c r="H121"/>
      <c r="I121"/>
      <c r="J121"/>
      <c r="K121"/>
      <c r="L121"/>
      <c r="M121"/>
      <c r="N121"/>
      <c r="O121"/>
      <c r="P121"/>
    </row>
    <row r="122" spans="1:16" ht="12.75">
      <c r="A122" s="137">
        <v>2007</v>
      </c>
      <c r="B122" s="138">
        <v>42.76</v>
      </c>
      <c r="C122" s="139">
        <v>42.76</v>
      </c>
      <c r="D122" s="24"/>
      <c r="E122" s="137">
        <v>2007</v>
      </c>
      <c r="F122" s="830">
        <v>80</v>
      </c>
      <c r="G122" s="830"/>
      <c r="H122"/>
      <c r="I122"/>
      <c r="J122"/>
      <c r="K122"/>
      <c r="L122"/>
      <c r="M122"/>
      <c r="N122"/>
      <c r="O122"/>
      <c r="P122"/>
    </row>
    <row r="123" spans="1:16" ht="13.5" thickBot="1">
      <c r="A123" s="144">
        <v>2008</v>
      </c>
      <c r="B123" s="145">
        <v>43</v>
      </c>
      <c r="C123" s="146"/>
      <c r="D123" s="24"/>
      <c r="E123" s="144">
        <v>2008</v>
      </c>
      <c r="F123" s="831">
        <v>80</v>
      </c>
      <c r="G123" s="831"/>
      <c r="H123"/>
      <c r="I123"/>
      <c r="J123"/>
      <c r="K123"/>
      <c r="L123"/>
      <c r="M123"/>
      <c r="N123"/>
      <c r="O123"/>
      <c r="P123"/>
    </row>
  </sheetData>
  <mergeCells count="123">
    <mergeCell ref="C72:D72"/>
    <mergeCell ref="F72:G72"/>
    <mergeCell ref="I72:K72"/>
    <mergeCell ref="F73:G73"/>
    <mergeCell ref="C70:D70"/>
    <mergeCell ref="F70:G70"/>
    <mergeCell ref="I70:K70"/>
    <mergeCell ref="C71:D71"/>
    <mergeCell ref="F71:G71"/>
    <mergeCell ref="I71:K71"/>
    <mergeCell ref="C68:D68"/>
    <mergeCell ref="F68:G68"/>
    <mergeCell ref="I68:K68"/>
    <mergeCell ref="C69:D69"/>
    <mergeCell ref="F69:G69"/>
    <mergeCell ref="I69:K69"/>
    <mergeCell ref="A66:E66"/>
    <mergeCell ref="F66:L66"/>
    <mergeCell ref="C67:D67"/>
    <mergeCell ref="F67:G67"/>
    <mergeCell ref="I67:K67"/>
    <mergeCell ref="F123:G123"/>
    <mergeCell ref="A120:C120"/>
    <mergeCell ref="E120:G120"/>
    <mergeCell ref="F121:G121"/>
    <mergeCell ref="F122:G122"/>
    <mergeCell ref="A106:A107"/>
    <mergeCell ref="B106:D106"/>
    <mergeCell ref="E106:G106"/>
    <mergeCell ref="H106:J106"/>
    <mergeCell ref="G84:G85"/>
    <mergeCell ref="H84:H85"/>
    <mergeCell ref="I84:L84"/>
    <mergeCell ref="B100:B101"/>
    <mergeCell ref="C100:H100"/>
    <mergeCell ref="J100:L100"/>
    <mergeCell ref="J78:J80"/>
    <mergeCell ref="L78:M78"/>
    <mergeCell ref="C79:C80"/>
    <mergeCell ref="D79:I79"/>
    <mergeCell ref="L53:L54"/>
    <mergeCell ref="A63:B63"/>
    <mergeCell ref="D63:F63"/>
    <mergeCell ref="H63:K63"/>
    <mergeCell ref="A62:B62"/>
    <mergeCell ref="D62:F62"/>
    <mergeCell ref="H62:K62"/>
    <mergeCell ref="A60:B60"/>
    <mergeCell ref="D60:F60"/>
    <mergeCell ref="H60:K60"/>
    <mergeCell ref="H42:K43"/>
    <mergeCell ref="L42:L43"/>
    <mergeCell ref="A51:B51"/>
    <mergeCell ref="D51:F51"/>
    <mergeCell ref="H51:K51"/>
    <mergeCell ref="A50:B50"/>
    <mergeCell ref="D50:F50"/>
    <mergeCell ref="H50:K50"/>
    <mergeCell ref="A48:B48"/>
    <mergeCell ref="D48:F48"/>
    <mergeCell ref="A1:N1"/>
    <mergeCell ref="J39:L39"/>
    <mergeCell ref="B40:D40"/>
    <mergeCell ref="E40:G40"/>
    <mergeCell ref="B39:D39"/>
    <mergeCell ref="E39:G39"/>
    <mergeCell ref="A3:A6"/>
    <mergeCell ref="B3:N3"/>
    <mergeCell ref="H4:I4"/>
    <mergeCell ref="M4:N4"/>
    <mergeCell ref="A61:B61"/>
    <mergeCell ref="D61:F61"/>
    <mergeCell ref="H61:K61"/>
    <mergeCell ref="A58:B58"/>
    <mergeCell ref="D58:F58"/>
    <mergeCell ref="H58:K58"/>
    <mergeCell ref="A59:B59"/>
    <mergeCell ref="D59:F59"/>
    <mergeCell ref="H59:K59"/>
    <mergeCell ref="A56:B56"/>
    <mergeCell ref="D56:F56"/>
    <mergeCell ref="H56:K56"/>
    <mergeCell ref="A57:B57"/>
    <mergeCell ref="D57:F57"/>
    <mergeCell ref="H57:K57"/>
    <mergeCell ref="A55:B55"/>
    <mergeCell ref="D55:F55"/>
    <mergeCell ref="H55:K55"/>
    <mergeCell ref="A53:B54"/>
    <mergeCell ref="C53:C54"/>
    <mergeCell ref="D53:F54"/>
    <mergeCell ref="G53:G54"/>
    <mergeCell ref="H53:K54"/>
    <mergeCell ref="H48:K48"/>
    <mergeCell ref="A49:B49"/>
    <mergeCell ref="D49:F49"/>
    <mergeCell ref="H49:K49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42:B43"/>
    <mergeCell ref="C42:C43"/>
    <mergeCell ref="D42:F43"/>
    <mergeCell ref="G42:G43"/>
    <mergeCell ref="J4:L4"/>
    <mergeCell ref="A100:A101"/>
    <mergeCell ref="A84:A85"/>
    <mergeCell ref="B84:B85"/>
    <mergeCell ref="C84:F84"/>
    <mergeCell ref="E4:G4"/>
    <mergeCell ref="B4:D4"/>
    <mergeCell ref="A78:A80"/>
    <mergeCell ref="B78:B80"/>
    <mergeCell ref="C78:I78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SheetLayoutView="100" workbookViewId="0" topLeftCell="A1">
      <selection activeCell="L115" sqref="L115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875"/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307</v>
      </c>
    </row>
    <row r="3" spans="1:14" ht="24" customHeight="1" thickBot="1">
      <c r="A3" s="876" t="s">
        <v>165</v>
      </c>
      <c r="B3" s="792" t="s">
        <v>663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4" ht="14.25" thickBot="1" thickTop="1">
      <c r="A4" s="876"/>
      <c r="B4" s="790" t="s">
        <v>308</v>
      </c>
      <c r="C4" s="790"/>
      <c r="D4" s="790"/>
      <c r="E4" s="790" t="s">
        <v>417</v>
      </c>
      <c r="F4" s="790"/>
      <c r="G4" s="790"/>
      <c r="H4" s="793" t="s">
        <v>309</v>
      </c>
      <c r="I4" s="793"/>
      <c r="J4" s="790" t="s">
        <v>418</v>
      </c>
      <c r="K4" s="790"/>
      <c r="L4" s="790"/>
      <c r="M4" s="790" t="s">
        <v>419</v>
      </c>
      <c r="N4" s="790"/>
    </row>
    <row r="5" spans="1:14" ht="14.25" thickBot="1" thickTop="1">
      <c r="A5" s="876"/>
      <c r="B5" s="66" t="s">
        <v>166</v>
      </c>
      <c r="C5" s="67" t="s">
        <v>167</v>
      </c>
      <c r="D5" s="68" t="s">
        <v>168</v>
      </c>
      <c r="E5" s="66" t="s">
        <v>166</v>
      </c>
      <c r="F5" s="67" t="s">
        <v>167</v>
      </c>
      <c r="G5" s="68" t="s">
        <v>168</v>
      </c>
      <c r="H5" s="69" t="s">
        <v>168</v>
      </c>
      <c r="I5" s="69" t="s">
        <v>169</v>
      </c>
      <c r="J5" s="70" t="s">
        <v>166</v>
      </c>
      <c r="K5" s="67" t="s">
        <v>167</v>
      </c>
      <c r="L5" s="68" t="s">
        <v>168</v>
      </c>
      <c r="M5" s="69" t="s">
        <v>168</v>
      </c>
      <c r="N5" s="68" t="s">
        <v>169</v>
      </c>
    </row>
    <row r="6" spans="1:14" ht="14.25" thickBot="1" thickTop="1">
      <c r="A6" s="791"/>
      <c r="B6" s="183" t="s">
        <v>170</v>
      </c>
      <c r="C6" s="184" t="s">
        <v>170</v>
      </c>
      <c r="D6" s="185"/>
      <c r="E6" s="183" t="s">
        <v>170</v>
      </c>
      <c r="F6" s="184" t="s">
        <v>170</v>
      </c>
      <c r="G6" s="185"/>
      <c r="H6" s="189" t="s">
        <v>171</v>
      </c>
      <c r="I6" s="189" t="s">
        <v>172</v>
      </c>
      <c r="J6" s="197" t="s">
        <v>170</v>
      </c>
      <c r="K6" s="184" t="s">
        <v>170</v>
      </c>
      <c r="L6" s="185"/>
      <c r="M6" s="189" t="s">
        <v>171</v>
      </c>
      <c r="N6" s="185" t="s">
        <v>172</v>
      </c>
    </row>
    <row r="7" spans="1:14" ht="13.5" customHeight="1">
      <c r="A7" s="274" t="s">
        <v>173</v>
      </c>
      <c r="B7" s="163"/>
      <c r="C7" s="164"/>
      <c r="D7" s="167">
        <f aca="true" t="shared" si="0" ref="D7:D18">SUM(B7:C7)</f>
        <v>0</v>
      </c>
      <c r="E7" s="163"/>
      <c r="F7" s="164"/>
      <c r="G7" s="167">
        <f aca="true" t="shared" si="1" ref="G7:G18">SUM(E7:F7)</f>
        <v>0</v>
      </c>
      <c r="H7" s="191">
        <f aca="true" t="shared" si="2" ref="H7:H38">+G7-D7</f>
        <v>0</v>
      </c>
      <c r="I7" s="195"/>
      <c r="J7" s="163"/>
      <c r="K7" s="164"/>
      <c r="L7" s="167">
        <f aca="true" t="shared" si="3" ref="L7:L18">SUM(J7:K7)</f>
        <v>0</v>
      </c>
      <c r="M7" s="191">
        <f aca="true" t="shared" si="4" ref="M7:M38">+L7-G7</f>
        <v>0</v>
      </c>
      <c r="N7" s="192"/>
    </row>
    <row r="8" spans="1:14" ht="13.5" customHeight="1">
      <c r="A8" s="275" t="s">
        <v>174</v>
      </c>
      <c r="B8" s="14">
        <v>5201</v>
      </c>
      <c r="C8" s="13"/>
      <c r="D8" s="168">
        <f t="shared" si="0"/>
        <v>5201</v>
      </c>
      <c r="E8" s="14">
        <v>8688</v>
      </c>
      <c r="F8" s="13"/>
      <c r="G8" s="168">
        <f t="shared" si="1"/>
        <v>8688</v>
      </c>
      <c r="H8" s="193">
        <f t="shared" si="2"/>
        <v>3487</v>
      </c>
      <c r="I8" s="196">
        <f aca="true" t="shared" si="5" ref="I8:I22">+G8/D8</f>
        <v>1.6704479907710055</v>
      </c>
      <c r="J8" s="14">
        <v>9825</v>
      </c>
      <c r="K8" s="13"/>
      <c r="L8" s="168">
        <f t="shared" si="3"/>
        <v>9825</v>
      </c>
      <c r="M8" s="193">
        <f t="shared" si="4"/>
        <v>1137</v>
      </c>
      <c r="N8" s="194">
        <f aca="true" t="shared" si="6" ref="N8:N22">+L8/G8</f>
        <v>1.1308701657458564</v>
      </c>
    </row>
    <row r="9" spans="1:14" ht="13.5" customHeight="1">
      <c r="A9" s="275" t="s">
        <v>175</v>
      </c>
      <c r="B9" s="14"/>
      <c r="C9" s="13"/>
      <c r="D9" s="168">
        <f t="shared" si="0"/>
        <v>0</v>
      </c>
      <c r="E9" s="14"/>
      <c r="F9" s="13"/>
      <c r="G9" s="168">
        <f t="shared" si="1"/>
        <v>0</v>
      </c>
      <c r="H9" s="193">
        <f t="shared" si="2"/>
        <v>0</v>
      </c>
      <c r="I9" s="196"/>
      <c r="J9" s="14"/>
      <c r="K9" s="13"/>
      <c r="L9" s="168">
        <f t="shared" si="3"/>
        <v>0</v>
      </c>
      <c r="M9" s="193">
        <f t="shared" si="4"/>
        <v>0</v>
      </c>
      <c r="N9" s="194"/>
    </row>
    <row r="10" spans="1:14" ht="13.5" customHeight="1">
      <c r="A10" s="275" t="s">
        <v>176</v>
      </c>
      <c r="B10" s="14"/>
      <c r="C10" s="13"/>
      <c r="D10" s="168">
        <f t="shared" si="0"/>
        <v>0</v>
      </c>
      <c r="E10" s="14"/>
      <c r="F10" s="13"/>
      <c r="G10" s="168">
        <f t="shared" si="1"/>
        <v>0</v>
      </c>
      <c r="H10" s="193">
        <f t="shared" si="2"/>
        <v>0</v>
      </c>
      <c r="I10" s="196"/>
      <c r="J10" s="14"/>
      <c r="K10" s="13"/>
      <c r="L10" s="168">
        <f t="shared" si="3"/>
        <v>0</v>
      </c>
      <c r="M10" s="193">
        <f t="shared" si="4"/>
        <v>0</v>
      </c>
      <c r="N10" s="194"/>
    </row>
    <row r="11" spans="1:14" ht="13.5" customHeight="1">
      <c r="A11" s="275" t="s">
        <v>177</v>
      </c>
      <c r="B11" s="14">
        <v>24</v>
      </c>
      <c r="C11" s="13"/>
      <c r="D11" s="168">
        <f t="shared" si="0"/>
        <v>24</v>
      </c>
      <c r="E11" s="14">
        <v>83</v>
      </c>
      <c r="F11" s="13"/>
      <c r="G11" s="168">
        <f t="shared" si="1"/>
        <v>83</v>
      </c>
      <c r="H11" s="193">
        <f t="shared" si="2"/>
        <v>59</v>
      </c>
      <c r="I11" s="196">
        <f t="shared" si="5"/>
        <v>3.4583333333333335</v>
      </c>
      <c r="J11" s="14"/>
      <c r="K11" s="13"/>
      <c r="L11" s="168">
        <f t="shared" si="3"/>
        <v>0</v>
      </c>
      <c r="M11" s="193">
        <f t="shared" si="4"/>
        <v>-83</v>
      </c>
      <c r="N11" s="194">
        <f t="shared" si="6"/>
        <v>0</v>
      </c>
    </row>
    <row r="12" spans="1:14" ht="13.5" customHeight="1">
      <c r="A12" s="276" t="s">
        <v>178</v>
      </c>
      <c r="B12" s="14">
        <v>23</v>
      </c>
      <c r="C12" s="13"/>
      <c r="D12" s="168">
        <f t="shared" si="0"/>
        <v>23</v>
      </c>
      <c r="E12" s="14">
        <v>64</v>
      </c>
      <c r="F12" s="13"/>
      <c r="G12" s="168">
        <f t="shared" si="1"/>
        <v>64</v>
      </c>
      <c r="H12" s="193">
        <f t="shared" si="2"/>
        <v>41</v>
      </c>
      <c r="I12" s="196">
        <f t="shared" si="5"/>
        <v>2.782608695652174</v>
      </c>
      <c r="J12" s="14"/>
      <c r="K12" s="13"/>
      <c r="L12" s="168">
        <f t="shared" si="3"/>
        <v>0</v>
      </c>
      <c r="M12" s="193">
        <f t="shared" si="4"/>
        <v>-64</v>
      </c>
      <c r="N12" s="194">
        <f t="shared" si="6"/>
        <v>0</v>
      </c>
    </row>
    <row r="13" spans="1:14" ht="13.5" customHeight="1">
      <c r="A13" s="276" t="s">
        <v>179</v>
      </c>
      <c r="B13" s="14"/>
      <c r="C13" s="13"/>
      <c r="D13" s="168">
        <f t="shared" si="0"/>
        <v>0</v>
      </c>
      <c r="E13" s="14"/>
      <c r="F13" s="13"/>
      <c r="G13" s="168">
        <f t="shared" si="1"/>
        <v>0</v>
      </c>
      <c r="H13" s="193">
        <f t="shared" si="2"/>
        <v>0</v>
      </c>
      <c r="I13" s="196"/>
      <c r="J13" s="14"/>
      <c r="K13" s="13"/>
      <c r="L13" s="168">
        <f t="shared" si="3"/>
        <v>0</v>
      </c>
      <c r="M13" s="193">
        <f t="shared" si="4"/>
        <v>0</v>
      </c>
      <c r="N13" s="194"/>
    </row>
    <row r="14" spans="1:14" ht="23.25" customHeight="1">
      <c r="A14" s="276" t="s">
        <v>180</v>
      </c>
      <c r="B14" s="14"/>
      <c r="C14" s="13"/>
      <c r="D14" s="168">
        <f t="shared" si="0"/>
        <v>0</v>
      </c>
      <c r="E14" s="14"/>
      <c r="F14" s="13"/>
      <c r="G14" s="168">
        <f t="shared" si="1"/>
        <v>0</v>
      </c>
      <c r="H14" s="193">
        <f t="shared" si="2"/>
        <v>0</v>
      </c>
      <c r="I14" s="196"/>
      <c r="J14" s="14"/>
      <c r="K14" s="13"/>
      <c r="L14" s="168">
        <f t="shared" si="3"/>
        <v>0</v>
      </c>
      <c r="M14" s="193">
        <f t="shared" si="4"/>
        <v>0</v>
      </c>
      <c r="N14" s="194"/>
    </row>
    <row r="15" spans="1:14" ht="13.5" customHeight="1">
      <c r="A15" s="275" t="s">
        <v>181</v>
      </c>
      <c r="B15" s="14">
        <v>10504</v>
      </c>
      <c r="C15" s="13"/>
      <c r="D15" s="168">
        <f t="shared" si="0"/>
        <v>10504</v>
      </c>
      <c r="E15" s="14">
        <v>9535</v>
      </c>
      <c r="F15" s="13"/>
      <c r="G15" s="168">
        <f t="shared" si="1"/>
        <v>9535</v>
      </c>
      <c r="H15" s="193">
        <f t="shared" si="2"/>
        <v>-969</v>
      </c>
      <c r="I15" s="196">
        <f t="shared" si="5"/>
        <v>0.9077494287890328</v>
      </c>
      <c r="J15" s="15">
        <v>7174</v>
      </c>
      <c r="K15" s="279"/>
      <c r="L15" s="168">
        <f t="shared" si="3"/>
        <v>7174</v>
      </c>
      <c r="M15" s="193">
        <f t="shared" si="4"/>
        <v>-2361</v>
      </c>
      <c r="N15" s="194">
        <f t="shared" si="6"/>
        <v>0.7523859465128474</v>
      </c>
    </row>
    <row r="16" spans="1:14" ht="13.5" customHeight="1">
      <c r="A16" s="277" t="s">
        <v>310</v>
      </c>
      <c r="B16" s="14">
        <v>10504</v>
      </c>
      <c r="C16" s="13"/>
      <c r="D16" s="168">
        <f t="shared" si="0"/>
        <v>10504</v>
      </c>
      <c r="E16" s="14">
        <v>1060</v>
      </c>
      <c r="F16" s="13"/>
      <c r="G16" s="168">
        <f t="shared" si="1"/>
        <v>1060</v>
      </c>
      <c r="H16" s="193">
        <f t="shared" si="2"/>
        <v>-9444</v>
      </c>
      <c r="I16" s="196">
        <f t="shared" si="5"/>
        <v>0.10091393754760092</v>
      </c>
      <c r="J16" s="15">
        <v>368</v>
      </c>
      <c r="K16" s="13"/>
      <c r="L16" s="168">
        <f t="shared" si="3"/>
        <v>368</v>
      </c>
      <c r="M16" s="193">
        <f t="shared" si="4"/>
        <v>-692</v>
      </c>
      <c r="N16" s="194">
        <f t="shared" si="6"/>
        <v>0.3471698113207547</v>
      </c>
    </row>
    <row r="17" spans="1:14" ht="13.5" customHeight="1">
      <c r="A17" s="277" t="s">
        <v>311</v>
      </c>
      <c r="B17" s="14"/>
      <c r="C17" s="13"/>
      <c r="D17" s="168">
        <f t="shared" si="0"/>
        <v>0</v>
      </c>
      <c r="E17" s="14">
        <v>8475</v>
      </c>
      <c r="F17" s="13"/>
      <c r="G17" s="168">
        <f t="shared" si="1"/>
        <v>8475</v>
      </c>
      <c r="H17" s="193">
        <f t="shared" si="2"/>
        <v>8475</v>
      </c>
      <c r="I17" s="196"/>
      <c r="J17" s="15">
        <v>6806</v>
      </c>
      <c r="K17" s="13"/>
      <c r="L17" s="168">
        <f t="shared" si="3"/>
        <v>6806</v>
      </c>
      <c r="M17" s="193">
        <f t="shared" si="4"/>
        <v>-1669</v>
      </c>
      <c r="N17" s="194">
        <f t="shared" si="6"/>
        <v>0.8030678466076696</v>
      </c>
    </row>
    <row r="18" spans="1:14" ht="13.5" customHeight="1" thickBot="1">
      <c r="A18" s="278" t="s">
        <v>416</v>
      </c>
      <c r="B18" s="165"/>
      <c r="C18" s="166"/>
      <c r="D18" s="168">
        <f t="shared" si="0"/>
        <v>0</v>
      </c>
      <c r="E18" s="165"/>
      <c r="F18" s="166"/>
      <c r="G18" s="168">
        <f t="shared" si="1"/>
        <v>0</v>
      </c>
      <c r="H18" s="271"/>
      <c r="I18" s="273"/>
      <c r="J18" s="169"/>
      <c r="K18" s="166"/>
      <c r="L18" s="168">
        <f t="shared" si="3"/>
        <v>0</v>
      </c>
      <c r="M18" s="271"/>
      <c r="N18" s="272"/>
    </row>
    <row r="19" spans="1:14" ht="13.5" customHeight="1" thickBot="1">
      <c r="A19" s="182" t="s">
        <v>182</v>
      </c>
      <c r="B19" s="186">
        <f aca="true" t="shared" si="7" ref="B19:G19">SUM(B7+B8+B9+B10+B11+B13+B15)</f>
        <v>15729</v>
      </c>
      <c r="C19" s="187">
        <f t="shared" si="7"/>
        <v>0</v>
      </c>
      <c r="D19" s="188">
        <f t="shared" si="7"/>
        <v>15729</v>
      </c>
      <c r="E19" s="186">
        <f t="shared" si="7"/>
        <v>18306</v>
      </c>
      <c r="F19" s="187">
        <f t="shared" si="7"/>
        <v>0</v>
      </c>
      <c r="G19" s="188">
        <f t="shared" si="7"/>
        <v>18306</v>
      </c>
      <c r="H19" s="190">
        <f t="shared" si="2"/>
        <v>2577</v>
      </c>
      <c r="I19" s="108">
        <f t="shared" si="5"/>
        <v>1.1638374976158687</v>
      </c>
      <c r="J19" s="198">
        <f>SUM(J7+J8+J9+J10+J11+J13+J15)</f>
        <v>16999</v>
      </c>
      <c r="K19" s="187">
        <f>SUM(K7+K8+K9+K10+K11+K13+K15)</f>
        <v>0</v>
      </c>
      <c r="L19" s="188">
        <f>SUM(L7+L8+L9+L10+L11+L13+L15)</f>
        <v>16999</v>
      </c>
      <c r="M19" s="190">
        <f t="shared" si="4"/>
        <v>-1307</v>
      </c>
      <c r="N19" s="199">
        <f t="shared" si="6"/>
        <v>0.928602643941877</v>
      </c>
    </row>
    <row r="20" spans="1:14" ht="13.5" customHeight="1">
      <c r="A20" s="96" t="s">
        <v>183</v>
      </c>
      <c r="B20" s="71">
        <v>3401</v>
      </c>
      <c r="C20" s="72"/>
      <c r="D20" s="73">
        <f aca="true" t="shared" si="8" ref="D20:D37">SUM(B20:C20)</f>
        <v>3401</v>
      </c>
      <c r="E20" s="71">
        <v>3225</v>
      </c>
      <c r="F20" s="72"/>
      <c r="G20" s="97">
        <f aca="true" t="shared" si="9" ref="G20:G37">SUM(E20:F20)</f>
        <v>3225</v>
      </c>
      <c r="H20" s="98">
        <f t="shared" si="2"/>
        <v>-176</v>
      </c>
      <c r="I20" s="99">
        <f t="shared" si="5"/>
        <v>0.9482505145545428</v>
      </c>
      <c r="J20" s="76">
        <v>3258</v>
      </c>
      <c r="K20" s="72"/>
      <c r="L20" s="100">
        <f aca="true" t="shared" si="10" ref="L20:L37">SUM(J20:K20)</f>
        <v>3258</v>
      </c>
      <c r="M20" s="98">
        <f t="shared" si="4"/>
        <v>33</v>
      </c>
      <c r="N20" s="101">
        <f t="shared" si="6"/>
        <v>1.0102325581395348</v>
      </c>
    </row>
    <row r="21" spans="1:14" ht="21" customHeight="1">
      <c r="A21" s="82" t="s">
        <v>184</v>
      </c>
      <c r="B21" s="71">
        <v>827</v>
      </c>
      <c r="C21" s="72"/>
      <c r="D21" s="73">
        <f t="shared" si="8"/>
        <v>827</v>
      </c>
      <c r="E21" s="71">
        <v>576</v>
      </c>
      <c r="F21" s="72"/>
      <c r="G21" s="97">
        <f t="shared" si="9"/>
        <v>576</v>
      </c>
      <c r="H21" s="74">
        <f t="shared" si="2"/>
        <v>-251</v>
      </c>
      <c r="I21" s="75">
        <f t="shared" si="5"/>
        <v>0.6964933494558646</v>
      </c>
      <c r="J21" s="76">
        <v>200</v>
      </c>
      <c r="K21" s="72"/>
      <c r="L21" s="100">
        <f t="shared" si="10"/>
        <v>200</v>
      </c>
      <c r="M21" s="74">
        <f t="shared" si="4"/>
        <v>-376</v>
      </c>
      <c r="N21" s="77">
        <f t="shared" si="6"/>
        <v>0.3472222222222222</v>
      </c>
    </row>
    <row r="22" spans="1:14" ht="13.5" customHeight="1">
      <c r="A22" s="78" t="s">
        <v>185</v>
      </c>
      <c r="B22" s="79">
        <v>505</v>
      </c>
      <c r="C22" s="80"/>
      <c r="D22" s="73">
        <f t="shared" si="8"/>
        <v>505</v>
      </c>
      <c r="E22" s="79">
        <v>552</v>
      </c>
      <c r="F22" s="80"/>
      <c r="G22" s="97">
        <f t="shared" si="9"/>
        <v>552</v>
      </c>
      <c r="H22" s="74">
        <f t="shared" si="2"/>
        <v>47</v>
      </c>
      <c r="I22" s="75">
        <f t="shared" si="5"/>
        <v>1.0930693069306932</v>
      </c>
      <c r="J22" s="81">
        <v>663</v>
      </c>
      <c r="K22" s="80"/>
      <c r="L22" s="100">
        <f t="shared" si="10"/>
        <v>663</v>
      </c>
      <c r="M22" s="74">
        <f t="shared" si="4"/>
        <v>111</v>
      </c>
      <c r="N22" s="77">
        <f t="shared" si="6"/>
        <v>1.201086956521739</v>
      </c>
    </row>
    <row r="23" spans="1:14" ht="13.5" customHeight="1">
      <c r="A23" s="82" t="s">
        <v>186</v>
      </c>
      <c r="B23" s="79"/>
      <c r="C23" s="80"/>
      <c r="D23" s="73">
        <f t="shared" si="8"/>
        <v>0</v>
      </c>
      <c r="E23" s="79"/>
      <c r="F23" s="80"/>
      <c r="G23" s="97">
        <f t="shared" si="9"/>
        <v>0</v>
      </c>
      <c r="H23" s="74">
        <f t="shared" si="2"/>
        <v>0</v>
      </c>
      <c r="I23" s="75"/>
      <c r="J23" s="81"/>
      <c r="K23" s="80"/>
      <c r="L23" s="100">
        <f t="shared" si="10"/>
        <v>0</v>
      </c>
      <c r="M23" s="74">
        <f t="shared" si="4"/>
        <v>0</v>
      </c>
      <c r="N23" s="77"/>
    </row>
    <row r="24" spans="1:14" ht="13.5" customHeight="1">
      <c r="A24" s="78" t="s">
        <v>298</v>
      </c>
      <c r="B24" s="79">
        <v>15</v>
      </c>
      <c r="C24" s="80"/>
      <c r="D24" s="73">
        <f t="shared" si="8"/>
        <v>15</v>
      </c>
      <c r="E24" s="79">
        <v>90</v>
      </c>
      <c r="F24" s="80"/>
      <c r="G24" s="97">
        <f t="shared" si="9"/>
        <v>90</v>
      </c>
      <c r="H24" s="74">
        <f t="shared" si="2"/>
        <v>75</v>
      </c>
      <c r="I24" s="75">
        <f aca="true" t="shared" si="11" ref="I24:I38">+G24/D24</f>
        <v>6</v>
      </c>
      <c r="J24" s="81">
        <v>93</v>
      </c>
      <c r="K24" s="80"/>
      <c r="L24" s="100">
        <f t="shared" si="10"/>
        <v>93</v>
      </c>
      <c r="M24" s="74">
        <f t="shared" si="4"/>
        <v>3</v>
      </c>
      <c r="N24" s="77">
        <f aca="true" t="shared" si="12" ref="N24:N38">+L24/G24</f>
        <v>1.0333333333333334</v>
      </c>
    </row>
    <row r="25" spans="1:14" ht="13.5" customHeight="1">
      <c r="A25" s="78" t="s">
        <v>187</v>
      </c>
      <c r="B25" s="81">
        <v>1438</v>
      </c>
      <c r="C25" s="80"/>
      <c r="D25" s="73">
        <f t="shared" si="8"/>
        <v>1438</v>
      </c>
      <c r="E25" s="81">
        <v>2406</v>
      </c>
      <c r="F25" s="80"/>
      <c r="G25" s="97">
        <f t="shared" si="9"/>
        <v>2406</v>
      </c>
      <c r="H25" s="74">
        <f t="shared" si="2"/>
        <v>968</v>
      </c>
      <c r="I25" s="75">
        <f t="shared" si="11"/>
        <v>1.6731571627260085</v>
      </c>
      <c r="J25" s="81">
        <v>1549</v>
      </c>
      <c r="K25" s="80"/>
      <c r="L25" s="100">
        <f t="shared" si="10"/>
        <v>1549</v>
      </c>
      <c r="M25" s="74">
        <f t="shared" si="4"/>
        <v>-857</v>
      </c>
      <c r="N25" s="77">
        <f t="shared" si="12"/>
        <v>0.6438071487946799</v>
      </c>
    </row>
    <row r="26" spans="1:14" ht="13.5" customHeight="1">
      <c r="A26" s="82" t="s">
        <v>188</v>
      </c>
      <c r="B26" s="79">
        <v>470</v>
      </c>
      <c r="C26" s="80"/>
      <c r="D26" s="73">
        <f t="shared" si="8"/>
        <v>470</v>
      </c>
      <c r="E26" s="79">
        <v>1047</v>
      </c>
      <c r="F26" s="80"/>
      <c r="G26" s="97">
        <f t="shared" si="9"/>
        <v>1047</v>
      </c>
      <c r="H26" s="74">
        <f t="shared" si="2"/>
        <v>577</v>
      </c>
      <c r="I26" s="75">
        <f t="shared" si="11"/>
        <v>2.227659574468085</v>
      </c>
      <c r="J26" s="102">
        <v>249</v>
      </c>
      <c r="K26" s="80"/>
      <c r="L26" s="100">
        <f t="shared" si="10"/>
        <v>249</v>
      </c>
      <c r="M26" s="74">
        <f t="shared" si="4"/>
        <v>-798</v>
      </c>
      <c r="N26" s="77">
        <f t="shared" si="12"/>
        <v>0.23782234957020057</v>
      </c>
    </row>
    <row r="27" spans="1:14" ht="13.5" customHeight="1">
      <c r="A27" s="78" t="s">
        <v>189</v>
      </c>
      <c r="B27" s="79">
        <v>968</v>
      </c>
      <c r="C27" s="80"/>
      <c r="D27" s="73">
        <f t="shared" si="8"/>
        <v>968</v>
      </c>
      <c r="E27" s="79">
        <v>1318</v>
      </c>
      <c r="F27" s="80"/>
      <c r="G27" s="97">
        <f t="shared" si="9"/>
        <v>1318</v>
      </c>
      <c r="H27" s="74">
        <f t="shared" si="2"/>
        <v>350</v>
      </c>
      <c r="I27" s="75">
        <f t="shared" si="11"/>
        <v>1.3615702479338843</v>
      </c>
      <c r="J27" s="102">
        <v>1295</v>
      </c>
      <c r="K27" s="80"/>
      <c r="L27" s="100">
        <f t="shared" si="10"/>
        <v>1295</v>
      </c>
      <c r="M27" s="74">
        <f t="shared" si="4"/>
        <v>-23</v>
      </c>
      <c r="N27" s="77">
        <f t="shared" si="12"/>
        <v>0.9825493171471927</v>
      </c>
    </row>
    <row r="28" spans="1:14" ht="13.5" customHeight="1">
      <c r="A28" s="103" t="s">
        <v>190</v>
      </c>
      <c r="B28" s="81">
        <v>10026</v>
      </c>
      <c r="C28" s="80"/>
      <c r="D28" s="73">
        <f t="shared" si="8"/>
        <v>10026</v>
      </c>
      <c r="E28" s="81">
        <v>11673</v>
      </c>
      <c r="F28" s="80"/>
      <c r="G28" s="97">
        <f t="shared" si="9"/>
        <v>11673</v>
      </c>
      <c r="H28" s="74">
        <f t="shared" si="2"/>
        <v>1647</v>
      </c>
      <c r="I28" s="75">
        <f t="shared" si="11"/>
        <v>1.1642728904847397</v>
      </c>
      <c r="J28" s="81">
        <v>13686</v>
      </c>
      <c r="K28" s="80"/>
      <c r="L28" s="100">
        <f t="shared" si="10"/>
        <v>13686</v>
      </c>
      <c r="M28" s="74">
        <f t="shared" si="4"/>
        <v>2013</v>
      </c>
      <c r="N28" s="77">
        <f t="shared" si="12"/>
        <v>1.172449241840144</v>
      </c>
    </row>
    <row r="29" spans="1:14" ht="13.5" customHeight="1">
      <c r="A29" s="82" t="s">
        <v>191</v>
      </c>
      <c r="B29" s="79">
        <v>7232</v>
      </c>
      <c r="C29" s="80"/>
      <c r="D29" s="73">
        <f t="shared" si="8"/>
        <v>7232</v>
      </c>
      <c r="E29" s="79">
        <v>8532</v>
      </c>
      <c r="F29" s="80"/>
      <c r="G29" s="97">
        <f t="shared" si="9"/>
        <v>8532</v>
      </c>
      <c r="H29" s="74">
        <f t="shared" si="2"/>
        <v>1300</v>
      </c>
      <c r="I29" s="75">
        <f t="shared" si="11"/>
        <v>1.1797566371681416</v>
      </c>
      <c r="J29" s="102">
        <v>10018</v>
      </c>
      <c r="K29" s="104"/>
      <c r="L29" s="100">
        <f t="shared" si="10"/>
        <v>10018</v>
      </c>
      <c r="M29" s="74">
        <f t="shared" si="4"/>
        <v>1486</v>
      </c>
      <c r="N29" s="77">
        <f t="shared" si="12"/>
        <v>1.1741678387248007</v>
      </c>
    </row>
    <row r="30" spans="1:14" ht="13.5" customHeight="1">
      <c r="A30" s="103" t="s">
        <v>192</v>
      </c>
      <c r="B30" s="79">
        <v>7301</v>
      </c>
      <c r="C30" s="80"/>
      <c r="D30" s="73">
        <f t="shared" si="8"/>
        <v>7301</v>
      </c>
      <c r="E30" s="79">
        <v>8416</v>
      </c>
      <c r="F30" s="80"/>
      <c r="G30" s="97">
        <f t="shared" si="9"/>
        <v>8416</v>
      </c>
      <c r="H30" s="74">
        <f t="shared" si="2"/>
        <v>1115</v>
      </c>
      <c r="I30" s="75">
        <f t="shared" si="11"/>
        <v>1.1527188056430626</v>
      </c>
      <c r="J30" s="81">
        <v>9761</v>
      </c>
      <c r="K30" s="80"/>
      <c r="L30" s="100">
        <f t="shared" si="10"/>
        <v>9761</v>
      </c>
      <c r="M30" s="74">
        <f t="shared" si="4"/>
        <v>1345</v>
      </c>
      <c r="N30" s="77">
        <f t="shared" si="12"/>
        <v>1.15981463878327</v>
      </c>
    </row>
    <row r="31" spans="1:14" ht="13.5" customHeight="1">
      <c r="A31" s="82" t="s">
        <v>193</v>
      </c>
      <c r="B31" s="79">
        <v>22</v>
      </c>
      <c r="C31" s="80"/>
      <c r="D31" s="73">
        <f t="shared" si="8"/>
        <v>22</v>
      </c>
      <c r="E31" s="79">
        <v>116</v>
      </c>
      <c r="F31" s="80"/>
      <c r="G31" s="97">
        <f t="shared" si="9"/>
        <v>116</v>
      </c>
      <c r="H31" s="74">
        <f t="shared" si="2"/>
        <v>94</v>
      </c>
      <c r="I31" s="75">
        <f t="shared" si="11"/>
        <v>5.2727272727272725</v>
      </c>
      <c r="J31" s="81">
        <v>257</v>
      </c>
      <c r="K31" s="80"/>
      <c r="L31" s="100">
        <f t="shared" si="10"/>
        <v>257</v>
      </c>
      <c r="M31" s="74">
        <f t="shared" si="4"/>
        <v>141</v>
      </c>
      <c r="N31" s="77">
        <f t="shared" si="12"/>
        <v>2.2155172413793105</v>
      </c>
    </row>
    <row r="32" spans="1:14" ht="13.5" customHeight="1">
      <c r="A32" s="82" t="s">
        <v>194</v>
      </c>
      <c r="B32" s="79">
        <v>2703</v>
      </c>
      <c r="C32" s="80"/>
      <c r="D32" s="73">
        <f t="shared" si="8"/>
        <v>2703</v>
      </c>
      <c r="E32" s="79">
        <v>3141</v>
      </c>
      <c r="F32" s="80"/>
      <c r="G32" s="97">
        <f t="shared" si="9"/>
        <v>3141</v>
      </c>
      <c r="H32" s="74">
        <f t="shared" si="2"/>
        <v>438</v>
      </c>
      <c r="I32" s="75">
        <f t="shared" si="11"/>
        <v>1.1620421753607104</v>
      </c>
      <c r="J32" s="81">
        <v>3668</v>
      </c>
      <c r="K32" s="80"/>
      <c r="L32" s="100">
        <f t="shared" si="10"/>
        <v>3668</v>
      </c>
      <c r="M32" s="74">
        <f t="shared" si="4"/>
        <v>527</v>
      </c>
      <c r="N32" s="77">
        <f t="shared" si="12"/>
        <v>1.1677809614772365</v>
      </c>
    </row>
    <row r="33" spans="1:14" ht="13.5" customHeight="1">
      <c r="A33" s="103" t="s">
        <v>195</v>
      </c>
      <c r="B33" s="79">
        <v>14</v>
      </c>
      <c r="C33" s="80"/>
      <c r="D33" s="73">
        <f t="shared" si="8"/>
        <v>14</v>
      </c>
      <c r="E33" s="79">
        <v>4</v>
      </c>
      <c r="F33" s="80"/>
      <c r="G33" s="97">
        <f t="shared" si="9"/>
        <v>4</v>
      </c>
      <c r="H33" s="74">
        <f t="shared" si="2"/>
        <v>-10</v>
      </c>
      <c r="I33" s="75">
        <f t="shared" si="11"/>
        <v>0.2857142857142857</v>
      </c>
      <c r="J33" s="81">
        <v>5</v>
      </c>
      <c r="K33" s="80"/>
      <c r="L33" s="100">
        <f t="shared" si="10"/>
        <v>5</v>
      </c>
      <c r="M33" s="74">
        <f t="shared" si="4"/>
        <v>1</v>
      </c>
      <c r="N33" s="77">
        <f t="shared" si="12"/>
        <v>1.25</v>
      </c>
    </row>
    <row r="34" spans="1:14" ht="13.5" customHeight="1">
      <c r="A34" s="103" t="s">
        <v>196</v>
      </c>
      <c r="B34" s="79">
        <v>99</v>
      </c>
      <c r="C34" s="80"/>
      <c r="D34" s="73">
        <f t="shared" si="8"/>
        <v>99</v>
      </c>
      <c r="E34" s="79">
        <v>136</v>
      </c>
      <c r="F34" s="80"/>
      <c r="G34" s="97">
        <f t="shared" si="9"/>
        <v>136</v>
      </c>
      <c r="H34" s="74">
        <f t="shared" si="2"/>
        <v>37</v>
      </c>
      <c r="I34" s="75">
        <f t="shared" si="11"/>
        <v>1.3737373737373737</v>
      </c>
      <c r="J34" s="81">
        <v>122</v>
      </c>
      <c r="K34" s="80"/>
      <c r="L34" s="100">
        <f t="shared" si="10"/>
        <v>122</v>
      </c>
      <c r="M34" s="74">
        <f t="shared" si="4"/>
        <v>-14</v>
      </c>
      <c r="N34" s="77">
        <f t="shared" si="12"/>
        <v>0.8970588235294118</v>
      </c>
    </row>
    <row r="35" spans="1:14" ht="13.5" customHeight="1">
      <c r="A35" s="82" t="s">
        <v>197</v>
      </c>
      <c r="B35" s="79">
        <v>194</v>
      </c>
      <c r="C35" s="80"/>
      <c r="D35" s="73">
        <f t="shared" si="8"/>
        <v>194</v>
      </c>
      <c r="E35" s="79">
        <v>208</v>
      </c>
      <c r="F35" s="80"/>
      <c r="G35" s="97">
        <f t="shared" si="9"/>
        <v>208</v>
      </c>
      <c r="H35" s="74">
        <f t="shared" si="2"/>
        <v>14</v>
      </c>
      <c r="I35" s="75">
        <f t="shared" si="11"/>
        <v>1.0721649484536082</v>
      </c>
      <c r="J35" s="102">
        <v>220</v>
      </c>
      <c r="K35" s="80"/>
      <c r="L35" s="100">
        <f t="shared" si="10"/>
        <v>220</v>
      </c>
      <c r="M35" s="74">
        <f t="shared" si="4"/>
        <v>12</v>
      </c>
      <c r="N35" s="77">
        <f t="shared" si="12"/>
        <v>1.0576923076923077</v>
      </c>
    </row>
    <row r="36" spans="1:14" ht="22.5" customHeight="1">
      <c r="A36" s="82" t="s">
        <v>198</v>
      </c>
      <c r="B36" s="79">
        <v>194</v>
      </c>
      <c r="C36" s="80"/>
      <c r="D36" s="73">
        <f t="shared" si="8"/>
        <v>194</v>
      </c>
      <c r="E36" s="79">
        <v>208</v>
      </c>
      <c r="F36" s="80"/>
      <c r="G36" s="97">
        <f t="shared" si="9"/>
        <v>208</v>
      </c>
      <c r="H36" s="74">
        <f t="shared" si="2"/>
        <v>14</v>
      </c>
      <c r="I36" s="75">
        <f t="shared" si="11"/>
        <v>1.0721649484536082</v>
      </c>
      <c r="J36" s="102"/>
      <c r="K36" s="80"/>
      <c r="L36" s="100">
        <f t="shared" si="10"/>
        <v>0</v>
      </c>
      <c r="M36" s="74">
        <f t="shared" si="4"/>
        <v>-208</v>
      </c>
      <c r="N36" s="77">
        <f t="shared" si="12"/>
        <v>0</v>
      </c>
    </row>
    <row r="37" spans="1:14" ht="13.5" customHeight="1" thickBot="1">
      <c r="A37" s="105" t="s">
        <v>199</v>
      </c>
      <c r="B37" s="83"/>
      <c r="C37" s="84"/>
      <c r="D37" s="73">
        <f t="shared" si="8"/>
        <v>0</v>
      </c>
      <c r="E37" s="83"/>
      <c r="F37" s="84"/>
      <c r="G37" s="97">
        <f t="shared" si="9"/>
        <v>0</v>
      </c>
      <c r="H37" s="85">
        <f t="shared" si="2"/>
        <v>0</v>
      </c>
      <c r="I37" s="86"/>
      <c r="J37" s="106"/>
      <c r="K37" s="84"/>
      <c r="L37" s="100">
        <f t="shared" si="10"/>
        <v>0</v>
      </c>
      <c r="M37" s="85">
        <f t="shared" si="4"/>
        <v>0</v>
      </c>
      <c r="N37" s="87"/>
    </row>
    <row r="38" spans="1:14" ht="13.5" customHeight="1" thickBot="1">
      <c r="A38" s="88" t="s">
        <v>200</v>
      </c>
      <c r="B38" s="89">
        <f aca="true" t="shared" si="13" ref="B38:G38">SUM(B20+B22+B23+B24+B25+B28+B33+B34+B35+B37)</f>
        <v>15692</v>
      </c>
      <c r="C38" s="90">
        <f t="shared" si="13"/>
        <v>0</v>
      </c>
      <c r="D38" s="91">
        <f t="shared" si="13"/>
        <v>15692</v>
      </c>
      <c r="E38" s="89">
        <f t="shared" si="13"/>
        <v>18294</v>
      </c>
      <c r="F38" s="90">
        <f t="shared" si="13"/>
        <v>0</v>
      </c>
      <c r="G38" s="91">
        <f t="shared" si="13"/>
        <v>18294</v>
      </c>
      <c r="H38" s="92">
        <f t="shared" si="2"/>
        <v>2602</v>
      </c>
      <c r="I38" s="93">
        <f t="shared" si="11"/>
        <v>1.1658169768034667</v>
      </c>
      <c r="J38" s="94">
        <f>SUM(J20+J22+J23+J24+J25+J28+J33+J34+J35+J37)</f>
        <v>19596</v>
      </c>
      <c r="K38" s="90">
        <f>SUM(K20+K22+K23+K24+K25+K28+K33+K34+K35+K37)</f>
        <v>0</v>
      </c>
      <c r="L38" s="91">
        <f>SUM(L20+L22+L23+L24+L25+L28+L33+L34+L35+L37)</f>
        <v>19596</v>
      </c>
      <c r="M38" s="92">
        <f t="shared" si="4"/>
        <v>1302</v>
      </c>
      <c r="N38" s="95">
        <f t="shared" si="12"/>
        <v>1.0711708756969498</v>
      </c>
    </row>
    <row r="39" spans="1:14" ht="13.5" customHeight="1" thickBot="1">
      <c r="A39" s="88" t="s">
        <v>201</v>
      </c>
      <c r="B39" s="787">
        <f>+D19-D38</f>
        <v>37</v>
      </c>
      <c r="C39" s="787"/>
      <c r="D39" s="787"/>
      <c r="E39" s="787">
        <f>+G19-G38</f>
        <v>12</v>
      </c>
      <c r="F39" s="787"/>
      <c r="G39" s="787">
        <v>-50784</v>
      </c>
      <c r="H39" s="107"/>
      <c r="I39" s="108"/>
      <c r="J39" s="789">
        <f>+L19-L38</f>
        <v>-2597</v>
      </c>
      <c r="K39" s="789"/>
      <c r="L39" s="789">
        <v>0</v>
      </c>
      <c r="M39" s="92"/>
      <c r="N39" s="95"/>
    </row>
    <row r="40" spans="1:16" ht="20.25" customHeight="1" thickBot="1">
      <c r="A40" s="109" t="s">
        <v>202</v>
      </c>
      <c r="B40" s="787"/>
      <c r="C40" s="787"/>
      <c r="D40" s="787"/>
      <c r="E40" s="787"/>
      <c r="F40" s="787"/>
      <c r="G40" s="787"/>
      <c r="H40"/>
      <c r="I40"/>
      <c r="J40"/>
      <c r="K40"/>
      <c r="L40"/>
      <c r="M40"/>
      <c r="N40"/>
      <c r="O40"/>
      <c r="P40"/>
    </row>
    <row r="41" spans="2:8" ht="14.25" customHeight="1" thickBot="1">
      <c r="B41" s="7"/>
      <c r="C41" s="7"/>
      <c r="D41" s="16"/>
      <c r="E41" s="7"/>
      <c r="F41" s="7"/>
      <c r="G41" s="7"/>
      <c r="H41" s="7"/>
    </row>
    <row r="42" spans="1:16" ht="13.5" thickBot="1">
      <c r="A42" s="805" t="s">
        <v>312</v>
      </c>
      <c r="B42" s="805"/>
      <c r="C42" s="799" t="s">
        <v>203</v>
      </c>
      <c r="D42" s="805" t="s">
        <v>420</v>
      </c>
      <c r="E42" s="805"/>
      <c r="F42" s="805"/>
      <c r="G42" s="799" t="s">
        <v>203</v>
      </c>
      <c r="H42" s="785" t="s">
        <v>421</v>
      </c>
      <c r="I42" s="785"/>
      <c r="J42" s="785"/>
      <c r="K42" s="785"/>
      <c r="L42" s="799" t="s">
        <v>203</v>
      </c>
      <c r="O42"/>
      <c r="P42"/>
    </row>
    <row r="43" spans="1:16" ht="13.5" thickBot="1">
      <c r="A43" s="805"/>
      <c r="B43" s="805"/>
      <c r="C43" s="799"/>
      <c r="D43" s="805"/>
      <c r="E43" s="805"/>
      <c r="F43" s="805"/>
      <c r="G43" s="799"/>
      <c r="H43" s="785"/>
      <c r="I43" s="785"/>
      <c r="J43" s="785"/>
      <c r="K43" s="785"/>
      <c r="L43" s="799"/>
      <c r="O43"/>
      <c r="P43"/>
    </row>
    <row r="44" spans="1:16" ht="12.75">
      <c r="A44" s="794" t="s">
        <v>333</v>
      </c>
      <c r="B44" s="794"/>
      <c r="C44" s="110">
        <v>64</v>
      </c>
      <c r="D44" s="795" t="s">
        <v>277</v>
      </c>
      <c r="E44" s="795"/>
      <c r="F44" s="795"/>
      <c r="G44" s="111">
        <v>126</v>
      </c>
      <c r="H44" s="802" t="s">
        <v>448</v>
      </c>
      <c r="I44" s="802"/>
      <c r="J44" s="802"/>
      <c r="K44" s="802"/>
      <c r="L44" s="112">
        <v>150</v>
      </c>
      <c r="O44"/>
      <c r="P44"/>
    </row>
    <row r="45" spans="1:16" ht="12.75">
      <c r="A45" s="797"/>
      <c r="B45" s="797"/>
      <c r="C45" s="113"/>
      <c r="D45" s="795"/>
      <c r="E45" s="795"/>
      <c r="F45" s="795"/>
      <c r="G45" s="114"/>
      <c r="H45" s="802" t="s">
        <v>204</v>
      </c>
      <c r="I45" s="802"/>
      <c r="J45" s="802"/>
      <c r="K45" s="802"/>
      <c r="L45" s="112">
        <v>65</v>
      </c>
      <c r="O45"/>
      <c r="P45"/>
    </row>
    <row r="46" spans="1:16" ht="12.75">
      <c r="A46" s="797"/>
      <c r="B46" s="797"/>
      <c r="C46" s="113"/>
      <c r="D46" s="795"/>
      <c r="E46" s="795"/>
      <c r="F46" s="795"/>
      <c r="G46" s="114"/>
      <c r="H46" s="802"/>
      <c r="I46" s="802"/>
      <c r="J46" s="802"/>
      <c r="K46" s="802"/>
      <c r="L46" s="112"/>
      <c r="O46"/>
      <c r="P46"/>
    </row>
    <row r="47" spans="1:16" ht="12.75">
      <c r="A47" s="797"/>
      <c r="B47" s="797"/>
      <c r="C47" s="115"/>
      <c r="D47" s="797"/>
      <c r="E47" s="797"/>
      <c r="F47" s="797"/>
      <c r="G47" s="116"/>
      <c r="H47" s="776"/>
      <c r="I47" s="776"/>
      <c r="J47" s="776"/>
      <c r="K47" s="776"/>
      <c r="L47" s="112"/>
      <c r="O47"/>
      <c r="P47"/>
    </row>
    <row r="48" spans="1:16" ht="12.75">
      <c r="A48" s="797"/>
      <c r="B48" s="797"/>
      <c r="C48" s="115"/>
      <c r="D48" s="797"/>
      <c r="E48" s="797"/>
      <c r="F48" s="797"/>
      <c r="G48" s="116"/>
      <c r="H48" s="776"/>
      <c r="I48" s="776"/>
      <c r="J48" s="776"/>
      <c r="K48" s="776"/>
      <c r="L48" s="112"/>
      <c r="O48"/>
      <c r="P48"/>
    </row>
    <row r="49" spans="1:16" ht="12.75">
      <c r="A49" s="797"/>
      <c r="B49" s="797"/>
      <c r="C49" s="115"/>
      <c r="D49" s="797"/>
      <c r="E49" s="797"/>
      <c r="F49" s="797"/>
      <c r="G49" s="116"/>
      <c r="H49" s="776"/>
      <c r="I49" s="776"/>
      <c r="J49" s="776"/>
      <c r="K49" s="776"/>
      <c r="L49" s="112"/>
      <c r="O49"/>
      <c r="P49"/>
    </row>
    <row r="50" spans="1:16" ht="13.5" thickBot="1">
      <c r="A50" s="800"/>
      <c r="B50" s="800"/>
      <c r="C50" s="115"/>
      <c r="D50" s="801"/>
      <c r="E50" s="801"/>
      <c r="F50" s="801"/>
      <c r="G50" s="116"/>
      <c r="H50" s="802"/>
      <c r="I50" s="802"/>
      <c r="J50" s="802"/>
      <c r="K50" s="802"/>
      <c r="L50" s="112"/>
      <c r="O50"/>
      <c r="P50"/>
    </row>
    <row r="51" spans="1:16" ht="13.5" thickBot="1">
      <c r="A51" s="811"/>
      <c r="B51" s="811"/>
      <c r="C51" s="117">
        <f>SUM(C44:C50)</f>
        <v>64</v>
      </c>
      <c r="D51" s="812" t="s">
        <v>168</v>
      </c>
      <c r="E51" s="812"/>
      <c r="F51" s="812"/>
      <c r="G51" s="117">
        <f>SUM(G44:G50)</f>
        <v>126</v>
      </c>
      <c r="H51" s="778" t="s">
        <v>168</v>
      </c>
      <c r="I51" s="778"/>
      <c r="J51" s="778"/>
      <c r="K51" s="778"/>
      <c r="L51" s="117">
        <f>SUM(L44:L50)</f>
        <v>215</v>
      </c>
      <c r="M51" s="17"/>
      <c r="N51" s="17"/>
      <c r="O51"/>
      <c r="P51"/>
    </row>
    <row r="52" spans="1:16" s="1" customFormat="1" ht="13.5" customHeight="1" thickBot="1">
      <c r="A52" s="18"/>
      <c r="B52" s="5"/>
      <c r="C52" s="5"/>
      <c r="D52" s="5"/>
      <c r="E52" s="5"/>
      <c r="F52" s="5"/>
      <c r="G52" s="5"/>
      <c r="H52" s="6"/>
      <c r="I52" s="3"/>
      <c r="J52" s="3"/>
      <c r="K52" s="3"/>
      <c r="L52" s="3"/>
      <c r="M52" s="3"/>
      <c r="N52" s="3"/>
      <c r="O52" s="3"/>
      <c r="P52" s="3"/>
    </row>
    <row r="53" spans="1:16" ht="13.5" thickBot="1">
      <c r="A53" s="866" t="s">
        <v>429</v>
      </c>
      <c r="B53" s="867"/>
      <c r="C53" s="869" t="s">
        <v>203</v>
      </c>
      <c r="D53" s="806" t="s">
        <v>430</v>
      </c>
      <c r="E53" s="806"/>
      <c r="F53" s="806"/>
      <c r="G53" s="798" t="s">
        <v>203</v>
      </c>
      <c r="H53" s="785" t="s">
        <v>431</v>
      </c>
      <c r="I53" s="785"/>
      <c r="J53" s="785"/>
      <c r="K53" s="785"/>
      <c r="L53" s="799" t="s">
        <v>203</v>
      </c>
      <c r="O53"/>
      <c r="P53"/>
    </row>
    <row r="54" spans="1:16" ht="13.5" thickBot="1">
      <c r="A54" s="868"/>
      <c r="B54" s="805"/>
      <c r="C54" s="870"/>
      <c r="D54" s="806"/>
      <c r="E54" s="806"/>
      <c r="F54" s="806"/>
      <c r="G54" s="798"/>
      <c r="H54" s="785"/>
      <c r="I54" s="785"/>
      <c r="J54" s="785"/>
      <c r="K54" s="785"/>
      <c r="L54" s="799"/>
      <c r="O54"/>
      <c r="P54"/>
    </row>
    <row r="55" spans="1:16" ht="12.75">
      <c r="A55" s="871" t="s">
        <v>285</v>
      </c>
      <c r="B55" s="803"/>
      <c r="C55" s="201">
        <v>152</v>
      </c>
      <c r="D55" s="804" t="s">
        <v>334</v>
      </c>
      <c r="E55" s="804"/>
      <c r="F55" s="804"/>
      <c r="G55" s="118">
        <v>89</v>
      </c>
      <c r="H55" s="802" t="s">
        <v>334</v>
      </c>
      <c r="I55" s="802"/>
      <c r="J55" s="802"/>
      <c r="K55" s="802"/>
      <c r="L55" s="112">
        <v>45</v>
      </c>
      <c r="O55"/>
      <c r="P55"/>
    </row>
    <row r="56" spans="1:16" ht="13.5" customHeight="1">
      <c r="A56" s="872" t="s">
        <v>334</v>
      </c>
      <c r="B56" s="781"/>
      <c r="C56" s="202">
        <v>99</v>
      </c>
      <c r="D56" s="782" t="s">
        <v>266</v>
      </c>
      <c r="E56" s="782"/>
      <c r="F56" s="782"/>
      <c r="G56" s="119">
        <v>185</v>
      </c>
      <c r="H56" s="776" t="s">
        <v>267</v>
      </c>
      <c r="I56" s="776"/>
      <c r="J56" s="776"/>
      <c r="K56" s="776"/>
      <c r="L56" s="120">
        <v>40</v>
      </c>
      <c r="O56"/>
      <c r="P56"/>
    </row>
    <row r="57" spans="1:16" ht="13.5" customHeight="1">
      <c r="A57" s="872" t="s">
        <v>268</v>
      </c>
      <c r="B57" s="781"/>
      <c r="C57" s="202">
        <v>31</v>
      </c>
      <c r="D57" s="782" t="s">
        <v>267</v>
      </c>
      <c r="E57" s="782"/>
      <c r="F57" s="782"/>
      <c r="G57" s="119">
        <v>41</v>
      </c>
      <c r="H57" s="776" t="s">
        <v>286</v>
      </c>
      <c r="I57" s="776"/>
      <c r="J57" s="776"/>
      <c r="K57" s="776"/>
      <c r="L57" s="120">
        <v>40</v>
      </c>
      <c r="O57"/>
      <c r="P57"/>
    </row>
    <row r="58" spans="1:16" ht="13.5" customHeight="1">
      <c r="A58" s="872" t="s">
        <v>266</v>
      </c>
      <c r="B58" s="781"/>
      <c r="C58" s="202">
        <v>30</v>
      </c>
      <c r="D58" s="782" t="s">
        <v>286</v>
      </c>
      <c r="E58" s="782"/>
      <c r="F58" s="782"/>
      <c r="G58" s="119">
        <v>45</v>
      </c>
      <c r="H58" s="776" t="s">
        <v>287</v>
      </c>
      <c r="I58" s="776"/>
      <c r="J58" s="776"/>
      <c r="K58" s="776"/>
      <c r="L58" s="120">
        <v>80</v>
      </c>
      <c r="O58"/>
      <c r="P58"/>
    </row>
    <row r="59" spans="1:16" ht="13.5" customHeight="1">
      <c r="A59" s="872" t="s">
        <v>590</v>
      </c>
      <c r="B59" s="781"/>
      <c r="C59" s="203">
        <v>56</v>
      </c>
      <c r="D59" s="782" t="s">
        <v>287</v>
      </c>
      <c r="E59" s="782"/>
      <c r="F59" s="782"/>
      <c r="G59" s="121">
        <v>83</v>
      </c>
      <c r="H59" s="776" t="s">
        <v>591</v>
      </c>
      <c r="I59" s="776"/>
      <c r="J59" s="776"/>
      <c r="K59" s="776"/>
      <c r="L59" s="122">
        <v>44</v>
      </c>
      <c r="O59"/>
      <c r="P59"/>
    </row>
    <row r="60" spans="1:16" ht="13.5" customHeight="1">
      <c r="A60" s="872" t="s">
        <v>287</v>
      </c>
      <c r="B60" s="781"/>
      <c r="C60" s="203">
        <v>37</v>
      </c>
      <c r="D60" s="782" t="s">
        <v>268</v>
      </c>
      <c r="E60" s="782"/>
      <c r="F60" s="782"/>
      <c r="G60" s="121">
        <v>10</v>
      </c>
      <c r="H60" s="776"/>
      <c r="I60" s="776"/>
      <c r="J60" s="776"/>
      <c r="K60" s="776"/>
      <c r="L60" s="122"/>
      <c r="O60"/>
      <c r="P60"/>
    </row>
    <row r="61" spans="1:16" ht="13.5" customHeight="1">
      <c r="A61" s="872" t="s">
        <v>267</v>
      </c>
      <c r="B61" s="873"/>
      <c r="C61" s="202">
        <v>65</v>
      </c>
      <c r="D61" s="782" t="s">
        <v>592</v>
      </c>
      <c r="E61" s="782"/>
      <c r="F61" s="782"/>
      <c r="G61" s="119">
        <v>594</v>
      </c>
      <c r="H61" s="776"/>
      <c r="I61" s="776"/>
      <c r="J61" s="776"/>
      <c r="K61" s="776"/>
      <c r="L61" s="120"/>
      <c r="O61"/>
      <c r="P61"/>
    </row>
    <row r="62" spans="1:16" ht="13.5" thickBot="1">
      <c r="A62" s="874"/>
      <c r="B62" s="780"/>
      <c r="C62" s="204"/>
      <c r="D62" s="783"/>
      <c r="E62" s="783"/>
      <c r="F62" s="783"/>
      <c r="G62" s="123"/>
      <c r="H62" s="777"/>
      <c r="I62" s="777"/>
      <c r="J62" s="777"/>
      <c r="K62" s="777"/>
      <c r="L62" s="124"/>
      <c r="O62"/>
      <c r="P62"/>
    </row>
    <row r="63" spans="1:16" ht="13.5" thickBot="1">
      <c r="A63" s="877" t="s">
        <v>168</v>
      </c>
      <c r="B63" s="878"/>
      <c r="C63" s="205">
        <f>SUM(C55:C62)</f>
        <v>470</v>
      </c>
      <c r="D63" s="784" t="s">
        <v>168</v>
      </c>
      <c r="E63" s="784"/>
      <c r="F63" s="784"/>
      <c r="G63" s="125">
        <f>SUM(G55:G62)</f>
        <v>1047</v>
      </c>
      <c r="H63" s="778" t="s">
        <v>168</v>
      </c>
      <c r="I63" s="778"/>
      <c r="J63" s="778"/>
      <c r="K63" s="778"/>
      <c r="L63" s="117">
        <f>SUM(L55:L62)</f>
        <v>249</v>
      </c>
      <c r="M63" s="17"/>
      <c r="N63" s="17"/>
      <c r="O63"/>
      <c r="P63"/>
    </row>
    <row r="64" spans="1:14" s="1" customFormat="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1" customFormat="1" ht="13.5" thickBo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s="1" customFormat="1" ht="26.25" customHeight="1" thickBot="1">
      <c r="A66" s="833" t="s">
        <v>106</v>
      </c>
      <c r="B66" s="834"/>
      <c r="C66" s="834"/>
      <c r="D66" s="834"/>
      <c r="E66" s="835"/>
      <c r="F66" s="836" t="s">
        <v>107</v>
      </c>
      <c r="G66" s="837"/>
      <c r="H66" s="837"/>
      <c r="I66" s="837"/>
      <c r="J66" s="837"/>
      <c r="K66" s="837"/>
      <c r="L66" s="838"/>
      <c r="M66" s="19"/>
      <c r="N66" s="19"/>
    </row>
    <row r="67" spans="1:14" s="1" customFormat="1" ht="14.25" customHeight="1" thickBot="1">
      <c r="A67" s="397" t="s">
        <v>231</v>
      </c>
      <c r="B67" s="398" t="s">
        <v>96</v>
      </c>
      <c r="C67" s="839" t="s">
        <v>232</v>
      </c>
      <c r="D67" s="839"/>
      <c r="E67" s="399" t="s">
        <v>97</v>
      </c>
      <c r="F67" s="840" t="s">
        <v>231</v>
      </c>
      <c r="G67" s="841"/>
      <c r="H67" s="398" t="s">
        <v>96</v>
      </c>
      <c r="I67" s="839" t="s">
        <v>232</v>
      </c>
      <c r="J67" s="839"/>
      <c r="K67" s="839"/>
      <c r="L67" s="400" t="s">
        <v>97</v>
      </c>
      <c r="M67" s="19"/>
      <c r="N67" s="19"/>
    </row>
    <row r="68" spans="1:14" s="1" customFormat="1" ht="12.75">
      <c r="A68" s="401" t="s">
        <v>98</v>
      </c>
      <c r="B68" s="402">
        <v>107</v>
      </c>
      <c r="C68" s="842" t="s">
        <v>99</v>
      </c>
      <c r="D68" s="842"/>
      <c r="E68" s="403"/>
      <c r="F68" s="843" t="s">
        <v>98</v>
      </c>
      <c r="G68" s="844"/>
      <c r="H68" s="402">
        <v>75</v>
      </c>
      <c r="I68" s="842" t="s">
        <v>99</v>
      </c>
      <c r="J68" s="844"/>
      <c r="K68" s="844"/>
      <c r="L68" s="403"/>
      <c r="M68" s="19"/>
      <c r="N68" s="19"/>
    </row>
    <row r="69" spans="1:14" s="1" customFormat="1" ht="12.75">
      <c r="A69" s="404" t="s">
        <v>100</v>
      </c>
      <c r="B69" s="405">
        <v>30</v>
      </c>
      <c r="C69" s="845" t="s">
        <v>101</v>
      </c>
      <c r="D69" s="845"/>
      <c r="E69" s="406"/>
      <c r="F69" s="846" t="s">
        <v>102</v>
      </c>
      <c r="G69" s="847"/>
      <c r="H69" s="405">
        <v>10</v>
      </c>
      <c r="I69" s="845" t="s">
        <v>101</v>
      </c>
      <c r="J69" s="847"/>
      <c r="K69" s="847"/>
      <c r="L69" s="406"/>
      <c r="M69" s="19"/>
      <c r="N69" s="19"/>
    </row>
    <row r="70" spans="1:14" s="1" customFormat="1" ht="12.75">
      <c r="A70" s="404" t="s">
        <v>103</v>
      </c>
      <c r="B70" s="405">
        <v>8</v>
      </c>
      <c r="C70" s="845" t="s">
        <v>123</v>
      </c>
      <c r="D70" s="845"/>
      <c r="E70" s="406">
        <v>70</v>
      </c>
      <c r="F70" s="845" t="s">
        <v>104</v>
      </c>
      <c r="G70" s="845"/>
      <c r="H70" s="405"/>
      <c r="I70" s="845"/>
      <c r="J70" s="847"/>
      <c r="K70" s="847"/>
      <c r="L70" s="406"/>
      <c r="M70" s="19"/>
      <c r="N70" s="19"/>
    </row>
    <row r="71" spans="1:14" s="1" customFormat="1" ht="13.5" thickBot="1">
      <c r="A71" s="407"/>
      <c r="B71" s="408"/>
      <c r="C71" s="848"/>
      <c r="D71" s="848"/>
      <c r="E71" s="409"/>
      <c r="F71" s="849"/>
      <c r="G71" s="850"/>
      <c r="H71" s="408"/>
      <c r="I71" s="848"/>
      <c r="J71" s="850"/>
      <c r="K71" s="850"/>
      <c r="L71" s="409"/>
      <c r="M71" s="19"/>
      <c r="N71" s="19"/>
    </row>
    <row r="72" spans="1:14" s="1" customFormat="1" ht="13.5" thickBot="1">
      <c r="A72" s="410" t="s">
        <v>168</v>
      </c>
      <c r="B72" s="411">
        <f>SUM(B68:B71)</f>
        <v>145</v>
      </c>
      <c r="C72" s="851" t="s">
        <v>168</v>
      </c>
      <c r="D72" s="851"/>
      <c r="E72" s="413">
        <f>SUM(E68:E71)</f>
        <v>70</v>
      </c>
      <c r="F72" s="852" t="s">
        <v>168</v>
      </c>
      <c r="G72" s="853"/>
      <c r="H72" s="412">
        <f>SUM(H68:H71)</f>
        <v>85</v>
      </c>
      <c r="I72" s="851" t="s">
        <v>168</v>
      </c>
      <c r="J72" s="853"/>
      <c r="K72" s="853"/>
      <c r="L72" s="413">
        <f>SUM(L68:L71)</f>
        <v>0</v>
      </c>
      <c r="M72" s="19"/>
      <c r="N72" s="19"/>
    </row>
    <row r="73" spans="1:14" s="1" customFormat="1" ht="13.5" thickBot="1">
      <c r="A73" s="414" t="s">
        <v>105</v>
      </c>
      <c r="B73" s="415">
        <f>B72-E72</f>
        <v>75</v>
      </c>
      <c r="C73" s="19"/>
      <c r="D73" s="19"/>
      <c r="E73" s="19"/>
      <c r="F73" s="854" t="s">
        <v>105</v>
      </c>
      <c r="G73" s="701"/>
      <c r="H73" s="416">
        <f>H72-L72</f>
        <v>85</v>
      </c>
      <c r="I73" s="19"/>
      <c r="J73" s="19"/>
      <c r="K73" s="19"/>
      <c r="L73" s="19"/>
      <c r="M73" s="19"/>
      <c r="N73" s="19"/>
    </row>
    <row r="74" spans="1:14" s="1" customFormat="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s="1" customFormat="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2" s="1" customFormat="1" ht="12.75">
      <c r="A76" s="20"/>
      <c r="B76" s="21"/>
      <c r="C76" s="21"/>
      <c r="D76" s="21"/>
      <c r="E76" s="2"/>
      <c r="F76" s="4"/>
      <c r="G76" s="4"/>
      <c r="H76" s="20"/>
      <c r="I76" s="21"/>
      <c r="J76" s="21"/>
      <c r="K76" s="21"/>
      <c r="L76" s="2"/>
    </row>
    <row r="77" spans="1:12" s="1" customFormat="1" ht="13.5" thickBot="1">
      <c r="A77" s="20"/>
      <c r="B77" s="21"/>
      <c r="C77" s="21"/>
      <c r="D77" s="21"/>
      <c r="E77" s="2"/>
      <c r="F77" s="4"/>
      <c r="G77" s="4"/>
      <c r="H77" s="20"/>
      <c r="I77" s="21"/>
      <c r="J77" s="21" t="s">
        <v>307</v>
      </c>
      <c r="K77" s="21"/>
      <c r="L77" s="2"/>
    </row>
    <row r="78" spans="1:15" s="1" customFormat="1" ht="12.75">
      <c r="A78" s="879" t="s">
        <v>227</v>
      </c>
      <c r="B78" s="882" t="s">
        <v>435</v>
      </c>
      <c r="C78" s="885" t="s">
        <v>436</v>
      </c>
      <c r="D78" s="886"/>
      <c r="E78" s="886"/>
      <c r="F78" s="886"/>
      <c r="G78" s="886"/>
      <c r="H78" s="886"/>
      <c r="I78" s="887"/>
      <c r="J78" s="888" t="s">
        <v>437</v>
      </c>
      <c r="K78" s="7"/>
      <c r="L78" s="864" t="s">
        <v>205</v>
      </c>
      <c r="M78" s="865"/>
      <c r="N78" s="59">
        <v>2006</v>
      </c>
      <c r="O78" s="60">
        <v>2007</v>
      </c>
    </row>
    <row r="79" spans="1:15" s="1" customFormat="1" ht="12.75">
      <c r="A79" s="880"/>
      <c r="B79" s="883"/>
      <c r="C79" s="891" t="s">
        <v>228</v>
      </c>
      <c r="D79" s="893" t="s">
        <v>229</v>
      </c>
      <c r="E79" s="894"/>
      <c r="F79" s="894"/>
      <c r="G79" s="894"/>
      <c r="H79" s="894"/>
      <c r="I79" s="895"/>
      <c r="J79" s="889"/>
      <c r="K79" s="7"/>
      <c r="L79" s="63" t="s">
        <v>273</v>
      </c>
      <c r="M79" s="62"/>
      <c r="N79" s="58"/>
      <c r="O79" s="61"/>
    </row>
    <row r="80" spans="1:15" s="1" customFormat="1" ht="13.5" thickBot="1">
      <c r="A80" s="881"/>
      <c r="B80" s="884"/>
      <c r="C80" s="892"/>
      <c r="D80" s="25">
        <v>1</v>
      </c>
      <c r="E80" s="25">
        <v>2</v>
      </c>
      <c r="F80" s="25">
        <v>3</v>
      </c>
      <c r="G80" s="25">
        <v>4</v>
      </c>
      <c r="H80" s="25">
        <v>5</v>
      </c>
      <c r="I80" s="56">
        <v>6</v>
      </c>
      <c r="J80" s="890"/>
      <c r="K80" s="7"/>
      <c r="L80" s="62" t="s">
        <v>206</v>
      </c>
      <c r="M80" s="63"/>
      <c r="N80" s="22">
        <v>0</v>
      </c>
      <c r="O80" s="23">
        <v>0</v>
      </c>
    </row>
    <row r="81" spans="1:15" s="1" customFormat="1" ht="13.5" thickBot="1">
      <c r="A81" s="26">
        <v>7800</v>
      </c>
      <c r="B81" s="27">
        <v>5097</v>
      </c>
      <c r="C81" s="54">
        <f>SUM(D81:I81)</f>
        <v>220</v>
      </c>
      <c r="D81" s="55">
        <v>96</v>
      </c>
      <c r="E81" s="55">
        <v>59</v>
      </c>
      <c r="F81" s="55">
        <v>0</v>
      </c>
      <c r="G81" s="55">
        <v>20</v>
      </c>
      <c r="H81" s="54">
        <v>4</v>
      </c>
      <c r="I81" s="57">
        <v>41</v>
      </c>
      <c r="J81" s="28">
        <f>SUM(A81-B81-C81)</f>
        <v>2483</v>
      </c>
      <c r="K81" s="7"/>
      <c r="L81" s="64" t="s">
        <v>207</v>
      </c>
      <c r="M81" s="65"/>
      <c r="N81" s="52">
        <v>0</v>
      </c>
      <c r="O81" s="53">
        <v>0</v>
      </c>
    </row>
    <row r="82" spans="1:12" s="1" customFormat="1" ht="12.75">
      <c r="A82" s="20"/>
      <c r="B82" s="21"/>
      <c r="C82" s="21"/>
      <c r="D82" s="21"/>
      <c r="E82" s="2"/>
      <c r="F82" s="200"/>
      <c r="G82" s="4"/>
      <c r="H82" s="20"/>
      <c r="I82" s="21"/>
      <c r="J82" s="21"/>
      <c r="K82" s="21"/>
      <c r="L82" s="2"/>
    </row>
    <row r="83" spans="1:12" s="1" customFormat="1" ht="13.5" thickBot="1">
      <c r="A83" s="20"/>
      <c r="B83" s="21"/>
      <c r="C83" s="21"/>
      <c r="D83" s="21"/>
      <c r="E83" s="2"/>
      <c r="F83" s="200"/>
      <c r="G83" s="4"/>
      <c r="H83" s="20"/>
      <c r="I83" s="21"/>
      <c r="J83" s="21"/>
      <c r="K83" s="21"/>
      <c r="L83" s="21" t="s">
        <v>307</v>
      </c>
    </row>
    <row r="84" spans="1:12" s="1" customFormat="1" ht="12.75">
      <c r="A84" s="855" t="s">
        <v>255</v>
      </c>
      <c r="B84" s="857" t="s">
        <v>438</v>
      </c>
      <c r="C84" s="859" t="s">
        <v>439</v>
      </c>
      <c r="D84" s="860"/>
      <c r="E84" s="860"/>
      <c r="F84" s="861"/>
      <c r="G84" s="862" t="s">
        <v>440</v>
      </c>
      <c r="H84" s="896" t="s">
        <v>230</v>
      </c>
      <c r="I84" s="898" t="s">
        <v>441</v>
      </c>
      <c r="J84" s="899"/>
      <c r="K84" s="899"/>
      <c r="L84" s="900"/>
    </row>
    <row r="85" spans="1:12" s="1" customFormat="1" ht="18.75" thickBot="1">
      <c r="A85" s="856"/>
      <c r="B85" s="858"/>
      <c r="C85" s="29" t="s">
        <v>321</v>
      </c>
      <c r="D85" s="30" t="s">
        <v>231</v>
      </c>
      <c r="E85" s="30" t="s">
        <v>232</v>
      </c>
      <c r="F85" s="31" t="s">
        <v>322</v>
      </c>
      <c r="G85" s="863"/>
      <c r="H85" s="897"/>
      <c r="I85" s="174" t="s">
        <v>442</v>
      </c>
      <c r="J85" s="175" t="s">
        <v>231</v>
      </c>
      <c r="K85" s="175" t="s">
        <v>232</v>
      </c>
      <c r="L85" s="176" t="s">
        <v>443</v>
      </c>
    </row>
    <row r="86" spans="1:12" s="1" customFormat="1" ht="12.75">
      <c r="A86" s="32" t="s">
        <v>233</v>
      </c>
      <c r="B86" s="33">
        <v>1151</v>
      </c>
      <c r="C86" s="34" t="s">
        <v>234</v>
      </c>
      <c r="D86" s="35" t="s">
        <v>234</v>
      </c>
      <c r="E86" s="35" t="s">
        <v>234</v>
      </c>
      <c r="F86" s="36"/>
      <c r="G86" s="37">
        <v>338</v>
      </c>
      <c r="H86" s="171" t="s">
        <v>234</v>
      </c>
      <c r="I86" s="177"/>
      <c r="J86" s="178" t="s">
        <v>234</v>
      </c>
      <c r="K86" s="178" t="s">
        <v>234</v>
      </c>
      <c r="L86" s="179" t="s">
        <v>234</v>
      </c>
    </row>
    <row r="87" spans="1:12" s="1" customFormat="1" ht="12.75">
      <c r="A87" s="38" t="s">
        <v>235</v>
      </c>
      <c r="B87" s="39">
        <v>64</v>
      </c>
      <c r="C87" s="40">
        <v>64</v>
      </c>
      <c r="D87" s="41">
        <v>7</v>
      </c>
      <c r="E87" s="41"/>
      <c r="F87" s="42">
        <f>C87+D87-E87</f>
        <v>71</v>
      </c>
      <c r="G87" s="43">
        <v>71</v>
      </c>
      <c r="H87" s="172">
        <f>+G87-F87</f>
        <v>0</v>
      </c>
      <c r="I87" s="40">
        <v>71</v>
      </c>
      <c r="J87" s="41">
        <v>2</v>
      </c>
      <c r="K87" s="41"/>
      <c r="L87" s="42">
        <f>I87+J87-K87</f>
        <v>73</v>
      </c>
    </row>
    <row r="88" spans="1:12" s="1" customFormat="1" ht="12.75">
      <c r="A88" s="38" t="s">
        <v>236</v>
      </c>
      <c r="B88" s="39">
        <v>107</v>
      </c>
      <c r="C88" s="40">
        <v>107</v>
      </c>
      <c r="D88" s="41">
        <v>38</v>
      </c>
      <c r="E88" s="41">
        <v>70</v>
      </c>
      <c r="F88" s="42">
        <f>C88+D88-E88</f>
        <v>75</v>
      </c>
      <c r="G88" s="43">
        <v>75</v>
      </c>
      <c r="H88" s="172">
        <f>+G88-F88</f>
        <v>0</v>
      </c>
      <c r="I88" s="40">
        <v>75</v>
      </c>
      <c r="J88" s="41">
        <v>10</v>
      </c>
      <c r="K88" s="41"/>
      <c r="L88" s="42">
        <f>I88+J88-K88</f>
        <v>85</v>
      </c>
    </row>
    <row r="89" spans="1:12" s="1" customFormat="1" ht="12.75">
      <c r="A89" s="38" t="s">
        <v>256</v>
      </c>
      <c r="B89" s="39">
        <v>134</v>
      </c>
      <c r="C89" s="40">
        <v>134</v>
      </c>
      <c r="D89" s="41">
        <v>208</v>
      </c>
      <c r="E89" s="41">
        <v>191</v>
      </c>
      <c r="F89" s="42">
        <f>C89+D89-E89</f>
        <v>151</v>
      </c>
      <c r="G89" s="43">
        <v>151</v>
      </c>
      <c r="H89" s="172">
        <f>+G89-F89</f>
        <v>0</v>
      </c>
      <c r="I89" s="180">
        <v>151</v>
      </c>
      <c r="J89" s="170">
        <v>220</v>
      </c>
      <c r="K89" s="170">
        <v>215</v>
      </c>
      <c r="L89" s="42">
        <f>I89+J89-K89</f>
        <v>156</v>
      </c>
    </row>
    <row r="90" spans="1:12" s="1" customFormat="1" ht="12.75">
      <c r="A90" s="38" t="s">
        <v>237</v>
      </c>
      <c r="B90" s="39">
        <v>846</v>
      </c>
      <c r="C90" s="50" t="s">
        <v>234</v>
      </c>
      <c r="D90" s="35" t="s">
        <v>234</v>
      </c>
      <c r="E90" s="51" t="s">
        <v>234</v>
      </c>
      <c r="F90" s="42"/>
      <c r="G90" s="43">
        <v>41</v>
      </c>
      <c r="H90" s="50" t="s">
        <v>234</v>
      </c>
      <c r="I90" s="34"/>
      <c r="J90" s="35"/>
      <c r="K90" s="35"/>
      <c r="L90" s="181">
        <v>0</v>
      </c>
    </row>
    <row r="91" spans="1:12" s="1" customFormat="1" ht="13.5" thickBot="1">
      <c r="A91" s="44" t="s">
        <v>238</v>
      </c>
      <c r="B91" s="45">
        <v>272</v>
      </c>
      <c r="C91" s="46">
        <v>283</v>
      </c>
      <c r="D91" s="47">
        <v>168</v>
      </c>
      <c r="E91" s="47">
        <v>279</v>
      </c>
      <c r="F91" s="48">
        <v>172</v>
      </c>
      <c r="G91" s="49">
        <v>151</v>
      </c>
      <c r="H91" s="173">
        <f>+G91-F91</f>
        <v>-21</v>
      </c>
      <c r="I91" s="46">
        <v>172</v>
      </c>
      <c r="J91" s="47">
        <v>195</v>
      </c>
      <c r="K91" s="47">
        <v>230</v>
      </c>
      <c r="L91" s="48">
        <v>137</v>
      </c>
    </row>
    <row r="92" spans="1:12" s="1" customFormat="1" ht="12.75">
      <c r="A92" s="20"/>
      <c r="B92" s="21"/>
      <c r="C92" s="21"/>
      <c r="D92" s="21"/>
      <c r="E92" s="2"/>
      <c r="F92" s="200"/>
      <c r="G92" s="4"/>
      <c r="H92" s="20"/>
      <c r="I92" s="21"/>
      <c r="J92" s="21"/>
      <c r="K92" s="21"/>
      <c r="L92" s="2"/>
    </row>
    <row r="93" spans="1:12" s="1" customFormat="1" ht="12.75">
      <c r="A93" s="20"/>
      <c r="B93" s="21"/>
      <c r="C93" s="21"/>
      <c r="D93" s="21"/>
      <c r="E93" s="2"/>
      <c r="F93" s="200"/>
      <c r="G93" s="4"/>
      <c r="H93" s="20"/>
      <c r="I93" s="21"/>
      <c r="J93" s="21"/>
      <c r="K93" s="21"/>
      <c r="L93" s="2"/>
    </row>
    <row r="94" spans="1:12" s="1" customFormat="1" ht="12.75">
      <c r="A94" s="20"/>
      <c r="B94" s="21"/>
      <c r="C94" s="21"/>
      <c r="D94" s="21"/>
      <c r="E94" s="2"/>
      <c r="F94" s="200"/>
      <c r="G94" s="4"/>
      <c r="H94" s="20"/>
      <c r="I94" s="21"/>
      <c r="J94" s="21"/>
      <c r="K94" s="21"/>
      <c r="L94" s="2"/>
    </row>
    <row r="95" spans="1:12" s="1" customFormat="1" ht="12.75">
      <c r="A95" s="20"/>
      <c r="B95" s="21"/>
      <c r="C95" s="21"/>
      <c r="D95" s="21"/>
      <c r="E95" s="2"/>
      <c r="F95" s="200"/>
      <c r="G95" s="4"/>
      <c r="H95" s="20"/>
      <c r="I95" s="21"/>
      <c r="J95" s="21"/>
      <c r="K95" s="21"/>
      <c r="L95" s="2"/>
    </row>
    <row r="96" spans="1:12" s="1" customFormat="1" ht="12.75">
      <c r="A96" s="20"/>
      <c r="B96" s="21"/>
      <c r="C96" s="21"/>
      <c r="D96" s="21"/>
      <c r="E96" s="2"/>
      <c r="F96" s="200"/>
      <c r="G96" s="4"/>
      <c r="H96" s="20"/>
      <c r="I96" s="21"/>
      <c r="J96" s="21"/>
      <c r="K96" s="21"/>
      <c r="L96" s="2"/>
    </row>
    <row r="97" spans="1:12" s="1" customFormat="1" ht="12.75">
      <c r="A97" s="20"/>
      <c r="B97" s="21"/>
      <c r="C97" s="21"/>
      <c r="D97" s="21"/>
      <c r="E97" s="2"/>
      <c r="F97" s="4"/>
      <c r="G97" s="4"/>
      <c r="H97" s="20"/>
      <c r="I97" s="21"/>
      <c r="J97" s="21"/>
      <c r="K97" s="21"/>
      <c r="L97" s="2"/>
    </row>
    <row r="98" spans="1:12" s="1" customFormat="1" ht="12.75">
      <c r="A98" s="20"/>
      <c r="B98" s="21"/>
      <c r="C98" s="21"/>
      <c r="D98" s="21"/>
      <c r="E98" s="2"/>
      <c r="F98" s="4"/>
      <c r="G98" s="4"/>
      <c r="H98" s="20"/>
      <c r="I98" s="21"/>
      <c r="J98" s="21"/>
      <c r="K98" s="21"/>
      <c r="L98" s="2"/>
    </row>
    <row r="99" spans="8:12" ht="13.5" thickBot="1">
      <c r="H99" s="21" t="s">
        <v>307</v>
      </c>
      <c r="L99" s="21" t="s">
        <v>307</v>
      </c>
    </row>
    <row r="100" spans="1:12" ht="13.5" thickBot="1">
      <c r="A100" s="823" t="s">
        <v>444</v>
      </c>
      <c r="B100" s="824" t="s">
        <v>168</v>
      </c>
      <c r="C100" s="810" t="s">
        <v>239</v>
      </c>
      <c r="D100" s="810"/>
      <c r="E100" s="810"/>
      <c r="F100" s="810"/>
      <c r="G100" s="810"/>
      <c r="H100" s="810"/>
      <c r="I100" s="24"/>
      <c r="J100" s="825" t="s">
        <v>208</v>
      </c>
      <c r="K100" s="825"/>
      <c r="L100" s="825"/>
    </row>
    <row r="101" spans="1:12" ht="13.5" thickBot="1">
      <c r="A101" s="823"/>
      <c r="B101" s="824"/>
      <c r="C101" s="126" t="s">
        <v>240</v>
      </c>
      <c r="D101" s="127" t="s">
        <v>241</v>
      </c>
      <c r="E101" s="127" t="s">
        <v>242</v>
      </c>
      <c r="F101" s="127" t="s">
        <v>243</v>
      </c>
      <c r="G101" s="128" t="s">
        <v>244</v>
      </c>
      <c r="H101" s="129" t="s">
        <v>228</v>
      </c>
      <c r="I101" s="24"/>
      <c r="J101" s="130"/>
      <c r="K101" s="131" t="s">
        <v>209</v>
      </c>
      <c r="L101" s="132" t="s">
        <v>210</v>
      </c>
    </row>
    <row r="102" spans="1:12" ht="12.75">
      <c r="A102" s="133" t="s">
        <v>245</v>
      </c>
      <c r="B102" s="134">
        <v>506</v>
      </c>
      <c r="C102" s="135">
        <v>445</v>
      </c>
      <c r="D102" s="135"/>
      <c r="E102" s="135"/>
      <c r="F102" s="135"/>
      <c r="G102" s="134">
        <v>61</v>
      </c>
      <c r="H102" s="136">
        <f>SUM(C102:G102)</f>
        <v>506</v>
      </c>
      <c r="I102" s="24"/>
      <c r="J102" s="137">
        <v>2007</v>
      </c>
      <c r="K102" s="138">
        <v>8982</v>
      </c>
      <c r="L102" s="139">
        <f>+G30</f>
        <v>8416</v>
      </c>
    </row>
    <row r="103" spans="1:12" ht="13.5" thickBot="1">
      <c r="A103" s="140" t="s">
        <v>246</v>
      </c>
      <c r="B103" s="141">
        <v>1263</v>
      </c>
      <c r="C103" s="142">
        <v>1263</v>
      </c>
      <c r="D103" s="142"/>
      <c r="E103" s="142"/>
      <c r="F103" s="142"/>
      <c r="G103" s="141"/>
      <c r="H103" s="143">
        <f>SUM(C103:G103)</f>
        <v>1263</v>
      </c>
      <c r="I103" s="24"/>
      <c r="J103" s="144">
        <v>2008</v>
      </c>
      <c r="K103" s="145">
        <f>L30</f>
        <v>9761</v>
      </c>
      <c r="L103" s="146"/>
    </row>
    <row r="104" ht="12.75" customHeight="1"/>
    <row r="105" ht="13.5" thickBot="1">
      <c r="J105" s="208" t="s">
        <v>323</v>
      </c>
    </row>
    <row r="106" spans="1:10" ht="21" customHeight="1" thickBot="1">
      <c r="A106" s="823" t="s">
        <v>211</v>
      </c>
      <c r="B106" s="826" t="s">
        <v>212</v>
      </c>
      <c r="C106" s="826"/>
      <c r="D106" s="826"/>
      <c r="E106" s="827" t="s">
        <v>274</v>
      </c>
      <c r="F106" s="827"/>
      <c r="G106" s="827"/>
      <c r="H106" s="828" t="s">
        <v>213</v>
      </c>
      <c r="I106" s="828"/>
      <c r="J106" s="828"/>
    </row>
    <row r="107" spans="1:10" ht="12.75">
      <c r="A107" s="823"/>
      <c r="B107" s="147">
        <v>2006</v>
      </c>
      <c r="C107" s="147">
        <v>2007</v>
      </c>
      <c r="D107" s="147" t="s">
        <v>214</v>
      </c>
      <c r="E107" s="147">
        <v>2006</v>
      </c>
      <c r="F107" s="147">
        <v>2007</v>
      </c>
      <c r="G107" s="148" t="s">
        <v>214</v>
      </c>
      <c r="H107" s="149">
        <v>2006</v>
      </c>
      <c r="I107" s="147">
        <v>2007</v>
      </c>
      <c r="J107" s="148" t="s">
        <v>214</v>
      </c>
    </row>
    <row r="108" spans="1:10" ht="18.75">
      <c r="A108" s="581" t="s">
        <v>215</v>
      </c>
      <c r="B108" s="582">
        <v>3.27</v>
      </c>
      <c r="C108" s="582">
        <v>4.27</v>
      </c>
      <c r="D108" s="582">
        <v>1</v>
      </c>
      <c r="E108" s="582">
        <v>3.27</v>
      </c>
      <c r="F108" s="582">
        <v>4.27</v>
      </c>
      <c r="G108" s="583">
        <v>1</v>
      </c>
      <c r="H108" s="584">
        <v>20744</v>
      </c>
      <c r="I108" s="585">
        <v>20523</v>
      </c>
      <c r="J108" s="586">
        <v>-221</v>
      </c>
    </row>
    <row r="109" spans="1:10" ht="12.75">
      <c r="A109" s="581" t="s">
        <v>248</v>
      </c>
      <c r="B109" s="582">
        <v>6</v>
      </c>
      <c r="C109" s="582">
        <v>5</v>
      </c>
      <c r="D109" s="582">
        <v>-1</v>
      </c>
      <c r="E109" s="582">
        <v>6</v>
      </c>
      <c r="F109" s="582">
        <v>5</v>
      </c>
      <c r="G109" s="583">
        <v>-1</v>
      </c>
      <c r="H109" s="584">
        <v>20293</v>
      </c>
      <c r="I109" s="587">
        <v>23871</v>
      </c>
      <c r="J109" s="586">
        <v>3578</v>
      </c>
    </row>
    <row r="110" spans="1:10" ht="12.75">
      <c r="A110" s="581" t="s">
        <v>675</v>
      </c>
      <c r="B110" s="582">
        <v>0</v>
      </c>
      <c r="C110" s="582">
        <v>1</v>
      </c>
      <c r="D110" s="582">
        <v>1</v>
      </c>
      <c r="E110" s="582">
        <v>0</v>
      </c>
      <c r="F110" s="582">
        <v>1</v>
      </c>
      <c r="G110" s="583">
        <v>1</v>
      </c>
      <c r="H110" s="584">
        <v>0</v>
      </c>
      <c r="I110" s="587">
        <v>16460</v>
      </c>
      <c r="J110" s="586">
        <v>16460</v>
      </c>
    </row>
    <row r="111" spans="1:10" ht="12.75">
      <c r="A111" s="581" t="s">
        <v>335</v>
      </c>
      <c r="B111" s="582">
        <v>6</v>
      </c>
      <c r="C111" s="582">
        <v>8</v>
      </c>
      <c r="D111" s="582">
        <v>2</v>
      </c>
      <c r="E111" s="582">
        <v>6</v>
      </c>
      <c r="F111" s="582">
        <v>8</v>
      </c>
      <c r="G111" s="583">
        <v>2</v>
      </c>
      <c r="H111" s="584">
        <v>12969</v>
      </c>
      <c r="I111" s="587">
        <v>11694</v>
      </c>
      <c r="J111" s="586">
        <v>-1275</v>
      </c>
    </row>
    <row r="112" spans="1:10" ht="12.75">
      <c r="A112" s="581" t="s">
        <v>299</v>
      </c>
      <c r="B112" s="582">
        <v>0</v>
      </c>
      <c r="C112" s="582">
        <v>0</v>
      </c>
      <c r="D112" s="582">
        <v>0</v>
      </c>
      <c r="E112" s="582">
        <v>0</v>
      </c>
      <c r="F112" s="582">
        <v>0</v>
      </c>
      <c r="G112" s="583">
        <v>0</v>
      </c>
      <c r="H112" s="584">
        <v>0</v>
      </c>
      <c r="I112" s="587">
        <v>0</v>
      </c>
      <c r="J112" s="586">
        <v>0</v>
      </c>
    </row>
    <row r="113" spans="1:10" ht="12.75">
      <c r="A113" s="581" t="s">
        <v>676</v>
      </c>
      <c r="B113" s="582">
        <v>3</v>
      </c>
      <c r="C113" s="582">
        <v>2</v>
      </c>
      <c r="D113" s="582">
        <v>-1</v>
      </c>
      <c r="E113" s="582">
        <v>3</v>
      </c>
      <c r="F113" s="582">
        <v>2</v>
      </c>
      <c r="G113" s="583">
        <v>-1</v>
      </c>
      <c r="H113" s="584">
        <v>16729</v>
      </c>
      <c r="I113" s="587">
        <v>21667</v>
      </c>
      <c r="J113" s="586">
        <v>4938</v>
      </c>
    </row>
    <row r="114" spans="1:10" ht="12.75">
      <c r="A114" s="581" t="s">
        <v>325</v>
      </c>
      <c r="B114" s="582"/>
      <c r="C114" s="582"/>
      <c r="D114" s="582">
        <v>0</v>
      </c>
      <c r="E114" s="582"/>
      <c r="F114" s="582"/>
      <c r="G114" s="583">
        <v>0</v>
      </c>
      <c r="H114" s="584"/>
      <c r="I114" s="587"/>
      <c r="J114" s="586">
        <v>0</v>
      </c>
    </row>
    <row r="115" spans="1:10" ht="12.75">
      <c r="A115" s="581" t="s">
        <v>219</v>
      </c>
      <c r="B115" s="582">
        <v>14</v>
      </c>
      <c r="C115" s="582">
        <v>16</v>
      </c>
      <c r="D115" s="582">
        <v>2</v>
      </c>
      <c r="E115" s="582">
        <v>14</v>
      </c>
      <c r="F115" s="582">
        <v>16</v>
      </c>
      <c r="G115" s="583">
        <v>2</v>
      </c>
      <c r="H115" s="584">
        <v>13068</v>
      </c>
      <c r="I115" s="587">
        <v>14948</v>
      </c>
      <c r="J115" s="586">
        <v>1880</v>
      </c>
    </row>
    <row r="116" spans="1:10" ht="12.75">
      <c r="A116" s="581" t="s">
        <v>220</v>
      </c>
      <c r="B116" s="582">
        <v>1</v>
      </c>
      <c r="C116" s="582">
        <v>1</v>
      </c>
      <c r="D116" s="582">
        <v>0</v>
      </c>
      <c r="E116" s="582">
        <v>1</v>
      </c>
      <c r="F116" s="582">
        <v>1</v>
      </c>
      <c r="G116" s="583">
        <v>0</v>
      </c>
      <c r="H116" s="584">
        <v>15750</v>
      </c>
      <c r="I116" s="587">
        <v>21586</v>
      </c>
      <c r="J116" s="586">
        <v>5836</v>
      </c>
    </row>
    <row r="117" spans="1:10" ht="12.75">
      <c r="A117" s="581" t="s">
        <v>221</v>
      </c>
      <c r="B117" s="582">
        <v>10.3</v>
      </c>
      <c r="C117" s="582">
        <v>10.38</v>
      </c>
      <c r="D117" s="582">
        <v>0</v>
      </c>
      <c r="E117" s="582">
        <v>10.3</v>
      </c>
      <c r="F117" s="582">
        <v>10.38</v>
      </c>
      <c r="G117" s="583">
        <v>0</v>
      </c>
      <c r="H117" s="584">
        <v>12207</v>
      </c>
      <c r="I117" s="587">
        <v>11734</v>
      </c>
      <c r="J117" s="586">
        <v>-473</v>
      </c>
    </row>
    <row r="118" spans="1:10" ht="13.5" thickBot="1">
      <c r="A118" s="588" t="s">
        <v>168</v>
      </c>
      <c r="B118" s="589">
        <v>43.57</v>
      </c>
      <c r="C118" s="589">
        <v>47.65</v>
      </c>
      <c r="D118" s="589">
        <v>4.08</v>
      </c>
      <c r="E118" s="589">
        <v>43.57</v>
      </c>
      <c r="F118" s="589">
        <v>47.65</v>
      </c>
      <c r="G118" s="590">
        <v>4.08</v>
      </c>
      <c r="H118" s="591">
        <v>13602</v>
      </c>
      <c r="I118" s="592">
        <v>14718</v>
      </c>
      <c r="J118" s="593">
        <v>1116</v>
      </c>
    </row>
    <row r="119" ht="13.5" thickBot="1"/>
    <row r="120" spans="1:16" ht="12.75">
      <c r="A120" s="829" t="s">
        <v>222</v>
      </c>
      <c r="B120" s="829"/>
      <c r="C120" s="829"/>
      <c r="D120" s="24"/>
      <c r="E120" s="829" t="s">
        <v>223</v>
      </c>
      <c r="F120" s="829"/>
      <c r="G120" s="829"/>
      <c r="H120"/>
      <c r="I120"/>
      <c r="J120"/>
      <c r="K120"/>
      <c r="L120"/>
      <c r="M120"/>
      <c r="N120"/>
      <c r="O120"/>
      <c r="P120"/>
    </row>
    <row r="121" spans="1:16" ht="13.5" thickBot="1">
      <c r="A121" s="130" t="s">
        <v>224</v>
      </c>
      <c r="B121" s="131" t="s">
        <v>225</v>
      </c>
      <c r="C121" s="132" t="s">
        <v>210</v>
      </c>
      <c r="D121" s="24"/>
      <c r="E121" s="130"/>
      <c r="F121" s="832" t="s">
        <v>226</v>
      </c>
      <c r="G121" s="832"/>
      <c r="H121"/>
      <c r="I121"/>
      <c r="J121"/>
      <c r="K121"/>
      <c r="L121"/>
      <c r="M121"/>
      <c r="N121"/>
      <c r="O121"/>
      <c r="P121"/>
    </row>
    <row r="122" spans="1:16" ht="12.75">
      <c r="A122" s="137">
        <v>2007</v>
      </c>
      <c r="B122" s="138">
        <v>48</v>
      </c>
      <c r="C122" s="139">
        <v>48</v>
      </c>
      <c r="D122" s="24"/>
      <c r="E122" s="137">
        <v>2007</v>
      </c>
      <c r="F122" s="830" t="s">
        <v>593</v>
      </c>
      <c r="G122" s="830"/>
      <c r="H122"/>
      <c r="I122"/>
      <c r="J122"/>
      <c r="K122"/>
      <c r="L122"/>
      <c r="M122"/>
      <c r="N122"/>
      <c r="O122"/>
      <c r="P122"/>
    </row>
    <row r="123" spans="1:16" ht="13.5" thickBot="1">
      <c r="A123" s="144">
        <v>2008</v>
      </c>
      <c r="B123" s="145">
        <v>48</v>
      </c>
      <c r="C123" s="146"/>
      <c r="D123" s="24"/>
      <c r="E123" s="144">
        <v>2008</v>
      </c>
      <c r="F123" s="831" t="s">
        <v>593</v>
      </c>
      <c r="G123" s="831"/>
      <c r="H123"/>
      <c r="I123"/>
      <c r="J123"/>
      <c r="K123"/>
      <c r="L123"/>
      <c r="M123"/>
      <c r="N123"/>
      <c r="O123"/>
      <c r="P123"/>
    </row>
  </sheetData>
  <mergeCells count="123">
    <mergeCell ref="C72:D72"/>
    <mergeCell ref="F72:G72"/>
    <mergeCell ref="I72:K72"/>
    <mergeCell ref="F73:G73"/>
    <mergeCell ref="C70:D70"/>
    <mergeCell ref="F70:G70"/>
    <mergeCell ref="I70:K70"/>
    <mergeCell ref="C71:D71"/>
    <mergeCell ref="F71:G71"/>
    <mergeCell ref="I71:K71"/>
    <mergeCell ref="C68:D68"/>
    <mergeCell ref="F68:G68"/>
    <mergeCell ref="I68:K68"/>
    <mergeCell ref="C69:D69"/>
    <mergeCell ref="F69:G69"/>
    <mergeCell ref="I69:K69"/>
    <mergeCell ref="F66:L66"/>
    <mergeCell ref="C67:D67"/>
    <mergeCell ref="F67:G67"/>
    <mergeCell ref="I67:K67"/>
    <mergeCell ref="F123:G123"/>
    <mergeCell ref="A120:C120"/>
    <mergeCell ref="E120:G120"/>
    <mergeCell ref="F121:G121"/>
    <mergeCell ref="F122:G122"/>
    <mergeCell ref="A106:A107"/>
    <mergeCell ref="B106:D106"/>
    <mergeCell ref="E106:G106"/>
    <mergeCell ref="H106:J106"/>
    <mergeCell ref="H84:H85"/>
    <mergeCell ref="I84:L84"/>
    <mergeCell ref="B100:B101"/>
    <mergeCell ref="C100:H100"/>
    <mergeCell ref="J100:L100"/>
    <mergeCell ref="A63:B63"/>
    <mergeCell ref="D63:F63"/>
    <mergeCell ref="H63:K63"/>
    <mergeCell ref="A78:A80"/>
    <mergeCell ref="B78:B80"/>
    <mergeCell ref="C78:I78"/>
    <mergeCell ref="J78:J80"/>
    <mergeCell ref="C79:C80"/>
    <mergeCell ref="D79:I79"/>
    <mergeCell ref="A66:E66"/>
    <mergeCell ref="L42:L43"/>
    <mergeCell ref="A51:B51"/>
    <mergeCell ref="D51:F51"/>
    <mergeCell ref="H51:K51"/>
    <mergeCell ref="C42:C43"/>
    <mergeCell ref="D42:F43"/>
    <mergeCell ref="G42:G43"/>
    <mergeCell ref="H42:K43"/>
    <mergeCell ref="A42:B43"/>
    <mergeCell ref="A44:B44"/>
    <mergeCell ref="A1:N1"/>
    <mergeCell ref="J39:L39"/>
    <mergeCell ref="B40:D40"/>
    <mergeCell ref="E40:G40"/>
    <mergeCell ref="B39:D39"/>
    <mergeCell ref="E39:G39"/>
    <mergeCell ref="B4:D4"/>
    <mergeCell ref="E4:G4"/>
    <mergeCell ref="J4:L4"/>
    <mergeCell ref="A3:A6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3:B54"/>
    <mergeCell ref="C53:C54"/>
    <mergeCell ref="D53:F54"/>
    <mergeCell ref="G53:G54"/>
    <mergeCell ref="H53:K54"/>
    <mergeCell ref="L53:L54"/>
    <mergeCell ref="A55:B55"/>
    <mergeCell ref="D55:F55"/>
    <mergeCell ref="H55:K55"/>
    <mergeCell ref="A56:B56"/>
    <mergeCell ref="D56:F56"/>
    <mergeCell ref="H56:K56"/>
    <mergeCell ref="H59:K59"/>
    <mergeCell ref="D60:F60"/>
    <mergeCell ref="H57:K57"/>
    <mergeCell ref="A57:B57"/>
    <mergeCell ref="D57:F57"/>
    <mergeCell ref="A58:B58"/>
    <mergeCell ref="D58:F58"/>
    <mergeCell ref="D61:F61"/>
    <mergeCell ref="H58:K58"/>
    <mergeCell ref="A62:B62"/>
    <mergeCell ref="D62:F62"/>
    <mergeCell ref="H62:K62"/>
    <mergeCell ref="H60:K60"/>
    <mergeCell ref="H61:K61"/>
    <mergeCell ref="A59:B59"/>
    <mergeCell ref="D59:F59"/>
    <mergeCell ref="A60:B60"/>
    <mergeCell ref="B3:N3"/>
    <mergeCell ref="H4:I4"/>
    <mergeCell ref="M4:N4"/>
    <mergeCell ref="A100:A101"/>
    <mergeCell ref="L78:M78"/>
    <mergeCell ref="A84:A85"/>
    <mergeCell ref="B84:B85"/>
    <mergeCell ref="C84:F84"/>
    <mergeCell ref="G84:G85"/>
    <mergeCell ref="A61:B61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jakoubkova</cp:lastModifiedBy>
  <cp:lastPrinted>2008-03-28T06:36:31Z</cp:lastPrinted>
  <dcterms:created xsi:type="dcterms:W3CDTF">2004-02-26T11:39:43Z</dcterms:created>
  <dcterms:modified xsi:type="dcterms:W3CDTF">2008-03-28T08:56:10Z</dcterms:modified>
  <cp:category/>
  <cp:version/>
  <cp:contentType/>
  <cp:contentStatus/>
</cp:coreProperties>
</file>