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Dotace 2008-ostatní" sheetId="1" r:id="rId1"/>
    <sheet name="List1" sheetId="2" r:id="rId2"/>
  </sheets>
  <definedNames>
    <definedName name="_xlnm.Print_Titles" localSheetId="0">'Dotace 2008-ostatní'!$3:$3</definedName>
    <definedName name="_xlnm.Print_Area" localSheetId="0">'Dotace 2008-ostatní'!$A$1:$BV$196</definedName>
    <definedName name="_xlnm.Print_Area" localSheetId="1">'List1'!$A$1:$J$59</definedName>
  </definedNames>
  <calcPr fullCalcOnLoad="1"/>
</workbook>
</file>

<file path=xl/comments1.xml><?xml version="1.0" encoding="utf-8"?>
<comments xmlns="http://schemas.openxmlformats.org/spreadsheetml/2006/main">
  <authors>
    <author>sykora</author>
  </authors>
  <commentList>
    <comment ref="BD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MPSV+kraj v roce 2007 s nárůstem 10% - MPSV a záloha Kraj 2008</t>
        </r>
      </text>
    </comment>
    <comment ref="BE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Předchozí částka upravená s ohledem na požadavek od kraje pro rok 2008</t>
        </r>
      </text>
    </comment>
    <comment ref="BF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Procento získaných prostředků na rok 200á oproti roku 2007 (MPSV,Kraj)</t>
        </r>
      </text>
    </comment>
    <comment ref="BH3" authorId="0">
      <text>
        <r>
          <rPr>
            <b/>
            <sz val="10"/>
            <rFont val="Tahoma"/>
            <family val="2"/>
          </rPr>
          <t>sykora:</t>
        </r>
        <r>
          <rPr>
            <sz val="10"/>
            <rFont val="Tahoma"/>
            <family val="2"/>
          </rPr>
          <t xml:space="preserve">
Výhodnější z variant BD nebo BF
</t>
        </r>
      </text>
    </comment>
  </commentList>
</comments>
</file>

<file path=xl/sharedStrings.xml><?xml version="1.0" encoding="utf-8"?>
<sst xmlns="http://schemas.openxmlformats.org/spreadsheetml/2006/main" count="1208" uniqueCount="386">
  <si>
    <t>IČ</t>
  </si>
  <si>
    <t>Název poskytovatele</t>
  </si>
  <si>
    <t>právní forma</t>
  </si>
  <si>
    <t>Druh služby</t>
  </si>
  <si>
    <t>Název služby</t>
  </si>
  <si>
    <t>Číslo registrace služby</t>
  </si>
  <si>
    <t>Počet lůžek</t>
  </si>
  <si>
    <t>Počet klientů</t>
  </si>
  <si>
    <t>Klienti I stupeň</t>
  </si>
  <si>
    <t>Klienti II stupeň</t>
  </si>
  <si>
    <t>Klienti III  stupeň</t>
  </si>
  <si>
    <t>Klienti IV stupeň</t>
  </si>
  <si>
    <t>klienti ostatní</t>
  </si>
  <si>
    <t>Počet přepočtených úvazků - celkem</t>
  </si>
  <si>
    <t>Počet přepočtených pracovníků-přímá péče</t>
  </si>
  <si>
    <t>MPSV 2007</t>
  </si>
  <si>
    <t>MPSV 2008 požadavek</t>
  </si>
  <si>
    <t>Jiná státní správa 2007</t>
  </si>
  <si>
    <t>Jiná státní správa 2008</t>
  </si>
  <si>
    <t>Úřad práce 2007</t>
  </si>
  <si>
    <t>Úřad práce 2008</t>
  </si>
  <si>
    <t>Kraj 2007</t>
  </si>
  <si>
    <t>Obec 2007</t>
  </si>
  <si>
    <t>Obec 2008</t>
  </si>
  <si>
    <t>Zřizovatel 2007</t>
  </si>
  <si>
    <t>Zřizovatel 2008</t>
  </si>
  <si>
    <t>Uživatel 2007</t>
  </si>
  <si>
    <t>Uživatel 2008</t>
  </si>
  <si>
    <t>Zdravotní pojišťovny 2007</t>
  </si>
  <si>
    <t>Zdravotní pojišťovny 2008</t>
  </si>
  <si>
    <t>EU fondy 2007</t>
  </si>
  <si>
    <t>EU fondy 2008</t>
  </si>
  <si>
    <t>Ostatní 2007</t>
  </si>
  <si>
    <t>Ostatní 2008</t>
  </si>
  <si>
    <t>Celkem náklady 2008</t>
  </si>
  <si>
    <t>MPSV-přiznaná dotace pro rok 2008</t>
  </si>
  <si>
    <t>% z požadavku dotace od MPSV na rok 2008</t>
  </si>
  <si>
    <t>Změna výše dotace oproti roku 2007 v %</t>
  </si>
  <si>
    <t>Předpoklad získaných prostředků na rok 2008 (bez dotace kraje)</t>
  </si>
  <si>
    <t>Porovnání se získanými prostředky roku 2007 v %</t>
  </si>
  <si>
    <t>Chybějící částka do výše získanýcch příjmů roku  2007 (bez dotace kraje)</t>
  </si>
  <si>
    <t>Porovnání s celkovými náklady roku 2008 v %</t>
  </si>
  <si>
    <t>Chybějící částka do výše nákladů roku 2008</t>
  </si>
  <si>
    <t>Chybějící částka do výše získanýcch příjmů roku  2007 při zachování dotace kraje ve výši roku 2007</t>
  </si>
  <si>
    <t>Výše dotace MPSV v roce 2008 na 1 přepočtený úvazek</t>
  </si>
  <si>
    <t>Výše dotace MPSV v roce 2008 na 1 přepočtený úvazek u  pracovníků v přímé péči</t>
  </si>
  <si>
    <t>Oblastní charita Havlíčkův Brod</t>
  </si>
  <si>
    <t>NNO</t>
  </si>
  <si>
    <t>centra denních služeb</t>
  </si>
  <si>
    <t>Astra - denní centrum pro seniory v Humpolci</t>
  </si>
  <si>
    <t>§4356</t>
  </si>
  <si>
    <t>pol.5223</t>
  </si>
  <si>
    <t>Tyflo Vysočina Jihlava, o.p.s.</t>
  </si>
  <si>
    <t>Centrum denních služeb</t>
  </si>
  <si>
    <t>pol.5221</t>
  </si>
  <si>
    <t>Centrum LADA - občanské sdružení pro pomoc lidem s mentálním a kombinovaným postižením</t>
  </si>
  <si>
    <t>pol.5222</t>
  </si>
  <si>
    <t>Občanské sdružení pro podporu a péči o duševně nemocné VOR</t>
  </si>
  <si>
    <t>Sociální služby města Havlíčkova Brodu</t>
  </si>
  <si>
    <t>obec</t>
  </si>
  <si>
    <t>pol.5321</t>
  </si>
  <si>
    <t>Celkem</t>
  </si>
  <si>
    <t>Dům sv. Antonína</t>
  </si>
  <si>
    <t>denní stacionáře</t>
  </si>
  <si>
    <t>Dům sv. Antonína - denní stacionář</t>
  </si>
  <si>
    <t>denní stacionář "Domovinka"</t>
  </si>
  <si>
    <t>Denní a týdenní stacionář Jihlava</t>
  </si>
  <si>
    <t>Petrklíč - denní stacionář pro děti a mládež s mentálním a kombinovaným postižením, Ledeč nad Sázavou</t>
  </si>
  <si>
    <t>FOKUS Vysočina</t>
  </si>
  <si>
    <t>Denní stacionář Chotěboř</t>
  </si>
  <si>
    <t>Denní stacionáře</t>
  </si>
  <si>
    <t>Asociace pomáhající lidem s autismem - APLA Vysočina</t>
  </si>
  <si>
    <t>Integrační centrum Sasov</t>
  </si>
  <si>
    <t>Centrum Zdislava</t>
  </si>
  <si>
    <t>Sociální služby města Žďár nad Sázavou</t>
  </si>
  <si>
    <t>Denní stacionář pro mentálně postižené osoby</t>
  </si>
  <si>
    <t>Diecézní charita Brno</t>
  </si>
  <si>
    <t>Nesa-denní stacionář Velké Meziříčí</t>
  </si>
  <si>
    <t>Domovinka Třebíč</t>
  </si>
  <si>
    <t>Stacionář Úsměv Třebíč</t>
  </si>
  <si>
    <t>ÚSVIT-zařízení SPMP Havlíčkův Brod</t>
  </si>
  <si>
    <t>Denní stacionář</t>
  </si>
  <si>
    <t>Denní centrum Barevný svět</t>
  </si>
  <si>
    <t>Centrum J.J. Pestalozziho, o.p.s.</t>
  </si>
  <si>
    <t>domy na pů cesty</t>
  </si>
  <si>
    <t>Dům na půli cesty Havlíčkův Brod</t>
  </si>
  <si>
    <t>chráněné bydlení</t>
  </si>
  <si>
    <t>Chráněné bydlení Pelhřimov</t>
  </si>
  <si>
    <t>§4354</t>
  </si>
  <si>
    <t>Chráněné bydlení Havlíčkův Brod</t>
  </si>
  <si>
    <t>Alkat o.s.</t>
  </si>
  <si>
    <t>Chráněné bydlení</t>
  </si>
  <si>
    <t>kraj</t>
  </si>
  <si>
    <t>Kolpingovo dílo ČR, o.s.</t>
  </si>
  <si>
    <t>kontaktní centra</t>
  </si>
  <si>
    <t>Kontaktní nízkoprahové centrum Spektrum</t>
  </si>
  <si>
    <t>Centrum U Větrníku-kontaktní centrum Jihlava</t>
  </si>
  <si>
    <t>§4376</t>
  </si>
  <si>
    <t>K-centrum Noe Třebíč</t>
  </si>
  <si>
    <t>nízkoprahová zařízení pro děti a mládež</t>
  </si>
  <si>
    <t>eNCéčko - nízkoprahové centrum pro děti a mládež ve Světlé nad Sázavou</t>
  </si>
  <si>
    <t>Nízkoprahové centrum pro děti a mládež</t>
  </si>
  <si>
    <t>Denní centrum pro děti ve Žďáře nad Sázavou</t>
  </si>
  <si>
    <t>Ponorka-centrum prevence</t>
  </si>
  <si>
    <t>§4375</t>
  </si>
  <si>
    <t>ERKO Jihlava-nízkoprahové zařízení pro děti a mládež</t>
  </si>
  <si>
    <t>Centrum prevence-Klub Vrakbar Jihlava</t>
  </si>
  <si>
    <t>Nadosah-centrum prevence Bystřice nad Pernštejnem</t>
  </si>
  <si>
    <t>Klub Zámek-centrum prevence Třebíč</t>
  </si>
  <si>
    <t>Ambrela-Komunitní centrum pro děti a mládež Třebíč</t>
  </si>
  <si>
    <t>Sdružení Nové Město na Moravě</t>
  </si>
  <si>
    <t>EZOP-Nízkoprahové zařízení pro děti a mládež</t>
  </si>
  <si>
    <t>Farní charita Pacov</t>
  </si>
  <si>
    <t>Nízkoprahové zařízení pro děti a mládež Spirála</t>
  </si>
  <si>
    <t>STŘED, Klub mládeže Hájek</t>
  </si>
  <si>
    <t>Program pro mládež</t>
  </si>
  <si>
    <t>odlehčovací služby</t>
  </si>
  <si>
    <t>Dům sv. Antonína - odlehčovací služby</t>
  </si>
  <si>
    <t>Diakonie ČCE - středisko v Myslibořicích</t>
  </si>
  <si>
    <t>Diakonie Myslibořice - Odlehčovací služby</t>
  </si>
  <si>
    <t>Odlehčovací služby</t>
  </si>
  <si>
    <t>Hospicové hnutí - Vysočina, o.s.</t>
  </si>
  <si>
    <t>Občanské sdružení Benediktus</t>
  </si>
  <si>
    <t>Odlehčovací služba</t>
  </si>
  <si>
    <t>osobní asistence</t>
  </si>
  <si>
    <t>Centrum osobní asistence Havlíčkův Brod</t>
  </si>
  <si>
    <t>Osobní asistence</t>
  </si>
  <si>
    <t>§4351</t>
  </si>
  <si>
    <t>Osobní asistence Třebíč</t>
  </si>
  <si>
    <t>Oblastní charita Pelhřimov</t>
  </si>
  <si>
    <t>Středisko osobní asistence</t>
  </si>
  <si>
    <t>Život 90-Jihlava</t>
  </si>
  <si>
    <t>Podané ruce, o.s.-Projekt OsA Frýdek-Místek</t>
  </si>
  <si>
    <t>Poskytování služeb osobní asistence</t>
  </si>
  <si>
    <t>Osobní asistence ve školách a v domácnostech</t>
  </si>
  <si>
    <t>průvodcovské a předčitatelské služby</t>
  </si>
  <si>
    <t>Průvodcovské a předčitatelské služby</t>
  </si>
  <si>
    <t>§4353</t>
  </si>
  <si>
    <t>TyfloCentrum Jihlava o.p.s.</t>
  </si>
  <si>
    <t>raná péče</t>
  </si>
  <si>
    <t>Středisko rané péče Havlíčkův Brod</t>
  </si>
  <si>
    <t>Středisko rané péče Třebíč</t>
  </si>
  <si>
    <t>Raná péče</t>
  </si>
  <si>
    <t>Středisko rané péče SPRP Brno</t>
  </si>
  <si>
    <t>Středisko rané péče SPRP Brno - raná péče v kraji Vysočina</t>
  </si>
  <si>
    <t>Středisko rané péče SPRP České Budějovice</t>
  </si>
  <si>
    <t>raná péče kraj Vysočina</t>
  </si>
  <si>
    <t>služby následné péče</t>
  </si>
  <si>
    <t>Následná péče Pelhřimov</t>
  </si>
  <si>
    <t>Následná péče Havlíčkův Brod</t>
  </si>
  <si>
    <t>Následná péče Chotěboř</t>
  </si>
  <si>
    <t>Sdružení pro rehabilitaci osob po cévních mozkových příhodách</t>
  </si>
  <si>
    <t>soc. aktivizační služby pro seniory a osoby se ZP</t>
  </si>
  <si>
    <t>Klub CMP</t>
  </si>
  <si>
    <t>Sociálně aktivizační služby Pelhřimov</t>
  </si>
  <si>
    <t>§4379</t>
  </si>
  <si>
    <t>Sociálně aktivizační služby Havlíčkův Brod</t>
  </si>
  <si>
    <t>Sociálně aktivizační služby Chotěboř</t>
  </si>
  <si>
    <t>Sociálně aktivizační služby pro seniory a osoby se zdravotním postižením</t>
  </si>
  <si>
    <t>Sociálně aktivizační služby pro seniory a osoby se ZP</t>
  </si>
  <si>
    <t>Aktivizační programy pro uživatele charitních pečovatelských služeb Oblastní charity Jihlava</t>
  </si>
  <si>
    <t>Včela-centrum aktivizačních služeb pro seniory Bystřice nad Pernštejnem</t>
  </si>
  <si>
    <t>Domov pokojného života Nížkov-sociálně aktivizační služby</t>
  </si>
  <si>
    <t>Klub v 9-centrum služeb pro podporu duševního zdraví Žďár nad Sázavou</t>
  </si>
  <si>
    <t>Paprsek naděje-centrum služeb pro podporu duševního zdraví Třebíč</t>
  </si>
  <si>
    <t>Dobrovolnické centrum</t>
  </si>
  <si>
    <t>Svaz neslyšících a nedoslýchavých v ČR, Krajská organizace Vysočina</t>
  </si>
  <si>
    <t>Aktivizační a tlumočnické služby pro neslyšící</t>
  </si>
  <si>
    <t>sociálně aktivizační služby pro rodiny s dětmi</t>
  </si>
  <si>
    <t>Sociálně aktivizační služby pro rodiny s dětmi</t>
  </si>
  <si>
    <t>§4371</t>
  </si>
  <si>
    <t>Program Pět P a Sociální asistence a poradenství</t>
  </si>
  <si>
    <t>sociálně terapeutické dílny</t>
  </si>
  <si>
    <t>Rehabilitační dílna Ledeč nad Sázavou</t>
  </si>
  <si>
    <t>§4377</t>
  </si>
  <si>
    <t>Sociálně terapeutická dílna Pelhřimov</t>
  </si>
  <si>
    <t>Sociálně terapeutická dílna Havlíčkův Brod</t>
  </si>
  <si>
    <t>Sociálně terapeutická dílna</t>
  </si>
  <si>
    <t>Sociálně terapeutické dílny</t>
  </si>
  <si>
    <t>sociální poradenství</t>
  </si>
  <si>
    <t>Občanská poradna Havlíčkův Brod</t>
  </si>
  <si>
    <t>Odborné sociální poradenství Pelhřimov</t>
  </si>
  <si>
    <t>§4311</t>
  </si>
  <si>
    <t>Odborné sociální poradenství Havlíčkův Brod</t>
  </si>
  <si>
    <t>Psychologická poradna LOGOS</t>
  </si>
  <si>
    <t>Odborné sociální poradenství pro zdravotně postižené Chotěboř</t>
  </si>
  <si>
    <t>Odborné sociální poradenství</t>
  </si>
  <si>
    <t>Centrum pro zdravotně postižené kraje Vysočina</t>
  </si>
  <si>
    <t>Centra služeb pro zdravotně postižené v kraji Vysočina-PE</t>
  </si>
  <si>
    <t>Centra služeb pro zdravotně postižené v kraji Vysočina-TR</t>
  </si>
  <si>
    <t>Centra služeb pro zdravotně postižené v kraji Vysočina-ZR</t>
  </si>
  <si>
    <t>Centra služeb pro zdravotně postižené v kraji Vysočina-HB</t>
  </si>
  <si>
    <t>Centra služeb pro zdravotně postižené v kraji Vysočina-JI</t>
  </si>
  <si>
    <t>Občanská poradna Nové Město na Moravě</t>
  </si>
  <si>
    <t>Občanská poradna Pelhřimov</t>
  </si>
  <si>
    <t>Sociální poradenství</t>
  </si>
  <si>
    <t>Občanská poradna-Jihlava</t>
  </si>
  <si>
    <t>Občanská poradna-Jihlava (Telč)</t>
  </si>
  <si>
    <t>Občanská poradna Žďár nad Sázavou</t>
  </si>
  <si>
    <t>Občanská poradna Třebíč</t>
  </si>
  <si>
    <t>poradna Alej</t>
  </si>
  <si>
    <t>Sociální poradna pro sluchově postižené Jihlava</t>
  </si>
  <si>
    <t>Sociální poradna pro sluchově postižené Havlíčkův Brod</t>
  </si>
  <si>
    <t>Sociální poradna pro sluchově postižené Třebíč</t>
  </si>
  <si>
    <t>Sociální poradna pro sluchově postižené Žďár nad Sázavou</t>
  </si>
  <si>
    <t>Sociální poradna pro sluchově postižené Bystřice nad Pernštejnem</t>
  </si>
  <si>
    <t>sociální rehabilitace</t>
  </si>
  <si>
    <t>Byty sociální rehabilitace Havlíčkův Brod</t>
  </si>
  <si>
    <t>Sociálně rehabilitace Pelhřimov</t>
  </si>
  <si>
    <t>§4344</t>
  </si>
  <si>
    <t>Sociální rehabilitace Havlíčkův Brod</t>
  </si>
  <si>
    <t>Tým podpory v zaměstnávání - sociální rehabilitace Pelhřimov</t>
  </si>
  <si>
    <t>Tým podpory v zaměstnávání - sociální rehabilitace Havlíčkův Brod</t>
  </si>
  <si>
    <t>Sociální rehabilitace</t>
  </si>
  <si>
    <t>Malá řemesla Jihlava</t>
  </si>
  <si>
    <t>Probační program "Šance ve STŘEDu"</t>
  </si>
  <si>
    <t>Nemocnice Havlíčkův Brod, příspěvková organizace</t>
  </si>
  <si>
    <t>sociální služby poskytované ve ZZ</t>
  </si>
  <si>
    <t>Sociální lůžka v Nemocnici Havlíčkův Brod</t>
  </si>
  <si>
    <t>Nemocnice Pelhřimov, příspěvková organizace</t>
  </si>
  <si>
    <t>Léčebna TRN Humpolec, příspěvková organizace</t>
  </si>
  <si>
    <t>Sociální hospitalizace v LTRN Humpolec</t>
  </si>
  <si>
    <t>Nemocnice Nové Město na Moravě, příspěvková organizace</t>
  </si>
  <si>
    <t>Pobytové sociální služby poskytované ve zdravotnickém zařízení ústavní péče</t>
  </si>
  <si>
    <t>Nemocnice Ledeč-Háj, spol. s r.o.</t>
  </si>
  <si>
    <t>Zdrav_zařízení</t>
  </si>
  <si>
    <t>Pobytová sociální služba poskytovaná ve zdravotnickém zařízení</t>
  </si>
  <si>
    <t>Nemocnice Počátky, s.r.o.</t>
  </si>
  <si>
    <t>PATEB s.r.o. Psychiatrie lůžkové a ambulantní zařízení</t>
  </si>
  <si>
    <t>Denní rehabilitační stacionář pro tělesně a mentálně postižené děti a mládež</t>
  </si>
  <si>
    <t>Komplexní sociální a ošetřovatelská péče</t>
  </si>
  <si>
    <t>telefonická krizová pomoc</t>
  </si>
  <si>
    <t>Linka důvěry STŘED</t>
  </si>
  <si>
    <t>CIRCLE OF LIFE o.s.</t>
  </si>
  <si>
    <t>terapeutické komunity</t>
  </si>
  <si>
    <t>Doléčovací-následná péče, pracovní programy a rekvalifikace, chráněné bydlení</t>
  </si>
  <si>
    <t>Občanské sdružení Ječmínek</t>
  </si>
  <si>
    <t>terénní programy</t>
  </si>
  <si>
    <t>Terénní práce v ohrožených skupinách</t>
  </si>
  <si>
    <t>§4378</t>
  </si>
  <si>
    <t>Občanské sdružení Život 90 Zruč nad Sázavou</t>
  </si>
  <si>
    <t>tísňová péče</t>
  </si>
  <si>
    <t>Areíon-tísňová péče pro seniory a zdravotně postižené</t>
  </si>
  <si>
    <t>AREÍON-tísňová péče pro seniory a zdravotně postižené občany</t>
  </si>
  <si>
    <t>§4352</t>
  </si>
  <si>
    <t>tlumočnické služby</t>
  </si>
  <si>
    <t>Tlumočnické služby</t>
  </si>
  <si>
    <t>Jihlavská unie neslyšících</t>
  </si>
  <si>
    <t>Tlumočnické služby pro sluchově postižené občany</t>
  </si>
  <si>
    <t>Tlumočnické služby pro neslyšící a artikulační tlumočení pro sluchově postižené Jihlava</t>
  </si>
  <si>
    <t>Tlumočnické služby pro neslyšící a artikulační tlumočení pro sluchově postižené Pelhřimov</t>
  </si>
  <si>
    <t>týdenní stacionáře</t>
  </si>
  <si>
    <t>§4355</t>
  </si>
  <si>
    <t>Celkem za všechny poskytovatele</t>
  </si>
  <si>
    <t>§4359</t>
  </si>
  <si>
    <t>Kapitola Sociální věci: § a položka</t>
  </si>
  <si>
    <t>Krajem vyplacená 1.záloha -      ZK-01-2008</t>
  </si>
  <si>
    <t>Příjmy celkem za rok 2007 dle vyúčtování</t>
  </si>
  <si>
    <t>Návrh na dofinancování služby z prostředků kraje Vysočina pro rok 2008</t>
  </si>
  <si>
    <t xml:space="preserve">1. Varianta výše doplatku kraje  do 110% příjmů roku 2007 od MPSV a kraje </t>
  </si>
  <si>
    <t>2. Varianta výše doplatku kraje  do 110% příjmů roku 2007 od MPSV a kraje, maximálně ve výši požadavku na rok 2008 od kraje</t>
  </si>
  <si>
    <t>Procento získaných prostředků na rok 2008 od MPSV a kraje s porovnáním v roce 2007</t>
  </si>
  <si>
    <t>0,71 Varianta dofinancování služby do 70% příjmů roku 2007 od MPSV a kraje</t>
  </si>
  <si>
    <t>Na počátku, o.s.</t>
  </si>
  <si>
    <t>Terénní a ambulantní následná péče Domova pro dětský život-sociálně aktivizační služby</t>
  </si>
  <si>
    <t>Pobytová následná péče Domova pro dětský život-byty na půl cesty</t>
  </si>
  <si>
    <t>Terapeutická komunita Sejřek</t>
  </si>
  <si>
    <t>§4373</t>
  </si>
  <si>
    <t xml:space="preserve">Procento příjmů na rok 2008/náklady 2007 </t>
  </si>
  <si>
    <t>Procento příjmů na rok 2008/náklady 2008</t>
  </si>
  <si>
    <t>Integrované centrum sociálních služeb</t>
  </si>
  <si>
    <t>Návrh na poskytnutí finančních prostředků kraje Vysočina pro poskytovatele dalších sociálních služeb v roce 2008</t>
  </si>
  <si>
    <t>Celková dotace od kraje Vysočina na rok 2008</t>
  </si>
  <si>
    <t>Celková dotace MPSV + kraj v roce 2007</t>
  </si>
  <si>
    <t>Celková dotace MPSV + kraj v roce 2008</t>
  </si>
  <si>
    <t>Změna v %</t>
  </si>
  <si>
    <t>Požadavek uvedený v žádosti na MPSV -Kraj 2008</t>
  </si>
  <si>
    <t xml:space="preserve">Celkem náklady 2007 </t>
  </si>
  <si>
    <t>Sídlo služby</t>
  </si>
  <si>
    <t>Humpolec</t>
  </si>
  <si>
    <t>Jihlava</t>
  </si>
  <si>
    <t>Pacov</t>
  </si>
  <si>
    <t>Havlíčkův Brod</t>
  </si>
  <si>
    <t>Moravské Budějovice</t>
  </si>
  <si>
    <t>Ledeč nad Sázavou</t>
  </si>
  <si>
    <t>Chotěboř</t>
  </si>
  <si>
    <t>Nové Město na Moravě</t>
  </si>
  <si>
    <t>Žďár nad Sázavou</t>
  </si>
  <si>
    <t>Velké Meziříčí</t>
  </si>
  <si>
    <t>Třebíč</t>
  </si>
  <si>
    <t>utajená adresa</t>
  </si>
  <si>
    <t>Pelhřimov</t>
  </si>
  <si>
    <t>Jemnice</t>
  </si>
  <si>
    <t>Bystřice nad Pernštejnem</t>
  </si>
  <si>
    <t>Myslibořice</t>
  </si>
  <si>
    <t>Brno</t>
  </si>
  <si>
    <t>České Budějovice</t>
  </si>
  <si>
    <t>Pehřimov</t>
  </si>
  <si>
    <t>střediska pečovatelské služby na Jihlavsku</t>
  </si>
  <si>
    <t>Nížkov</t>
  </si>
  <si>
    <t>Telč</t>
  </si>
  <si>
    <t>Koněšín</t>
  </si>
  <si>
    <t>Sejřek</t>
  </si>
  <si>
    <t>Zruč nad Sázavou</t>
  </si>
  <si>
    <t>Poznámka k výši dotace kraje</t>
  </si>
  <si>
    <t>Návrh dotace stanoven jako dorovnání do výše požadavku.</t>
  </si>
  <si>
    <t>Nenavrhujeme další dotaci, protože služba se překrývá se stacionářem.</t>
  </si>
  <si>
    <t>Organizace v žádosti na MPSV požádala o vyšší státní dotaci s předpokladem nížší dotace kraje. MPSV však této změně nevyhovělo, a proto navrhujeme dotaci kraje nad rámec původního požadavku.</t>
  </si>
  <si>
    <t>Poskytovatel přesunul svou činnost do nového objektu po rozsáhlé investici a dočasném omezení činnosti, ale nízká dotace MPSV nyní ohrožuje provoz. To je důvod navýšení dotace kraje.</t>
  </si>
  <si>
    <t>Služba se překrývá s denním stacionářem, proto nanavrhujeme další dotaci.</t>
  </si>
  <si>
    <t>Jedná se o novou službu a dotace na její provoz by byla na úkor jiných poskytovatelů.</t>
  </si>
  <si>
    <t>Poskytovatel navýšil požadavek na dotaci MPSV a bylo mu vyhověno. Dotaci kraje nerozpočtoval, proto mu ji nenavrhujeme.</t>
  </si>
  <si>
    <t>Poskytovatel navýšil požadavek na dotaci MPSV a bylo mu částečně vyhověno. Dotace kraje proto postačuje ve výši vyplacené zálohy.</t>
  </si>
  <si>
    <t>Dotace kraje navrhujeme nižší než v roce 2007, ale vzhledem k růstu dotace MPSV dochází ke zvýšení příjmů z těchto zdrojů. S ohledem na závažnost postižení klientů je růst příjmů služby potřebný.</t>
  </si>
  <si>
    <t>Příjmy služby byly v roce 2007 podhodnocené, a proto navrhujeme zvýšení dotace kraje.</t>
  </si>
  <si>
    <t>Vzhledem k neposkytnutí dotace MPSV navrhujeme zvýšit dotaci kraje k zajištění služeb pro zrakově postižené.</t>
  </si>
  <si>
    <t>Jedná se o nový projekt, který obdržel vysokou dotaci z MPSV a dotaci z kraje nepředpokládal.</t>
  </si>
  <si>
    <t>Poskytovatel ve své žádosti na MPSV nepředpokládal dotaci od kraje a jeho požadavek na dotaci MPSV byl uspokojen.</t>
  </si>
  <si>
    <t>Dotace je doplacena do výše požadavku na dotaci kraje.</t>
  </si>
  <si>
    <t>Z důvodu výrazného poklesu dotace MPSV navrhujeme částečnou kompenzci tohoto propadu dotací kraje.</t>
  </si>
  <si>
    <t>Vzhledem ke snížení dotace z MPSV navrhujem navýšení dotace kraje nad rámec požadavku.</t>
  </si>
  <si>
    <t>Jedná se o nově zavedenou službu, která nabyla zrozpočtu kraje dosud financována. Její podpora by ve stávajícím rozpiočtu byla na úkor ostatních služeb.</t>
  </si>
  <si>
    <t>Z důvodu výrazného navýšení dotace MPSV nenavrhujeme poskytnutí dotace.</t>
  </si>
  <si>
    <t>Navrhujeme vyhovět požadavku poskytovatele, který je nižší než v roce 2007.</t>
  </si>
  <si>
    <t>Vzhledem k potřebnosti služby navrhujeme vyhovět požadavku.</t>
  </si>
  <si>
    <t>Vzhledem ke snížení dotace z MPSV navrhujem navýšení dotace kraje nad rámec dotace v roce 2007.</t>
  </si>
  <si>
    <t>Vzhledem k malému rozsahu služby piovažujeme poskytnutou zálohu za dostatečnou.</t>
  </si>
  <si>
    <t>Navrhujeme zvýšenou dotací kraje kompenzovat pokles dotací z MPSV a z Úřadu vlády.</t>
  </si>
  <si>
    <t>Navrhujeme zvýšenou dotací kraje částečně kompenzovat pokles dotací z MPSV.</t>
  </si>
  <si>
    <t>Poskytovatel ve své žádosti na MPSV nepředpokládal dotaci kraje a jeho požadavek byl téměř uspokojen.</t>
  </si>
  <si>
    <t>Prostřednictvím zvýšené dotace kraje navrhujeme částečně kompenzovat pokles dotace MPSV.</t>
  </si>
  <si>
    <t>Již poskatnutá záloha částečně kompenzuje snížení dotace MPSV, a proto nenavrhujeme další dotaci.</t>
  </si>
  <si>
    <t>Navrhujeme doplacení dotace kraje do výše požadavku uvedeného v žádosti na MPSV.</t>
  </si>
  <si>
    <t>Vzhledem k nárůstu dotace MPSV považujeme poskytnutou zálohu za dostatečnou a nenavrhujeme další dotaci.</t>
  </si>
  <si>
    <t xml:space="preserve">Jedná se o službu, která byla dříve podporována v Třebíči a nyní byla přenesena do Moravských Budějovic. Navrhujeme vyhovět požadavku uvedenému v žádosti na MPSV. </t>
  </si>
  <si>
    <t>Vzhledem k navýšení podpory z MPSV navrhujeme nižší dotaci z rozpočtu kraje.</t>
  </si>
  <si>
    <t>Vzhledem k neposkytnutí dotace MPSV navrhujeme uspokojit požadavek na dotaci kraje.</t>
  </si>
  <si>
    <t>Jedná se o novou službu, která obdržela dotaci MPSV, a proto nenavrhujeme poskytnutí dotace z rozpočtu kraje.</t>
  </si>
  <si>
    <t>Uspokojením požadavku ze strany MPSV došlo k poměrně velkému růstu příjmů na provoz služby, a proto nenavrhujeme poskytnutí dotace kraje.</t>
  </si>
  <si>
    <t>Navrhujeme zvýšenou dotací kraje nad rámec požadavku pro rok 2008 částečně kompenzovat neuspokojení požadavku na dotaci MPSV.</t>
  </si>
  <si>
    <t>Vzhledem ke snížené dotaci MPSV navrhujeme uspokojit požadavek na dotaci kraje.</t>
  </si>
  <si>
    <t>Jedná se o novou službu, která dotaci od kraje nepředpokládala.</t>
  </si>
  <si>
    <t xml:space="preserve">Poskytovatel snížil požadavek o dotaci kraje, ale jeho zvýšení požadavku na dotaci MPSV nebylo uspokojeno. Proto navrhujeme tuto situaci částečně kompenzovat. </t>
  </si>
  <si>
    <t>Vzhledem k vyšší dotaci MPSV, nenavrhujeme poskytnutí další dotace nad rámec vyplacené zálohy.</t>
  </si>
  <si>
    <t>U služby došlo k velkému navýšení dotace MPSV, a proto nenavrhujeme dotaci z rozpočtu kraje.</t>
  </si>
  <si>
    <t>Vzhledem k navýšení dotace MPSV navrhujeme sníženou dotaci kraje při repektování růstu počtu klientů.</t>
  </si>
  <si>
    <t>Poskytovatel obdržel dotaci ve výši roku 2007 a dotaci kraje v žádosti nepředpokládal.</t>
  </si>
  <si>
    <t xml:space="preserve">Poskytovatel musel v návaznosti na doporučení MPSV a legislativní změnu přeměnit následnou péči na sociální rehabilitaci, a proto v souladu s uzavřenou smlouvou požádá o možnost využití části poskytnuté zálohy na tuto sociální rehabilitaci. </t>
  </si>
  <si>
    <t>Zvýšením dotace kraje navrhujeme kompenzovat snížení dotace MPSV.</t>
  </si>
  <si>
    <t>Dotace MPSV byla proti roku 2007 zvýšena, a proto navrhujeme nižší dotaci kraje.</t>
  </si>
  <si>
    <t>Vzhledem k růstu dotace MPSV je k financování provozu služby dostačující již vyplacená záloha.</t>
  </si>
  <si>
    <t>Jedná se o službu, která měla vyšší dotaci od MPSV než v roce 2007 a dotaci kraje nepředpokládala. Nedoporučujeme financování soc. aktivizační služby přidružené k pečovatelské službě.</t>
  </si>
  <si>
    <t>Jedná se o službu, která nahrazuje pečovatelskou službu a která je ve srovnání s ní z prostředků MPSV financována lépe.</t>
  </si>
  <si>
    <t>Jedná se službu, která nebyla zrozpočtu kraje dosud financována. Její podpora by ve stávajícím rozpiočtu byla na úkor ostatních služeb.</t>
  </si>
  <si>
    <t>MPSV neuspokojilo požadavek poskytovatele související s vyšší poptávkou, a proto navrhujeme dotaci nad rámec požadavku v rozsahu blížícím se výši dotace kraje 2007.</t>
  </si>
  <si>
    <t>MPSV neuspokojilo požadavek poskytovatele související s vyšší poptávkou, a proto navrhujeme dotaci nad rámec výše dotace kraje 2007.</t>
  </si>
  <si>
    <t>Jedná se o nově zavedenou službu, která nabyla zrozpočtu kraje dosud financována. Její podpora by ve stávajícím rozpočtu byla na úkor ostatních služeb.</t>
  </si>
  <si>
    <t>Navrhujeme dotaci s mírným navýšením oproti roku 2007 (obdobné bylo navýšení dotace MPSV.)</t>
  </si>
  <si>
    <t>Navrhujeme dotaci s mírným navýšením oproti roku 2007 s ohledem na nedostatečné uspokojení požadavku od MPSV.</t>
  </si>
  <si>
    <t>MPSV neuspokojilo požadavek poskytovatele související s vyšší poptávkou a dřívějším podfinancováním služby, a proto navrhujeme alespoň částečné uspokojení požavku na dotaci se snížením oproti roku 2007.</t>
  </si>
  <si>
    <t>Vzhledem k bezplatnosti služby navrhujeme mírné navýšení dotace kraje oproti roku 2007.</t>
  </si>
  <si>
    <t>Navrhujeme zvýšenou dotací kraje kompenzovat pokles dotací z MPSV.</t>
  </si>
  <si>
    <t>Vzhledem k dřívějšímu nízkému financování služby navrhujeme dotaci v téměř plné výši požadavku na rok 2008.</t>
  </si>
  <si>
    <t>Navrhujeme dotaci, tak aby byla přibližně kompenzována míra inflace.</t>
  </si>
  <si>
    <t>Již vyplacená záloha téměř uspokojuje požadavek na dotaci kraje, a proto nenavrhujeme další dotaci.</t>
  </si>
  <si>
    <t>Návrh dotace zohledňuje vyšší náklady pobočky v okrese Žďár nad Sázavou.</t>
  </si>
  <si>
    <t>Návrh dotace zohledňuje vyšší náklady pobočky v okrese Jihlava.</t>
  </si>
  <si>
    <t>Jedná se o novou službu a poskytovatel nepředpokládal dotaci od kraje.</t>
  </si>
  <si>
    <t>Služba nebyla v minulosti financována z prostředků kraje a nyní byla nově poskytnuta poměrně vysoká dotace MPSV, a proto dotaci kraje nenavrhujeme.</t>
  </si>
  <si>
    <t>MPSV neuspokojilo požadavek poskytovatele související s vyšší poptávkou a dřívějším podfinancováním služby, a proto neuspokojení tohoto požadavku alespoň částečně kompenzovat.</t>
  </si>
  <si>
    <t>Navrhujeme uspokojení požadavku na dotaci kraje v návaznosti na bezplatnost služby a náklady zahrnující financování pobočky.</t>
  </si>
  <si>
    <t>Požadavek na dotaci MPSV byl uspokojen a poskytovatel dotaci kraje v žádosti nepředpokládal.</t>
  </si>
  <si>
    <t>MPSV neuspokojilo požadavek poskytovatele související s vyšší poptávkou a dřívějším podfinancováním služby. Navrhujeme vyhovět požadavku poskytovatele na dotaci kraje.</t>
  </si>
  <si>
    <t>Vzhledem k nedostatečné právní úpravě byla hospicová péče podřazena pod sociální poradenství. Při navýšení dotace MPSV navrhujeme částečné snížení dotace kraje oproti roku 2007.</t>
  </si>
  <si>
    <t>Jedná se o nově zavedenou službu, která nabyla zrozpočtu kraje dosud financována a dotaci kraje nepředpokládala. Její podpora by ve stávajícím rozpočtu byla na úkor ostatních služeb.</t>
  </si>
  <si>
    <t>V návrzích je po projednání s poskytovatelem zohledněna přeměna následné péče na sociální rehabilitaci.</t>
  </si>
  <si>
    <t>Navrhujeme dotaci ve výši roku 2007, přičemž zvýšená dotace MPSV kompenzuje ukončení příjmů z evropských fondů.</t>
  </si>
  <si>
    <t xml:space="preserve">Poskytovatel uplatnil objem prostředků, který v roce 2007 obdržel od kraje, v požadavku na dotaci MPSV, ale jeho požadavku nebylo vyhověno. Tuto skutečnost návrhem dotace kraje alespoň částečně kompenzujeme. </t>
  </si>
  <si>
    <t>V kraji Vysočina postačuje jeden poskytovatel, který je dlouhodobě financován. Proto nepočítáme s podporou této služby.</t>
  </si>
  <si>
    <t>Vzhledem k neuspokojení požadavku na vyšší dotaci MPSV odůvodněného růstem počtu klientů navrhujeme navýšení dotace kraje nad rámec požadavku uvedeného v žádosti. Navýšení však odpovídá především zohlednění inflace.</t>
  </si>
  <si>
    <t>Vzhledem k potřebě zachování nejnutnější míry tlumočnické služby pro kombinaci zrakového a sluchového postižení navrhujeme vyšší dotaci kraje.</t>
  </si>
  <si>
    <t>Požadavek na dotaci MPSV byl uspokojen a v žádosti nebyla předpokládána dotace kraje.</t>
  </si>
  <si>
    <t>Poskytovatel v žádosti na MPSV nepředpokládal dotaci kraje.</t>
  </si>
  <si>
    <t>RK-10-2008-29, př. 2</t>
  </si>
  <si>
    <r>
      <t>Poznámka:</t>
    </r>
    <r>
      <rPr>
        <sz val="11"/>
        <rFont val="Arial"/>
        <family val="2"/>
      </rPr>
      <t xml:space="preserve"> Všichni poskytovatelé, kterým je navržena dotace nebo vyplacena záloha, mají své služby řádně zaregistrované. Návrhy dotací jsou stanoveny v rámci schváleného rozpočtu kraje a návrh nevyžaduje žádné navýšení rozpočtu kapitoly Sociální věci. </t>
    </r>
  </si>
  <si>
    <t>Počet stran: 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</si>
</sst>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_ ;\-#,##0.00\ "/>
    <numFmt numFmtId="167" formatCode="#,##0_ ;\-#,##0\ "/>
    <numFmt numFmtId="168" formatCode="0.0"/>
    <numFmt numFmtId="169" formatCode="#,##0.0000_ ;\-#,##0.0000\ "/>
  </numFmts>
  <fonts count="13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167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quotePrefix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 quotePrefix="1">
      <alignment horizontal="center" vertical="center" wrapText="1"/>
    </xf>
    <xf numFmtId="3" fontId="1" fillId="0" borderId="0" xfId="0" applyNumberFormat="1" applyFont="1" applyFill="1" applyBorder="1" applyAlignment="1" quotePrefix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7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quotePrefix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0" xfId="0" applyNumberFormat="1" applyFont="1" applyFill="1" applyAlignment="1" quotePrefix="1">
      <alignment horizontal="right" vertical="center" wrapText="1"/>
    </xf>
    <xf numFmtId="0" fontId="4" fillId="0" borderId="14" xfId="0" applyNumberFormat="1" applyFont="1" applyFill="1" applyBorder="1" applyAlignment="1" quotePrefix="1">
      <alignment vertical="center" wrapText="1"/>
    </xf>
    <xf numFmtId="0" fontId="4" fillId="0" borderId="15" xfId="0" applyNumberFormat="1" applyFont="1" applyFill="1" applyBorder="1" applyAlignment="1" quotePrefix="1">
      <alignment vertical="center" wrapText="1"/>
    </xf>
    <xf numFmtId="0" fontId="4" fillId="0" borderId="15" xfId="0" applyNumberFormat="1" applyFont="1" applyFill="1" applyBorder="1" applyAlignment="1" quotePrefix="1">
      <alignment vertical="center"/>
    </xf>
    <xf numFmtId="0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 quotePrefix="1">
      <alignment vertical="center"/>
    </xf>
    <xf numFmtId="3" fontId="4" fillId="0" borderId="16" xfId="0" applyNumberFormat="1" applyFont="1" applyFill="1" applyBorder="1" applyAlignment="1" quotePrefix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14" xfId="0" applyNumberFormat="1" applyFont="1" applyFill="1" applyBorder="1" applyAlignment="1" quotePrefix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167" fontId="4" fillId="0" borderId="18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right" vertical="center"/>
    </xf>
    <xf numFmtId="0" fontId="4" fillId="0" borderId="23" xfId="0" applyNumberFormat="1" applyFont="1" applyFill="1" applyBorder="1" applyAlignment="1" quotePrefix="1">
      <alignment vertical="center" wrapText="1"/>
    </xf>
    <xf numFmtId="0" fontId="4" fillId="0" borderId="24" xfId="0" applyNumberFormat="1" applyFont="1" applyFill="1" applyBorder="1" applyAlignment="1" quotePrefix="1">
      <alignment vertical="center" wrapText="1"/>
    </xf>
    <xf numFmtId="0" fontId="4" fillId="0" borderId="24" xfId="0" applyNumberFormat="1" applyFont="1" applyFill="1" applyBorder="1" applyAlignment="1" quotePrefix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 quotePrefix="1">
      <alignment vertical="center"/>
    </xf>
    <xf numFmtId="3" fontId="4" fillId="0" borderId="25" xfId="0" applyNumberFormat="1" applyFont="1" applyFill="1" applyBorder="1" applyAlignment="1" quotePrefix="1">
      <alignment vertical="center"/>
    </xf>
    <xf numFmtId="3" fontId="4" fillId="0" borderId="23" xfId="0" applyNumberFormat="1" applyFont="1" applyFill="1" applyBorder="1" applyAlignment="1" quotePrefix="1">
      <alignment vertical="center"/>
    </xf>
    <xf numFmtId="164" fontId="4" fillId="0" borderId="24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vertical="center"/>
    </xf>
    <xf numFmtId="165" fontId="4" fillId="0" borderId="25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 quotePrefix="1">
      <alignment vertical="center" wrapText="1"/>
    </xf>
    <xf numFmtId="0" fontId="4" fillId="0" borderId="28" xfId="0" applyNumberFormat="1" applyFont="1" applyFill="1" applyBorder="1" applyAlignment="1" quotePrefix="1">
      <alignment vertical="center" wrapText="1"/>
    </xf>
    <xf numFmtId="0" fontId="4" fillId="0" borderId="28" xfId="0" applyNumberFormat="1" applyFont="1" applyFill="1" applyBorder="1" applyAlignment="1" quotePrefix="1">
      <alignment vertical="center"/>
    </xf>
    <xf numFmtId="0" fontId="4" fillId="0" borderId="28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 quotePrefix="1">
      <alignment vertical="center"/>
    </xf>
    <xf numFmtId="3" fontId="4" fillId="0" borderId="29" xfId="0" applyNumberFormat="1" applyFont="1" applyFill="1" applyBorder="1" applyAlignment="1" quotePrefix="1">
      <alignment vertical="center"/>
    </xf>
    <xf numFmtId="164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165" fontId="4" fillId="0" borderId="27" xfId="0" applyNumberFormat="1" applyFont="1" applyFill="1" applyBorder="1" applyAlignment="1">
      <alignment vertical="center"/>
    </xf>
    <xf numFmtId="165" fontId="4" fillId="0" borderId="29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horizontal="right" vertical="center"/>
    </xf>
    <xf numFmtId="167" fontId="4" fillId="0" borderId="31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 quotePrefix="1">
      <alignment horizontal="right" vertical="center" wrapText="1"/>
    </xf>
    <xf numFmtId="0" fontId="4" fillId="0" borderId="0" xfId="0" applyNumberFormat="1" applyFont="1" applyFill="1" applyAlignment="1" quotePrefix="1">
      <alignment vertical="center"/>
    </xf>
    <xf numFmtId="3" fontId="3" fillId="0" borderId="36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quotePrefix="1">
      <alignment vertical="center"/>
    </xf>
    <xf numFmtId="3" fontId="3" fillId="0" borderId="2" xfId="0" applyNumberFormat="1" applyFont="1" applyFill="1" applyBorder="1" applyAlignment="1" quotePrefix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7" fontId="4" fillId="0" borderId="35" xfId="0" applyNumberFormat="1" applyFont="1" applyFill="1" applyBorder="1" applyAlignment="1">
      <alignment horizontal="right" vertical="center"/>
    </xf>
    <xf numFmtId="167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0" fontId="10" fillId="0" borderId="0" xfId="0" applyFont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164" fontId="4" fillId="0" borderId="38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39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2" fontId="4" fillId="0" borderId="39" xfId="0" applyNumberFormat="1" applyFont="1" applyFill="1" applyBorder="1" applyAlignment="1">
      <alignment horizontal="right" vertical="center"/>
    </xf>
    <xf numFmtId="3" fontId="3" fillId="3" borderId="39" xfId="0" applyNumberFormat="1" applyFont="1" applyFill="1" applyBorder="1" applyAlignment="1">
      <alignment horizontal="right" vertical="center"/>
    </xf>
    <xf numFmtId="164" fontId="4" fillId="0" borderId="3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167" fontId="4" fillId="0" borderId="22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67" fontId="4" fillId="0" borderId="26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vertical="center"/>
    </xf>
    <xf numFmtId="167" fontId="4" fillId="0" borderId="44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 quotePrefix="1">
      <alignment vertical="center" wrapText="1"/>
    </xf>
    <xf numFmtId="0" fontId="4" fillId="0" borderId="46" xfId="0" applyNumberFormat="1" applyFont="1" applyFill="1" applyBorder="1" applyAlignment="1" quotePrefix="1">
      <alignment vertical="center" wrapText="1"/>
    </xf>
    <xf numFmtId="0" fontId="4" fillId="0" borderId="46" xfId="0" applyNumberFormat="1" applyFont="1" applyFill="1" applyBorder="1" applyAlignment="1" quotePrefix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 quotePrefix="1">
      <alignment vertical="center"/>
    </xf>
    <xf numFmtId="3" fontId="4" fillId="0" borderId="47" xfId="0" applyNumberFormat="1" applyFont="1" applyFill="1" applyBorder="1" applyAlignment="1" quotePrefix="1">
      <alignment vertical="center"/>
    </xf>
    <xf numFmtId="164" fontId="4" fillId="0" borderId="47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167" fontId="4" fillId="0" borderId="5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4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2" fontId="4" fillId="0" borderId="2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vertical="center"/>
    </xf>
    <xf numFmtId="167" fontId="4" fillId="0" borderId="3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2" fontId="4" fillId="0" borderId="36" xfId="0" applyNumberFormat="1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vertical="center"/>
    </xf>
    <xf numFmtId="167" fontId="3" fillId="3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quotePrefix="1">
      <alignment vertical="center" wrapText="1"/>
    </xf>
    <xf numFmtId="0" fontId="4" fillId="0" borderId="0" xfId="0" applyNumberFormat="1" applyFont="1" applyFill="1" applyBorder="1" applyAlignment="1" quotePrefix="1">
      <alignment vertical="center"/>
    </xf>
    <xf numFmtId="3" fontId="4" fillId="0" borderId="0" xfId="0" applyNumberFormat="1" applyFont="1" applyFill="1" applyBorder="1" applyAlignment="1" quotePrefix="1">
      <alignment vertical="center"/>
    </xf>
    <xf numFmtId="3" fontId="4" fillId="0" borderId="3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 quotePrefix="1">
      <alignment vertical="center"/>
    </xf>
    <xf numFmtId="0" fontId="4" fillId="0" borderId="39" xfId="0" applyFont="1" applyFill="1" applyBorder="1" applyAlignment="1">
      <alignment vertical="center"/>
    </xf>
    <xf numFmtId="165" fontId="4" fillId="0" borderId="39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164" fontId="3" fillId="0" borderId="53" xfId="0" applyNumberFormat="1" applyFont="1" applyFill="1" applyBorder="1" applyAlignment="1">
      <alignment vertical="center"/>
    </xf>
    <xf numFmtId="0" fontId="4" fillId="0" borderId="0" xfId="0" applyNumberFormat="1" applyFont="1" applyFill="1" applyAlignment="1" quotePrefix="1">
      <alignment vertical="center" wrapText="1"/>
    </xf>
    <xf numFmtId="0" fontId="4" fillId="4" borderId="24" xfId="0" applyNumberFormat="1" applyFont="1" applyFill="1" applyBorder="1" applyAlignment="1" quotePrefix="1">
      <alignment vertical="center" wrapText="1"/>
    </xf>
    <xf numFmtId="0" fontId="4" fillId="4" borderId="24" xfId="0" applyNumberFormat="1" applyFont="1" applyFill="1" applyBorder="1" applyAlignment="1" quotePrefix="1">
      <alignment vertical="center"/>
    </xf>
    <xf numFmtId="0" fontId="4" fillId="4" borderId="24" xfId="0" applyFont="1" applyFill="1" applyBorder="1" applyAlignment="1">
      <alignment vertical="center"/>
    </xf>
    <xf numFmtId="3" fontId="4" fillId="4" borderId="24" xfId="0" applyNumberFormat="1" applyFont="1" applyFill="1" applyBorder="1" applyAlignment="1" quotePrefix="1">
      <alignment vertical="center"/>
    </xf>
    <xf numFmtId="3" fontId="4" fillId="4" borderId="25" xfId="0" applyNumberFormat="1" applyFont="1" applyFill="1" applyBorder="1" applyAlignment="1" quotePrefix="1">
      <alignment vertical="center"/>
    </xf>
    <xf numFmtId="3" fontId="4" fillId="4" borderId="0" xfId="0" applyNumberFormat="1" applyFont="1" applyFill="1" applyAlignment="1" quotePrefix="1">
      <alignment vertical="center"/>
    </xf>
    <xf numFmtId="164" fontId="4" fillId="4" borderId="25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3" fontId="4" fillId="4" borderId="26" xfId="0" applyNumberFormat="1" applyFont="1" applyFill="1" applyBorder="1" applyAlignment="1">
      <alignment vertical="center"/>
    </xf>
    <xf numFmtId="164" fontId="4" fillId="4" borderId="12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vertical="center"/>
    </xf>
    <xf numFmtId="164" fontId="4" fillId="4" borderId="19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165" fontId="4" fillId="4" borderId="23" xfId="0" applyNumberFormat="1" applyFont="1" applyFill="1" applyBorder="1" applyAlignment="1">
      <alignment vertical="center"/>
    </xf>
    <xf numFmtId="165" fontId="4" fillId="4" borderId="25" xfId="0" applyNumberFormat="1" applyFont="1" applyFill="1" applyBorder="1" applyAlignment="1">
      <alignment vertical="center"/>
    </xf>
    <xf numFmtId="167" fontId="4" fillId="4" borderId="26" xfId="0" applyNumberFormat="1" applyFont="1" applyFill="1" applyBorder="1" applyAlignment="1">
      <alignment horizontal="right" vertical="center"/>
    </xf>
    <xf numFmtId="167" fontId="4" fillId="4" borderId="18" xfId="0" applyNumberFormat="1" applyFont="1" applyFill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2" fontId="4" fillId="4" borderId="17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center" vertical="center"/>
    </xf>
    <xf numFmtId="3" fontId="4" fillId="4" borderId="25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164" fontId="4" fillId="4" borderId="23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164" fontId="4" fillId="4" borderId="17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vertical="center"/>
    </xf>
    <xf numFmtId="167" fontId="4" fillId="0" borderId="38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2" fontId="4" fillId="0" borderId="38" xfId="0" applyNumberFormat="1" applyFont="1" applyFill="1" applyBorder="1" applyAlignment="1">
      <alignment horizontal="right" vertical="center"/>
    </xf>
    <xf numFmtId="3" fontId="3" fillId="3" borderId="38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167" fontId="4" fillId="0" borderId="30" xfId="0" applyNumberFormat="1" applyFont="1" applyFill="1" applyBorder="1" applyAlignment="1">
      <alignment horizontal="right" vertical="center"/>
    </xf>
    <xf numFmtId="0" fontId="4" fillId="0" borderId="54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2" fontId="4" fillId="0" borderId="31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3" fillId="3" borderId="44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3" fillId="3" borderId="51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>
      <alignment horizontal="right" vertical="center"/>
    </xf>
    <xf numFmtId="0" fontId="4" fillId="0" borderId="56" xfId="0" applyNumberFormat="1" applyFont="1" applyFill="1" applyBorder="1" applyAlignment="1" quotePrefix="1">
      <alignment vertical="center" wrapText="1"/>
    </xf>
    <xf numFmtId="0" fontId="4" fillId="0" borderId="57" xfId="0" applyNumberFormat="1" applyFont="1" applyFill="1" applyBorder="1" applyAlignment="1">
      <alignment vertical="center" wrapText="1"/>
    </xf>
    <xf numFmtId="0" fontId="4" fillId="0" borderId="57" xfId="0" applyNumberFormat="1" applyFont="1" applyFill="1" applyBorder="1" applyAlignment="1" quotePrefix="1">
      <alignment vertical="center"/>
    </xf>
    <xf numFmtId="0" fontId="4" fillId="0" borderId="57" xfId="0" applyFont="1" applyFill="1" applyBorder="1" applyAlignment="1">
      <alignment vertical="center"/>
    </xf>
    <xf numFmtId="3" fontId="4" fillId="0" borderId="57" xfId="0" applyNumberFormat="1" applyFont="1" applyFill="1" applyBorder="1" applyAlignment="1" quotePrefix="1">
      <alignment vertical="center"/>
    </xf>
    <xf numFmtId="3" fontId="4" fillId="0" borderId="58" xfId="0" applyNumberFormat="1" applyFont="1" applyFill="1" applyBorder="1" applyAlignment="1" quotePrefix="1">
      <alignment vertical="center"/>
    </xf>
    <xf numFmtId="164" fontId="4" fillId="0" borderId="31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 quotePrefix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59" xfId="0" applyNumberFormat="1" applyFont="1" applyFill="1" applyBorder="1" applyAlignment="1" quotePrefix="1">
      <alignment vertical="center" wrapText="1"/>
    </xf>
    <xf numFmtId="0" fontId="4" fillId="0" borderId="60" xfId="0" applyNumberFormat="1" applyFont="1" applyFill="1" applyBorder="1" applyAlignment="1" quotePrefix="1">
      <alignment vertical="center" wrapText="1"/>
    </xf>
    <xf numFmtId="0" fontId="4" fillId="0" borderId="60" xfId="0" applyNumberFormat="1" applyFont="1" applyFill="1" applyBorder="1" applyAlignment="1" quotePrefix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0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 quotePrefix="1">
      <alignment vertical="center"/>
    </xf>
    <xf numFmtId="3" fontId="4" fillId="0" borderId="61" xfId="0" applyNumberFormat="1" applyFont="1" applyFill="1" applyBorder="1" applyAlignment="1" quotePrefix="1">
      <alignment vertical="center"/>
    </xf>
    <xf numFmtId="3" fontId="4" fillId="0" borderId="59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165" fontId="4" fillId="0" borderId="59" xfId="0" applyNumberFormat="1" applyFont="1" applyFill="1" applyBorder="1" applyAlignment="1">
      <alignment vertical="center"/>
    </xf>
    <xf numFmtId="165" fontId="4" fillId="0" borderId="61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 quotePrefix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4" fillId="0" borderId="60" xfId="0" applyNumberFormat="1" applyFont="1" applyFill="1" applyBorder="1" applyAlignment="1">
      <alignment vertical="center" wrapText="1"/>
    </xf>
    <xf numFmtId="164" fontId="4" fillId="0" borderId="44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3" fontId="4" fillId="0" borderId="2" xfId="0" applyNumberFormat="1" applyFont="1" applyFill="1" applyBorder="1" applyAlignment="1" quotePrefix="1">
      <alignment vertical="center"/>
    </xf>
    <xf numFmtId="3" fontId="4" fillId="0" borderId="11" xfId="0" applyNumberFormat="1" applyFont="1" applyFill="1" applyBorder="1" applyAlignment="1" quotePrefix="1">
      <alignment vertical="center"/>
    </xf>
    <xf numFmtId="3" fontId="4" fillId="0" borderId="35" xfId="0" applyNumberFormat="1" applyFont="1" applyFill="1" applyBorder="1" applyAlignment="1" quotePrefix="1">
      <alignment vertical="center"/>
    </xf>
    <xf numFmtId="0" fontId="4" fillId="0" borderId="65" xfId="0" applyNumberFormat="1" applyFont="1" applyFill="1" applyBorder="1" applyAlignment="1">
      <alignment vertical="center" wrapText="1"/>
    </xf>
    <xf numFmtId="0" fontId="4" fillId="4" borderId="54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 quotePrefix="1">
      <alignment horizontal="center" vertical="center" wrapText="1"/>
    </xf>
    <xf numFmtId="3" fontId="1" fillId="0" borderId="3" xfId="0" applyNumberFormat="1" applyFont="1" applyFill="1" applyBorder="1" applyAlignment="1" quotePrefix="1">
      <alignment horizontal="center" vertical="center" wrapText="1"/>
    </xf>
    <xf numFmtId="3" fontId="4" fillId="0" borderId="12" xfId="0" applyNumberFormat="1" applyFont="1" applyFill="1" applyBorder="1" applyAlignment="1" quotePrefix="1">
      <alignment vertical="center"/>
    </xf>
    <xf numFmtId="3" fontId="4" fillId="0" borderId="13" xfId="0" applyNumberFormat="1" applyFont="1" applyFill="1" applyBorder="1" applyAlignment="1" quotePrefix="1">
      <alignment vertical="center"/>
    </xf>
    <xf numFmtId="164" fontId="4" fillId="0" borderId="42" xfId="0" applyNumberFormat="1" applyFont="1" applyFill="1" applyBorder="1" applyAlignment="1">
      <alignment vertical="center"/>
    </xf>
    <xf numFmtId="165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64" fontId="4" fillId="4" borderId="43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 quotePrefix="1">
      <alignment vertical="center"/>
    </xf>
    <xf numFmtId="164" fontId="4" fillId="0" borderId="37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 quotePrefix="1">
      <alignment vertical="center"/>
    </xf>
    <xf numFmtId="0" fontId="11" fillId="0" borderId="0" xfId="0" applyFont="1" applyFill="1" applyAlignment="1">
      <alignment vertical="top" wrapText="1"/>
    </xf>
    <xf numFmtId="0" fontId="9" fillId="0" borderId="66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ill>
        <patternFill patternType="none">
          <bgColor indexed="65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24"/>
  <sheetViews>
    <sheetView tabSelected="1" view="pageBreakPreview" zoomScale="75" zoomScaleNormal="75" zoomScaleSheetLayoutView="75" workbookViewId="0" topLeftCell="P1">
      <pane ySplit="3" topLeftCell="BM4" activePane="bottomLeft" state="frozen"/>
      <selection pane="topLeft" activeCell="A1" sqref="A1"/>
      <selection pane="bottomLeft" activeCell="AO5" sqref="AO5"/>
    </sheetView>
  </sheetViews>
  <sheetFormatPr defaultColWidth="9.00390625" defaultRowHeight="12.75"/>
  <cols>
    <col min="1" max="1" width="10.00390625" style="19" customWidth="1"/>
    <col min="2" max="2" width="18.875" style="19" customWidth="1"/>
    <col min="3" max="3" width="0" style="19" hidden="1" customWidth="1"/>
    <col min="4" max="4" width="14.375" style="19" customWidth="1"/>
    <col min="5" max="5" width="27.00390625" style="19" customWidth="1"/>
    <col min="6" max="13" width="9.125" style="2" hidden="1" customWidth="1"/>
    <col min="14" max="14" width="9.75390625" style="2" hidden="1" customWidth="1"/>
    <col min="15" max="15" width="9.875" style="2" hidden="1" customWidth="1"/>
    <col min="16" max="16" width="13.125" style="2" customWidth="1"/>
    <col min="17" max="17" width="12.00390625" style="4" customWidth="1"/>
    <col min="18" max="18" width="12.75390625" style="4" hidden="1" customWidth="1"/>
    <col min="19" max="19" width="10.625" style="4" hidden="1" customWidth="1"/>
    <col min="20" max="20" width="11.00390625" style="4" hidden="1" customWidth="1"/>
    <col min="21" max="21" width="10.875" style="4" hidden="1" customWidth="1"/>
    <col min="22" max="22" width="10.375" style="4" hidden="1" customWidth="1"/>
    <col min="23" max="23" width="11.75390625" style="4" customWidth="1"/>
    <col min="24" max="24" width="11.625" style="4" customWidth="1"/>
    <col min="25" max="26" width="11.875" style="4" hidden="1" customWidth="1"/>
    <col min="27" max="27" width="13.125" style="4" hidden="1" customWidth="1"/>
    <col min="28" max="28" width="11.625" style="4" hidden="1" customWidth="1"/>
    <col min="29" max="29" width="13.125" style="4" hidden="1" customWidth="1"/>
    <col min="30" max="30" width="13.875" style="4" hidden="1" customWidth="1"/>
    <col min="31" max="31" width="13.375" style="4" hidden="1" customWidth="1"/>
    <col min="32" max="32" width="12.75390625" style="4" hidden="1" customWidth="1"/>
    <col min="33" max="33" width="13.375" style="4" hidden="1" customWidth="1"/>
    <col min="34" max="34" width="12.375" style="4" hidden="1" customWidth="1"/>
    <col min="35" max="35" width="11.875" style="4" hidden="1" customWidth="1"/>
    <col min="36" max="37" width="12.375" style="4" hidden="1" customWidth="1"/>
    <col min="38" max="39" width="12.375" style="4" customWidth="1"/>
    <col min="40" max="40" width="0.875" style="4" customWidth="1"/>
    <col min="41" max="41" width="11.75390625" style="4" customWidth="1"/>
    <col min="42" max="42" width="9.875" style="2" hidden="1" customWidth="1"/>
    <col min="43" max="43" width="13.00390625" style="2" hidden="1" customWidth="1"/>
    <col min="44" max="44" width="1.12109375" style="2" customWidth="1"/>
    <col min="45" max="45" width="12.25390625" style="4" hidden="1" customWidth="1"/>
    <col min="46" max="46" width="9.875" style="2" hidden="1" customWidth="1"/>
    <col min="47" max="47" width="14.25390625" style="4" hidden="1" customWidth="1"/>
    <col min="48" max="48" width="10.25390625" style="4" hidden="1" customWidth="1"/>
    <col min="49" max="49" width="13.25390625" style="4" hidden="1" customWidth="1"/>
    <col min="50" max="50" width="17.75390625" style="4" hidden="1" customWidth="1"/>
    <col min="51" max="51" width="1.875" style="2" customWidth="1"/>
    <col min="52" max="52" width="12.125" style="2" hidden="1" customWidth="1"/>
    <col min="53" max="53" width="11.625" style="2" hidden="1" customWidth="1"/>
    <col min="54" max="54" width="7.00390625" style="2" hidden="1" customWidth="1"/>
    <col min="55" max="55" width="12.00390625" style="8" customWidth="1"/>
    <col min="56" max="56" width="12.625" style="8" hidden="1" customWidth="1"/>
    <col min="57" max="57" width="14.00390625" style="10" hidden="1" customWidth="1"/>
    <col min="58" max="58" width="14.125" style="9" hidden="1" customWidth="1"/>
    <col min="59" max="59" width="13.75390625" style="10" hidden="1" customWidth="1"/>
    <col min="60" max="60" width="17.125" style="10" hidden="1" customWidth="1"/>
    <col min="61" max="61" width="14.125" style="58" customWidth="1"/>
    <col min="62" max="62" width="6.00390625" style="36" customWidth="1"/>
    <col min="63" max="63" width="7.875" style="36" customWidth="1"/>
    <col min="64" max="64" width="17.25390625" style="18" hidden="1" customWidth="1"/>
    <col min="65" max="65" width="12.375" style="35" hidden="1" customWidth="1"/>
    <col min="66" max="66" width="12.125" style="18" hidden="1" customWidth="1"/>
    <col min="67" max="67" width="0.37109375" style="18" hidden="1" customWidth="1"/>
    <col min="68" max="68" width="2.375" style="18" customWidth="1"/>
    <col min="69" max="69" width="12.125" style="10" customWidth="1"/>
    <col min="70" max="70" width="2.125" style="10" customWidth="1"/>
    <col min="71" max="71" width="12.625" style="10" customWidth="1"/>
    <col min="72" max="72" width="12.25390625" style="10" customWidth="1"/>
    <col min="73" max="73" width="9.375" style="53" customWidth="1"/>
    <col min="74" max="74" width="29.375" style="2" customWidth="1"/>
    <col min="75" max="16384" width="9.125" style="2" customWidth="1"/>
  </cols>
  <sheetData>
    <row r="1" spans="1:74" ht="13.5" customHeight="1">
      <c r="A1" s="50" t="s">
        <v>271</v>
      </c>
      <c r="B1" s="50"/>
      <c r="C1" s="50"/>
      <c r="D1" s="50"/>
      <c r="E1" s="50"/>
      <c r="BU1" s="61"/>
      <c r="BV1" s="61" t="s">
        <v>383</v>
      </c>
    </row>
    <row r="2" spans="73:74" ht="13.5" customHeight="1" thickBot="1">
      <c r="BU2" s="61"/>
      <c r="BV2" s="61" t="s">
        <v>385</v>
      </c>
    </row>
    <row r="3" spans="1:74" s="19" customFormat="1" ht="73.5" customHeight="1" thickBot="1">
      <c r="A3" s="51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62" t="s">
        <v>278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24" t="s">
        <v>276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257</v>
      </c>
      <c r="AL3" s="24" t="s">
        <v>277</v>
      </c>
      <c r="AM3" s="25" t="s">
        <v>34</v>
      </c>
      <c r="AN3" s="26"/>
      <c r="AO3" s="347" t="s">
        <v>35</v>
      </c>
      <c r="AP3" s="346" t="s">
        <v>36</v>
      </c>
      <c r="AQ3" s="25" t="s">
        <v>37</v>
      </c>
      <c r="AR3" s="27"/>
      <c r="AS3" s="28" t="s">
        <v>38</v>
      </c>
      <c r="AT3" s="29" t="s">
        <v>39</v>
      </c>
      <c r="AU3" s="30" t="s">
        <v>40</v>
      </c>
      <c r="AV3" s="31" t="s">
        <v>41</v>
      </c>
      <c r="AW3" s="32" t="s">
        <v>42</v>
      </c>
      <c r="AX3" s="30" t="s">
        <v>43</v>
      </c>
      <c r="AZ3" s="22" t="s">
        <v>44</v>
      </c>
      <c r="BA3" s="33" t="s">
        <v>45</v>
      </c>
      <c r="BC3" s="6" t="s">
        <v>256</v>
      </c>
      <c r="BD3" s="6" t="s">
        <v>259</v>
      </c>
      <c r="BE3" s="11" t="s">
        <v>260</v>
      </c>
      <c r="BF3" s="7" t="s">
        <v>261</v>
      </c>
      <c r="BG3" s="11" t="s">
        <v>262</v>
      </c>
      <c r="BH3" s="11" t="s">
        <v>258</v>
      </c>
      <c r="BI3" s="59" t="s">
        <v>258</v>
      </c>
      <c r="BJ3" s="362" t="s">
        <v>255</v>
      </c>
      <c r="BK3" s="363"/>
      <c r="BL3" s="17"/>
      <c r="BM3" s="34"/>
      <c r="BN3" s="20" t="s">
        <v>268</v>
      </c>
      <c r="BO3" s="20" t="s">
        <v>269</v>
      </c>
      <c r="BP3" s="49"/>
      <c r="BQ3" s="55" t="s">
        <v>272</v>
      </c>
      <c r="BR3" s="54"/>
      <c r="BS3" s="11" t="s">
        <v>273</v>
      </c>
      <c r="BT3" s="11" t="s">
        <v>274</v>
      </c>
      <c r="BU3" s="56" t="s">
        <v>275</v>
      </c>
      <c r="BV3" s="63" t="s">
        <v>304</v>
      </c>
    </row>
    <row r="4" spans="1:74" ht="51.75" thickTop="1">
      <c r="A4" s="72">
        <v>15060233</v>
      </c>
      <c r="B4" s="73" t="s">
        <v>46</v>
      </c>
      <c r="C4" s="73" t="s">
        <v>47</v>
      </c>
      <c r="D4" s="73" t="s">
        <v>48</v>
      </c>
      <c r="E4" s="73" t="s">
        <v>49</v>
      </c>
      <c r="F4" s="74">
        <v>1556513</v>
      </c>
      <c r="G4" s="74">
        <v>0</v>
      </c>
      <c r="H4" s="74">
        <v>12</v>
      </c>
      <c r="I4" s="74">
        <v>7</v>
      </c>
      <c r="J4" s="74">
        <v>2</v>
      </c>
      <c r="K4" s="74">
        <v>0</v>
      </c>
      <c r="L4" s="74">
        <v>0</v>
      </c>
      <c r="M4" s="74">
        <v>3</v>
      </c>
      <c r="N4" s="74">
        <v>3.6</v>
      </c>
      <c r="O4" s="74">
        <v>2.3</v>
      </c>
      <c r="P4" s="75" t="s">
        <v>279</v>
      </c>
      <c r="Q4" s="76">
        <v>702000</v>
      </c>
      <c r="R4" s="76">
        <v>769000</v>
      </c>
      <c r="S4" s="76">
        <v>0</v>
      </c>
      <c r="T4" s="76">
        <v>0</v>
      </c>
      <c r="U4" s="76">
        <v>0</v>
      </c>
      <c r="V4" s="76">
        <v>0</v>
      </c>
      <c r="W4" s="76">
        <v>206039</v>
      </c>
      <c r="X4" s="76">
        <v>205000</v>
      </c>
      <c r="Y4" s="76">
        <v>318000</v>
      </c>
      <c r="Z4" s="76">
        <v>318000</v>
      </c>
      <c r="AA4" s="76">
        <v>0</v>
      </c>
      <c r="AB4" s="76">
        <v>0</v>
      </c>
      <c r="AC4" s="76">
        <v>185150</v>
      </c>
      <c r="AD4" s="76">
        <v>135634</v>
      </c>
      <c r="AE4" s="76">
        <v>0</v>
      </c>
      <c r="AF4" s="76">
        <v>0</v>
      </c>
      <c r="AG4" s="76">
        <v>0</v>
      </c>
      <c r="AH4" s="76">
        <v>0</v>
      </c>
      <c r="AI4" s="76">
        <v>35226</v>
      </c>
      <c r="AJ4" s="76">
        <v>5000</v>
      </c>
      <c r="AK4" s="76">
        <v>1446415</v>
      </c>
      <c r="AL4" s="76">
        <v>1399280</v>
      </c>
      <c r="AM4" s="77">
        <v>1432634</v>
      </c>
      <c r="AN4" s="78"/>
      <c r="AO4" s="342">
        <v>605000</v>
      </c>
      <c r="AP4" s="222">
        <f aca="true" t="shared" si="0" ref="AP4:AP27">AO4/R4</f>
        <v>0.7867360208062418</v>
      </c>
      <c r="AQ4" s="81">
        <f>-1+AO4/Q4</f>
        <v>-0.13817663817663817</v>
      </c>
      <c r="AR4" s="82"/>
      <c r="AS4" s="83">
        <f aca="true" t="shared" si="1" ref="AS4:AS27">T4+V4+Z4+AB4+AD4+AF4+AH4+AJ4+AO4</f>
        <v>1063634</v>
      </c>
      <c r="AT4" s="84">
        <f aca="true" t="shared" si="2" ref="AT4:AT27">AS4/(Q4+S4+U4+W4+Y4+AA4+AC4+AE4+AG4+AI4)</f>
        <v>0.7353588008973911</v>
      </c>
      <c r="AU4" s="85">
        <f aca="true" t="shared" si="3" ref="AU4:AU26">IF(AT4&gt;=100%,0,(Q4+S4+U4+W4+Y4+AA4+AC4+AE4+AG4+AI4)-(T4+V4+Z4+AB4+AD4+AF4+AH4+AJ4+AO4))</f>
        <v>382781</v>
      </c>
      <c r="AV4" s="86">
        <f aca="true" t="shared" si="4" ref="AV4:AV27">AS4/AM4</f>
        <v>0.7424324705402776</v>
      </c>
      <c r="AW4" s="87">
        <f aca="true" t="shared" si="5" ref="AW4:AW26">IF(AS4&lt;AM4,AM4-AS4,0)</f>
        <v>369000</v>
      </c>
      <c r="AX4" s="85">
        <f>IF(W4&gt;AU4,0,AU4-W4)</f>
        <v>176742</v>
      </c>
      <c r="AY4" s="88"/>
      <c r="AZ4" s="89">
        <f aca="true" t="shared" si="6" ref="AZ4:BA8">$AO4/N4</f>
        <v>168055.55555555556</v>
      </c>
      <c r="BA4" s="90">
        <f t="shared" si="6"/>
        <v>263043.47826086957</v>
      </c>
      <c r="BB4" s="88"/>
      <c r="BC4" s="91">
        <v>144227</v>
      </c>
      <c r="BD4" s="91">
        <f>(Q4+W4)*1.1-AO4-BC4</f>
        <v>249615.90000000002</v>
      </c>
      <c r="BE4" s="92">
        <f>IF(BD4+BC4&gt;X4,X4-BC4,BD4)</f>
        <v>60773</v>
      </c>
      <c r="BF4" s="93">
        <f>(BE4+BC4+AO4)/(Q4+W4)</f>
        <v>0.8920321704243981</v>
      </c>
      <c r="BG4" s="92"/>
      <c r="BH4" s="92">
        <v>60773</v>
      </c>
      <c r="BI4" s="94">
        <v>70000</v>
      </c>
      <c r="BJ4" s="95" t="s">
        <v>50</v>
      </c>
      <c r="BK4" s="96" t="s">
        <v>51</v>
      </c>
      <c r="BL4" s="97">
        <f>(BH4+BC4+AO4+T4)/(Q4+S4+W4)</f>
        <v>0.8920321704243981</v>
      </c>
      <c r="BM4" s="98">
        <v>7200</v>
      </c>
      <c r="BN4" s="99">
        <f>($BI4+$BC4+$AO4+$AJ4+$AH4+$AF4+$AD4+$AB4+$Z4+$V4+$T4)/$AL4</f>
        <v>0.9132275170087474</v>
      </c>
      <c r="BO4" s="99">
        <f>($BI4+$BC4+$AO4+$AJ4+$AH4+$AF4+$AD4+$AB4+$Z4+$V4+$T4)/$AM4</f>
        <v>0.8919661267288086</v>
      </c>
      <c r="BP4" s="82"/>
      <c r="BQ4" s="100">
        <f>BC4+BI4</f>
        <v>214227</v>
      </c>
      <c r="BR4" s="101"/>
      <c r="BS4" s="92">
        <f aca="true" t="shared" si="7" ref="BS4:BS9">Q4+W4</f>
        <v>908039</v>
      </c>
      <c r="BT4" s="92">
        <f>AO4+BQ4</f>
        <v>819227</v>
      </c>
      <c r="BU4" s="102">
        <f>-1+BT4/BS4</f>
        <v>-0.09780637175275508</v>
      </c>
      <c r="BV4" s="64" t="s">
        <v>305</v>
      </c>
    </row>
    <row r="5" spans="1:74" ht="51">
      <c r="A5" s="103">
        <v>26304856</v>
      </c>
      <c r="B5" s="104" t="s">
        <v>52</v>
      </c>
      <c r="C5" s="104" t="s">
        <v>47</v>
      </c>
      <c r="D5" s="104" t="s">
        <v>48</v>
      </c>
      <c r="E5" s="104" t="s">
        <v>53</v>
      </c>
      <c r="F5" s="105">
        <v>9928125</v>
      </c>
      <c r="G5" s="106"/>
      <c r="H5" s="105">
        <v>60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0.7</v>
      </c>
      <c r="O5" s="105">
        <v>0.5</v>
      </c>
      <c r="P5" s="107" t="s">
        <v>280</v>
      </c>
      <c r="Q5" s="108">
        <v>30000</v>
      </c>
      <c r="R5" s="108">
        <v>136752</v>
      </c>
      <c r="S5" s="108">
        <v>0</v>
      </c>
      <c r="T5" s="108">
        <v>0</v>
      </c>
      <c r="U5" s="108">
        <v>48000</v>
      </c>
      <c r="V5" s="108">
        <v>12000</v>
      </c>
      <c r="W5" s="108">
        <v>15000</v>
      </c>
      <c r="X5" s="108">
        <v>21000</v>
      </c>
      <c r="Y5" s="108">
        <v>2000</v>
      </c>
      <c r="Z5" s="108">
        <v>2000</v>
      </c>
      <c r="AA5" s="108">
        <v>0</v>
      </c>
      <c r="AB5" s="108">
        <v>0</v>
      </c>
      <c r="AC5" s="108">
        <v>0</v>
      </c>
      <c r="AD5" s="108">
        <v>0</v>
      </c>
      <c r="AE5" s="108">
        <v>0</v>
      </c>
      <c r="AF5" s="108">
        <v>0</v>
      </c>
      <c r="AG5" s="108">
        <v>0</v>
      </c>
      <c r="AH5" s="108">
        <v>0</v>
      </c>
      <c r="AI5" s="108">
        <v>43000</v>
      </c>
      <c r="AJ5" s="108">
        <v>23608</v>
      </c>
      <c r="AK5" s="108"/>
      <c r="AL5" s="108">
        <v>138000</v>
      </c>
      <c r="AM5" s="109">
        <v>195360</v>
      </c>
      <c r="AN5" s="78"/>
      <c r="AO5" s="348">
        <v>0</v>
      </c>
      <c r="AP5" s="192">
        <f t="shared" si="0"/>
        <v>0</v>
      </c>
      <c r="AQ5" s="112">
        <f>-1+AO5/Q5</f>
        <v>-1</v>
      </c>
      <c r="AR5" s="82"/>
      <c r="AS5" s="113">
        <f t="shared" si="1"/>
        <v>37608</v>
      </c>
      <c r="AT5" s="114">
        <f t="shared" si="2"/>
        <v>0.27252173913043476</v>
      </c>
      <c r="AU5" s="115">
        <f t="shared" si="3"/>
        <v>100392</v>
      </c>
      <c r="AV5" s="86">
        <f t="shared" si="4"/>
        <v>0.1925061425061425</v>
      </c>
      <c r="AW5" s="116">
        <f t="shared" si="5"/>
        <v>157752</v>
      </c>
      <c r="AX5" s="115">
        <f>IF(W5&gt;AU5,0,AU5-W5)</f>
        <v>85392</v>
      </c>
      <c r="AY5" s="88"/>
      <c r="AZ5" s="117">
        <f t="shared" si="6"/>
        <v>0</v>
      </c>
      <c r="BA5" s="118">
        <f t="shared" si="6"/>
        <v>0</v>
      </c>
      <c r="BB5" s="88"/>
      <c r="BC5" s="119">
        <v>10500</v>
      </c>
      <c r="BD5" s="91">
        <f aca="true" t="shared" si="8" ref="BD5:BD63">(Q5+W5)*1.1-AO5-BC5</f>
        <v>39000.00000000001</v>
      </c>
      <c r="BE5" s="92">
        <v>0</v>
      </c>
      <c r="BF5" s="93">
        <f>(BE5+BC5+AO5)/(Q5+W5)</f>
        <v>0.23333333333333334</v>
      </c>
      <c r="BG5" s="92">
        <v>0</v>
      </c>
      <c r="BH5" s="92">
        <v>0</v>
      </c>
      <c r="BI5" s="94">
        <v>0</v>
      </c>
      <c r="BJ5" s="120" t="s">
        <v>50</v>
      </c>
      <c r="BK5" s="121" t="s">
        <v>54</v>
      </c>
      <c r="BL5" s="97">
        <f aca="true" t="shared" si="9" ref="BL5:BL63">(BH5+BC5+AO5+T5)/(Q5+S5+W5)</f>
        <v>0.23333333333333334</v>
      </c>
      <c r="BM5" s="98">
        <f>(0.9*(Q5+S5+W5))-(T5+AO5+BC5+BH5)</f>
        <v>30000</v>
      </c>
      <c r="BN5" s="122">
        <f>($BI5+$BC5+$AO5+$AJ5+$AH5+$AF5+$AD5+$AB5+$Z5+$V5+$T5)/$AL5</f>
        <v>0.3486086956521739</v>
      </c>
      <c r="BO5" s="122">
        <f aca="true" t="shared" si="10" ref="BO5:BO63">($BI5+$BC5+$AO5+$AJ5+$AH5+$AF5+$AD5+$AB5+$Z5+$V5+$T5)/$AM5</f>
        <v>0.24625307125307125</v>
      </c>
      <c r="BP5" s="82"/>
      <c r="BQ5" s="123">
        <f aca="true" t="shared" si="11" ref="BQ5:BQ63">BC5+BI5</f>
        <v>10500</v>
      </c>
      <c r="BR5" s="101"/>
      <c r="BS5" s="92">
        <f t="shared" si="7"/>
        <v>45000</v>
      </c>
      <c r="BT5" s="92">
        <f>AO5+BQ5</f>
        <v>10500</v>
      </c>
      <c r="BU5" s="124">
        <f aca="true" t="shared" si="12" ref="BU5:BU63">-1+BT5/BS5</f>
        <v>-0.7666666666666666</v>
      </c>
      <c r="BV5" s="65" t="s">
        <v>306</v>
      </c>
    </row>
    <row r="6" spans="1:74" ht="99.75">
      <c r="A6" s="103">
        <v>26518252</v>
      </c>
      <c r="B6" s="104" t="s">
        <v>55</v>
      </c>
      <c r="C6" s="104" t="s">
        <v>47</v>
      </c>
      <c r="D6" s="104" t="s">
        <v>48</v>
      </c>
      <c r="E6" s="104" t="s">
        <v>55</v>
      </c>
      <c r="F6" s="105">
        <v>5587371</v>
      </c>
      <c r="G6" s="106"/>
      <c r="H6" s="105">
        <v>15</v>
      </c>
      <c r="I6" s="105">
        <v>3</v>
      </c>
      <c r="J6" s="105">
        <v>7</v>
      </c>
      <c r="K6" s="105">
        <v>3</v>
      </c>
      <c r="L6" s="105">
        <v>2</v>
      </c>
      <c r="M6" s="105">
        <v>0</v>
      </c>
      <c r="N6" s="105">
        <v>6.6</v>
      </c>
      <c r="O6" s="105">
        <v>4</v>
      </c>
      <c r="P6" s="107" t="s">
        <v>281</v>
      </c>
      <c r="Q6" s="108">
        <v>1318000</v>
      </c>
      <c r="R6" s="108">
        <v>2107860</v>
      </c>
      <c r="S6" s="108">
        <v>0</v>
      </c>
      <c r="T6" s="108">
        <v>0</v>
      </c>
      <c r="U6" s="108">
        <v>193974</v>
      </c>
      <c r="V6" s="108">
        <v>10000</v>
      </c>
      <c r="W6" s="108">
        <v>360859</v>
      </c>
      <c r="X6" s="108">
        <v>280000</v>
      </c>
      <c r="Y6" s="108">
        <v>0</v>
      </c>
      <c r="Z6" s="108">
        <v>100000</v>
      </c>
      <c r="AA6" s="108">
        <v>0</v>
      </c>
      <c r="AB6" s="108">
        <v>0</v>
      </c>
      <c r="AC6" s="108">
        <v>289630</v>
      </c>
      <c r="AD6" s="108">
        <v>200000</v>
      </c>
      <c r="AE6" s="108">
        <v>0</v>
      </c>
      <c r="AF6" s="108">
        <v>0</v>
      </c>
      <c r="AG6" s="108">
        <v>0</v>
      </c>
      <c r="AH6" s="108">
        <v>0</v>
      </c>
      <c r="AI6" s="108">
        <v>1326259</v>
      </c>
      <c r="AJ6" s="108">
        <v>290000</v>
      </c>
      <c r="AK6" s="108">
        <v>3488722</v>
      </c>
      <c r="AL6" s="108">
        <v>3488722</v>
      </c>
      <c r="AM6" s="109">
        <v>2987860</v>
      </c>
      <c r="AN6" s="78"/>
      <c r="AO6" s="348">
        <v>1318000</v>
      </c>
      <c r="AP6" s="192">
        <f t="shared" si="0"/>
        <v>0.6252787187004829</v>
      </c>
      <c r="AQ6" s="112">
        <f>-1+AO6/Q6</f>
        <v>0</v>
      </c>
      <c r="AR6" s="82"/>
      <c r="AS6" s="113">
        <f t="shared" si="1"/>
        <v>1918000</v>
      </c>
      <c r="AT6" s="114">
        <f t="shared" si="2"/>
        <v>0.5497715209179751</v>
      </c>
      <c r="AU6" s="115">
        <f t="shared" si="3"/>
        <v>1570722</v>
      </c>
      <c r="AV6" s="86">
        <f t="shared" si="4"/>
        <v>0.6419310141706773</v>
      </c>
      <c r="AW6" s="116">
        <f t="shared" si="5"/>
        <v>1069860</v>
      </c>
      <c r="AX6" s="115">
        <f>IF(W6&gt;AU6,0,AU6-W6)</f>
        <v>1209863</v>
      </c>
      <c r="AY6" s="88"/>
      <c r="AZ6" s="117">
        <f t="shared" si="6"/>
        <v>199696.9696969697</v>
      </c>
      <c r="BA6" s="118">
        <f t="shared" si="6"/>
        <v>329500</v>
      </c>
      <c r="BB6" s="88"/>
      <c r="BC6" s="119">
        <v>252601</v>
      </c>
      <c r="BD6" s="91">
        <f t="shared" si="8"/>
        <v>276143.90000000014</v>
      </c>
      <c r="BE6" s="92">
        <f aca="true" t="shared" si="13" ref="BE6:BE64">IF(BD6+BC6&gt;X6,X6-BC6,BD6)</f>
        <v>27399</v>
      </c>
      <c r="BF6" s="93">
        <f>(BE6+BC6+AO6)/(Q6+W6)</f>
        <v>0.9518369321068655</v>
      </c>
      <c r="BG6" s="92"/>
      <c r="BH6" s="92">
        <v>27399</v>
      </c>
      <c r="BI6" s="94">
        <v>80000</v>
      </c>
      <c r="BJ6" s="120" t="s">
        <v>50</v>
      </c>
      <c r="BK6" s="121" t="s">
        <v>56</v>
      </c>
      <c r="BL6" s="97">
        <f t="shared" si="9"/>
        <v>0.9518369321068655</v>
      </c>
      <c r="BM6" s="98"/>
      <c r="BN6" s="122">
        <f>($BI6+$BC6+$AO6+$AJ6+$AH6+$AF6+$AD6+$AB6+$Z6+$V6+$T6)/$AL6</f>
        <v>0.6451075780758685</v>
      </c>
      <c r="BO6" s="122">
        <f t="shared" si="10"/>
        <v>0.7532484788443903</v>
      </c>
      <c r="BP6" s="82"/>
      <c r="BQ6" s="123">
        <f t="shared" si="11"/>
        <v>332601</v>
      </c>
      <c r="BR6" s="101"/>
      <c r="BS6" s="92">
        <f t="shared" si="7"/>
        <v>1678859</v>
      </c>
      <c r="BT6" s="92">
        <f>AO6+BQ6</f>
        <v>1650601</v>
      </c>
      <c r="BU6" s="124">
        <f t="shared" si="12"/>
        <v>-0.01683166960417759</v>
      </c>
      <c r="BV6" s="65" t="s">
        <v>307</v>
      </c>
    </row>
    <row r="7" spans="1:74" ht="103.5" customHeight="1">
      <c r="A7" s="103">
        <v>65761979</v>
      </c>
      <c r="B7" s="104" t="s">
        <v>57</v>
      </c>
      <c r="C7" s="104" t="s">
        <v>47</v>
      </c>
      <c r="D7" s="104" t="s">
        <v>48</v>
      </c>
      <c r="E7" s="104" t="s">
        <v>53</v>
      </c>
      <c r="F7" s="105">
        <v>9416846</v>
      </c>
      <c r="G7" s="105">
        <v>0</v>
      </c>
      <c r="H7" s="105">
        <v>180</v>
      </c>
      <c r="I7" s="105">
        <v>0</v>
      </c>
      <c r="J7" s="105">
        <v>0</v>
      </c>
      <c r="K7" s="105">
        <v>0</v>
      </c>
      <c r="L7" s="105">
        <v>0</v>
      </c>
      <c r="M7" s="105">
        <v>180</v>
      </c>
      <c r="N7" s="105">
        <v>2.7</v>
      </c>
      <c r="O7" s="105">
        <v>1.9</v>
      </c>
      <c r="P7" s="107" t="s">
        <v>280</v>
      </c>
      <c r="Q7" s="108">
        <v>0</v>
      </c>
      <c r="R7" s="108">
        <v>675823</v>
      </c>
      <c r="S7" s="108">
        <v>0</v>
      </c>
      <c r="T7" s="108">
        <v>0</v>
      </c>
      <c r="U7" s="108">
        <v>0</v>
      </c>
      <c r="V7" s="108">
        <v>0</v>
      </c>
      <c r="W7" s="108">
        <v>74796</v>
      </c>
      <c r="X7" s="108">
        <v>19068</v>
      </c>
      <c r="Y7" s="108">
        <v>0</v>
      </c>
      <c r="Z7" s="108">
        <v>118935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19414345</v>
      </c>
      <c r="AH7" s="108">
        <v>693122</v>
      </c>
      <c r="AI7" s="108">
        <v>0</v>
      </c>
      <c r="AJ7" s="108">
        <v>127268</v>
      </c>
      <c r="AK7" s="108"/>
      <c r="AL7" s="108">
        <v>19414345</v>
      </c>
      <c r="AM7" s="109">
        <v>1634216</v>
      </c>
      <c r="AN7" s="78"/>
      <c r="AO7" s="348">
        <v>250000</v>
      </c>
      <c r="AP7" s="192">
        <f t="shared" si="0"/>
        <v>0.36991934278649885</v>
      </c>
      <c r="AQ7" s="112"/>
      <c r="AR7" s="82"/>
      <c r="AS7" s="113">
        <f t="shared" si="1"/>
        <v>1189325</v>
      </c>
      <c r="AT7" s="114">
        <f t="shared" si="2"/>
        <v>0.06102500874717875</v>
      </c>
      <c r="AU7" s="115">
        <f t="shared" si="3"/>
        <v>18299816</v>
      </c>
      <c r="AV7" s="86">
        <f t="shared" si="4"/>
        <v>0.7277648731868982</v>
      </c>
      <c r="AW7" s="116">
        <f t="shared" si="5"/>
        <v>444891</v>
      </c>
      <c r="AX7" s="115">
        <f>IF(W7&gt;AU7,0,AU7-W7)</f>
        <v>18225020</v>
      </c>
      <c r="AY7" s="88"/>
      <c r="AZ7" s="117">
        <f t="shared" si="6"/>
        <v>92592.59259259258</v>
      </c>
      <c r="BA7" s="118">
        <f t="shared" si="6"/>
        <v>131578.94736842107</v>
      </c>
      <c r="BB7" s="88"/>
      <c r="BC7" s="119">
        <v>52357</v>
      </c>
      <c r="BD7" s="91"/>
      <c r="BE7" s="92">
        <v>220000</v>
      </c>
      <c r="BF7" s="93">
        <f>(BE7+BC7+AO7)/(Q7+W7)</f>
        <v>6.983755815819028</v>
      </c>
      <c r="BG7" s="92"/>
      <c r="BH7" s="92">
        <v>220000</v>
      </c>
      <c r="BI7" s="94">
        <v>220000</v>
      </c>
      <c r="BJ7" s="120" t="s">
        <v>50</v>
      </c>
      <c r="BK7" s="121" t="s">
        <v>56</v>
      </c>
      <c r="BL7" s="97">
        <f t="shared" si="9"/>
        <v>6.983755815819028</v>
      </c>
      <c r="BM7" s="98"/>
      <c r="BN7" s="122">
        <f>($BI7+$BC7+$AO7+$AJ7+$AH7+$AF7+$AD7+$AB7+$Z7+$V7+$T7)/$AL7</f>
        <v>0.0752887619953184</v>
      </c>
      <c r="BO7" s="122">
        <f t="shared" si="10"/>
        <v>0.8944239929115857</v>
      </c>
      <c r="BP7" s="82"/>
      <c r="BQ7" s="123">
        <f t="shared" si="11"/>
        <v>272357</v>
      </c>
      <c r="BR7" s="101"/>
      <c r="BS7" s="92">
        <f t="shared" si="7"/>
        <v>74796</v>
      </c>
      <c r="BT7" s="92">
        <f>AO7+BQ7</f>
        <v>522357</v>
      </c>
      <c r="BU7" s="124">
        <f t="shared" si="12"/>
        <v>5.983755815819028</v>
      </c>
      <c r="BV7" s="65" t="s">
        <v>308</v>
      </c>
    </row>
    <row r="8" spans="1:74" ht="43.5" thickBot="1">
      <c r="A8" s="125">
        <v>70188467</v>
      </c>
      <c r="B8" s="126" t="s">
        <v>58</v>
      </c>
      <c r="C8" s="126" t="s">
        <v>59</v>
      </c>
      <c r="D8" s="126" t="s">
        <v>48</v>
      </c>
      <c r="E8" s="126" t="s">
        <v>53</v>
      </c>
      <c r="F8" s="127">
        <v>7196474</v>
      </c>
      <c r="G8" s="127">
        <v>0</v>
      </c>
      <c r="H8" s="127">
        <v>60</v>
      </c>
      <c r="I8" s="127">
        <v>0</v>
      </c>
      <c r="J8" s="127">
        <v>0</v>
      </c>
      <c r="K8" s="127">
        <v>0</v>
      </c>
      <c r="L8" s="127">
        <v>0</v>
      </c>
      <c r="M8" s="127">
        <v>60</v>
      </c>
      <c r="N8" s="127">
        <v>0.8</v>
      </c>
      <c r="O8" s="127">
        <v>0.5</v>
      </c>
      <c r="P8" s="128" t="s">
        <v>282</v>
      </c>
      <c r="Q8" s="129">
        <v>40000</v>
      </c>
      <c r="R8" s="129">
        <v>33000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40000</v>
      </c>
      <c r="Y8" s="129">
        <v>0</v>
      </c>
      <c r="Z8" s="129">
        <v>0</v>
      </c>
      <c r="AA8" s="129">
        <v>85000</v>
      </c>
      <c r="AB8" s="129">
        <v>135000</v>
      </c>
      <c r="AC8" s="129">
        <v>5000</v>
      </c>
      <c r="AD8" s="129">
        <v>4000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/>
      <c r="AL8" s="129">
        <v>130000</v>
      </c>
      <c r="AM8" s="130">
        <v>212000</v>
      </c>
      <c r="AN8" s="78"/>
      <c r="AO8" s="349">
        <v>33000</v>
      </c>
      <c r="AP8" s="135">
        <f t="shared" si="0"/>
        <v>1</v>
      </c>
      <c r="AQ8" s="131">
        <f>-1+AO8/Q8</f>
        <v>-0.17500000000000004</v>
      </c>
      <c r="AR8" s="82"/>
      <c r="AS8" s="132">
        <f t="shared" si="1"/>
        <v>172000</v>
      </c>
      <c r="AT8" s="133">
        <f t="shared" si="2"/>
        <v>1.323076923076923</v>
      </c>
      <c r="AU8" s="134">
        <f t="shared" si="3"/>
        <v>0</v>
      </c>
      <c r="AV8" s="135">
        <f t="shared" si="4"/>
        <v>0.8113207547169812</v>
      </c>
      <c r="AW8" s="136">
        <f t="shared" si="5"/>
        <v>40000</v>
      </c>
      <c r="AX8" s="115">
        <f>IF(W8&gt;AU8,0,AU8-W8)</f>
        <v>0</v>
      </c>
      <c r="AY8" s="88"/>
      <c r="AZ8" s="137">
        <f t="shared" si="6"/>
        <v>41250</v>
      </c>
      <c r="BA8" s="138">
        <f t="shared" si="6"/>
        <v>66000</v>
      </c>
      <c r="BB8" s="88"/>
      <c r="BC8" s="139">
        <v>0</v>
      </c>
      <c r="BD8" s="140">
        <f t="shared" si="8"/>
        <v>11000</v>
      </c>
      <c r="BE8" s="141">
        <f t="shared" si="13"/>
        <v>11000</v>
      </c>
      <c r="BF8" s="142">
        <f aca="true" t="shared" si="14" ref="BF8:BF67">(BE8+BC8+AO8)/(Q8+W8)</f>
        <v>1.1</v>
      </c>
      <c r="BG8" s="141"/>
      <c r="BH8" s="141">
        <v>11000</v>
      </c>
      <c r="BI8" s="143">
        <v>0</v>
      </c>
      <c r="BJ8" s="144" t="s">
        <v>50</v>
      </c>
      <c r="BK8" s="145" t="s">
        <v>60</v>
      </c>
      <c r="BL8" s="97">
        <f t="shared" si="9"/>
        <v>1.1</v>
      </c>
      <c r="BM8" s="98"/>
      <c r="BN8" s="146">
        <f>($BI8+$BC8+$AO8+$AJ8+$AH8+$AF8+$AD8+$AB8+$Z8+$V8+$T8)/$AL8</f>
        <v>1.323076923076923</v>
      </c>
      <c r="BO8" s="146">
        <f t="shared" si="10"/>
        <v>0.8113207547169812</v>
      </c>
      <c r="BP8" s="82"/>
      <c r="BQ8" s="147">
        <f t="shared" si="11"/>
        <v>0</v>
      </c>
      <c r="BR8" s="101"/>
      <c r="BS8" s="141">
        <f t="shared" si="7"/>
        <v>40000</v>
      </c>
      <c r="BT8" s="141">
        <f>AO8+BQ8</f>
        <v>33000</v>
      </c>
      <c r="BU8" s="148">
        <f t="shared" si="12"/>
        <v>-0.17500000000000004</v>
      </c>
      <c r="BV8" s="66" t="s">
        <v>309</v>
      </c>
    </row>
    <row r="9" spans="1:74" ht="15" thickBot="1">
      <c r="A9" s="167" t="s">
        <v>61</v>
      </c>
      <c r="B9" s="71"/>
      <c r="C9" s="71"/>
      <c r="D9" s="71"/>
      <c r="E9" s="7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2">
        <f>SUM(Q4:Q8)</f>
        <v>2090000</v>
      </c>
      <c r="R9" s="152">
        <f aca="true" t="shared" si="15" ref="R9:AM9">SUM(R4:R8)</f>
        <v>3722435</v>
      </c>
      <c r="S9" s="152">
        <f t="shared" si="15"/>
        <v>0</v>
      </c>
      <c r="T9" s="152">
        <f t="shared" si="15"/>
        <v>0</v>
      </c>
      <c r="U9" s="152">
        <f t="shared" si="15"/>
        <v>241974</v>
      </c>
      <c r="V9" s="152">
        <f t="shared" si="15"/>
        <v>22000</v>
      </c>
      <c r="W9" s="152">
        <f t="shared" si="15"/>
        <v>656694</v>
      </c>
      <c r="X9" s="152">
        <f t="shared" si="15"/>
        <v>565068</v>
      </c>
      <c r="Y9" s="152">
        <f t="shared" si="15"/>
        <v>320000</v>
      </c>
      <c r="Z9" s="152">
        <f t="shared" si="15"/>
        <v>538935</v>
      </c>
      <c r="AA9" s="152">
        <f t="shared" si="15"/>
        <v>85000</v>
      </c>
      <c r="AB9" s="152">
        <f t="shared" si="15"/>
        <v>135000</v>
      </c>
      <c r="AC9" s="152">
        <f t="shared" si="15"/>
        <v>479780</v>
      </c>
      <c r="AD9" s="152">
        <f t="shared" si="15"/>
        <v>339634</v>
      </c>
      <c r="AE9" s="152">
        <f t="shared" si="15"/>
        <v>0</v>
      </c>
      <c r="AF9" s="152">
        <f t="shared" si="15"/>
        <v>0</v>
      </c>
      <c r="AG9" s="152">
        <f t="shared" si="15"/>
        <v>19414345</v>
      </c>
      <c r="AH9" s="152">
        <f t="shared" si="15"/>
        <v>693122</v>
      </c>
      <c r="AI9" s="152">
        <f t="shared" si="15"/>
        <v>1404485</v>
      </c>
      <c r="AJ9" s="152">
        <f t="shared" si="15"/>
        <v>445876</v>
      </c>
      <c r="AK9" s="152"/>
      <c r="AL9" s="152">
        <f t="shared" si="15"/>
        <v>24570347</v>
      </c>
      <c r="AM9" s="154">
        <f t="shared" si="15"/>
        <v>6462070</v>
      </c>
      <c r="AN9" s="153"/>
      <c r="AO9" s="154">
        <f>SUM(AO4:AO8)</f>
        <v>2206000</v>
      </c>
      <c r="AP9" s="41">
        <f t="shared" si="0"/>
        <v>0.592622839619765</v>
      </c>
      <c r="AQ9" s="40">
        <f>-1+AO9/Q9</f>
        <v>0.0555023923444975</v>
      </c>
      <c r="AR9" s="1"/>
      <c r="AS9" s="155">
        <f t="shared" si="1"/>
        <v>4380567</v>
      </c>
      <c r="AT9" s="42">
        <f t="shared" si="2"/>
        <v>0.17740635351667433</v>
      </c>
      <c r="AU9" s="156">
        <f>SUM(AU4:AU8)</f>
        <v>20353711</v>
      </c>
      <c r="AV9" s="157">
        <f t="shared" si="4"/>
        <v>0.6778891284062227</v>
      </c>
      <c r="AW9" s="156">
        <f>SUM(AW4:AW8)</f>
        <v>2081503</v>
      </c>
      <c r="AX9" s="156">
        <f>SUM(AX4:AX8)</f>
        <v>19697017</v>
      </c>
      <c r="AY9" s="88"/>
      <c r="AZ9" s="158"/>
      <c r="BA9" s="158"/>
      <c r="BB9" s="88"/>
      <c r="BC9" s="159">
        <f>SUM(BC4:BC8)</f>
        <v>459685</v>
      </c>
      <c r="BD9" s="160">
        <f>SUM(BD4:BD8)</f>
        <v>575759.8000000002</v>
      </c>
      <c r="BE9" s="161">
        <f>SUM(BE4:BE8)</f>
        <v>319172</v>
      </c>
      <c r="BF9" s="160"/>
      <c r="BG9" s="161">
        <f>SUM(BG4:BG8)</f>
        <v>0</v>
      </c>
      <c r="BH9" s="161">
        <f>SUM(BH4:BH8)</f>
        <v>319172</v>
      </c>
      <c r="BI9" s="57">
        <f>SUM(BI4:BI8)</f>
        <v>370000</v>
      </c>
      <c r="BJ9" s="162"/>
      <c r="BK9" s="162"/>
      <c r="BL9" s="97">
        <f t="shared" si="9"/>
        <v>1.0867089672165884</v>
      </c>
      <c r="BM9" s="98"/>
      <c r="BN9" s="82"/>
      <c r="BO9" s="82"/>
      <c r="BP9" s="82"/>
      <c r="BQ9" s="161">
        <f>SUM(BQ4:BQ8)</f>
        <v>829685</v>
      </c>
      <c r="BR9" s="101"/>
      <c r="BS9" s="161">
        <f t="shared" si="7"/>
        <v>2746694</v>
      </c>
      <c r="BT9" s="161">
        <f>SUM(BT4:BT8)</f>
        <v>3035685</v>
      </c>
      <c r="BU9" s="163">
        <f t="shared" si="12"/>
        <v>0.10521412286916565</v>
      </c>
      <c r="BV9" s="67"/>
    </row>
    <row r="10" spans="1:74" ht="7.5" customHeight="1" thickBot="1">
      <c r="A10" s="149"/>
      <c r="B10" s="150"/>
      <c r="C10" s="150"/>
      <c r="D10" s="150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97"/>
      <c r="AQ10" s="97"/>
      <c r="AR10" s="97"/>
      <c r="AS10" s="164"/>
      <c r="AT10" s="82"/>
      <c r="AU10" s="165"/>
      <c r="AV10" s="168"/>
      <c r="AW10" s="164"/>
      <c r="AX10" s="165"/>
      <c r="AY10" s="88"/>
      <c r="AZ10" s="158"/>
      <c r="BA10" s="158"/>
      <c r="BB10" s="88"/>
      <c r="BC10" s="169"/>
      <c r="BD10" s="170"/>
      <c r="BE10" s="171"/>
      <c r="BF10" s="172"/>
      <c r="BG10" s="171"/>
      <c r="BH10" s="171"/>
      <c r="BI10" s="173"/>
      <c r="BJ10" s="162"/>
      <c r="BK10" s="162"/>
      <c r="BL10" s="97" t="e">
        <f t="shared" si="9"/>
        <v>#DIV/0!</v>
      </c>
      <c r="BM10" s="98"/>
      <c r="BN10" s="82"/>
      <c r="BO10" s="82"/>
      <c r="BP10" s="82"/>
      <c r="BQ10" s="171"/>
      <c r="BR10" s="101"/>
      <c r="BS10" s="171"/>
      <c r="BT10" s="171"/>
      <c r="BU10" s="174"/>
      <c r="BV10" s="67"/>
    </row>
    <row r="11" spans="1:74" ht="42.75">
      <c r="A11" s="72">
        <v>394190</v>
      </c>
      <c r="B11" s="73" t="s">
        <v>62</v>
      </c>
      <c r="C11" s="73" t="s">
        <v>47</v>
      </c>
      <c r="D11" s="73" t="s">
        <v>63</v>
      </c>
      <c r="E11" s="73" t="s">
        <v>64</v>
      </c>
      <c r="F11" s="74">
        <v>1784518</v>
      </c>
      <c r="G11" s="74">
        <v>0</v>
      </c>
      <c r="H11" s="74">
        <v>5</v>
      </c>
      <c r="I11" s="74">
        <v>0</v>
      </c>
      <c r="J11" s="74">
        <v>0</v>
      </c>
      <c r="K11" s="74">
        <v>0</v>
      </c>
      <c r="L11" s="74">
        <v>0</v>
      </c>
      <c r="M11" s="74">
        <v>5</v>
      </c>
      <c r="N11" s="74">
        <v>2.1</v>
      </c>
      <c r="O11" s="74">
        <v>1.8</v>
      </c>
      <c r="P11" s="175" t="s">
        <v>283</v>
      </c>
      <c r="Q11" s="76">
        <v>0</v>
      </c>
      <c r="R11" s="76">
        <v>236000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30000</v>
      </c>
      <c r="Y11" s="76">
        <v>0</v>
      </c>
      <c r="Z11" s="76">
        <v>30000</v>
      </c>
      <c r="AA11" s="76">
        <v>0</v>
      </c>
      <c r="AB11" s="76">
        <v>0</v>
      </c>
      <c r="AC11" s="76">
        <v>0</v>
      </c>
      <c r="AD11" s="76">
        <v>300000</v>
      </c>
      <c r="AE11" s="76">
        <v>0</v>
      </c>
      <c r="AF11" s="76">
        <v>0</v>
      </c>
      <c r="AG11" s="76">
        <v>0</v>
      </c>
      <c r="AH11" s="76">
        <v>0</v>
      </c>
      <c r="AI11" s="76">
        <v>0</v>
      </c>
      <c r="AJ11" s="76">
        <v>44571</v>
      </c>
      <c r="AK11" s="76"/>
      <c r="AL11" s="76">
        <v>0</v>
      </c>
      <c r="AM11" s="77">
        <v>640571</v>
      </c>
      <c r="AN11" s="78"/>
      <c r="AO11" s="342">
        <v>236000</v>
      </c>
      <c r="AP11" s="222">
        <f t="shared" si="0"/>
        <v>1</v>
      </c>
      <c r="AQ11" s="81"/>
      <c r="AR11" s="82"/>
      <c r="AS11" s="176">
        <f t="shared" si="1"/>
        <v>610571</v>
      </c>
      <c r="AT11" s="177"/>
      <c r="AU11" s="85"/>
      <c r="AV11" s="86">
        <f t="shared" si="4"/>
        <v>0.9531667840098912</v>
      </c>
      <c r="AW11" s="178">
        <f t="shared" si="5"/>
        <v>30000</v>
      </c>
      <c r="AX11" s="85">
        <f aca="true" t="shared" si="16" ref="AX11:AX26">IF(W11&gt;AU11,0,AU11-W11)</f>
        <v>0</v>
      </c>
      <c r="AY11" s="88"/>
      <c r="AZ11" s="89">
        <f aca="true" t="shared" si="17" ref="AZ11:AZ26">$AO11/N11</f>
        <v>112380.95238095238</v>
      </c>
      <c r="BA11" s="90">
        <f aca="true" t="shared" si="18" ref="BA11:BA26">$AO11/O11</f>
        <v>131111.1111111111</v>
      </c>
      <c r="BB11" s="88"/>
      <c r="BC11" s="179">
        <v>0</v>
      </c>
      <c r="BD11" s="91"/>
      <c r="BE11" s="92">
        <f t="shared" si="13"/>
        <v>0</v>
      </c>
      <c r="BF11" s="93"/>
      <c r="BG11" s="100"/>
      <c r="BH11" s="100">
        <v>0</v>
      </c>
      <c r="BI11" s="180">
        <v>0</v>
      </c>
      <c r="BJ11" s="181" t="s">
        <v>50</v>
      </c>
      <c r="BK11" s="182" t="s">
        <v>51</v>
      </c>
      <c r="BL11" s="97" t="e">
        <f t="shared" si="9"/>
        <v>#DIV/0!</v>
      </c>
      <c r="BM11" s="98"/>
      <c r="BN11" s="183" t="e">
        <f aca="true" t="shared" si="19" ref="BN11:BN26">($BI11+$BC11+$AO11+$AJ11+$AH11+$AF11+$AD11+$AB11+$Z11+$V11+$T11)/$AL11</f>
        <v>#DIV/0!</v>
      </c>
      <c r="BO11" s="177">
        <f t="shared" si="10"/>
        <v>0.9531667840098912</v>
      </c>
      <c r="BP11" s="82"/>
      <c r="BQ11" s="100">
        <f t="shared" si="11"/>
        <v>0</v>
      </c>
      <c r="BR11" s="101"/>
      <c r="BS11" s="100">
        <f aca="true" t="shared" si="20" ref="BS11:BS27">Q11+W11</f>
        <v>0</v>
      </c>
      <c r="BT11" s="100">
        <f aca="true" t="shared" si="21" ref="BT11:BT27">AO11+BQ11</f>
        <v>236000</v>
      </c>
      <c r="BU11" s="102"/>
      <c r="BV11" s="64" t="s">
        <v>310</v>
      </c>
    </row>
    <row r="12" spans="1:74" ht="71.25">
      <c r="A12" s="103">
        <v>400840</v>
      </c>
      <c r="B12" s="104" t="s">
        <v>270</v>
      </c>
      <c r="C12" s="104" t="s">
        <v>59</v>
      </c>
      <c r="D12" s="104" t="s">
        <v>63</v>
      </c>
      <c r="E12" s="104" t="s">
        <v>65</v>
      </c>
      <c r="F12" s="105">
        <v>6075370</v>
      </c>
      <c r="G12" s="106"/>
      <c r="H12" s="105">
        <v>18</v>
      </c>
      <c r="I12" s="105">
        <v>17</v>
      </c>
      <c r="J12" s="105">
        <v>1</v>
      </c>
      <c r="K12" s="105">
        <v>0</v>
      </c>
      <c r="L12" s="105">
        <v>0</v>
      </c>
      <c r="M12" s="105">
        <v>0</v>
      </c>
      <c r="N12" s="105">
        <v>4.7</v>
      </c>
      <c r="O12" s="105">
        <v>2.9</v>
      </c>
      <c r="P12" s="184" t="s">
        <v>280</v>
      </c>
      <c r="Q12" s="108">
        <v>490000</v>
      </c>
      <c r="R12" s="108">
        <v>593500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753000</v>
      </c>
      <c r="AB12" s="108">
        <v>778500</v>
      </c>
      <c r="AC12" s="108">
        <v>460000</v>
      </c>
      <c r="AD12" s="108">
        <v>510000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/>
      <c r="AL12" s="108">
        <v>1703000</v>
      </c>
      <c r="AM12" s="109">
        <v>1882000</v>
      </c>
      <c r="AN12" s="78"/>
      <c r="AO12" s="348">
        <v>593000</v>
      </c>
      <c r="AP12" s="192">
        <f t="shared" si="0"/>
        <v>0.9991575400168492</v>
      </c>
      <c r="AQ12" s="112">
        <f>-1+AO12/Q12</f>
        <v>0.21020408163265314</v>
      </c>
      <c r="AR12" s="82"/>
      <c r="AS12" s="113">
        <f t="shared" si="1"/>
        <v>1881500</v>
      </c>
      <c r="AT12" s="114">
        <f t="shared" si="2"/>
        <v>1.1048150322959482</v>
      </c>
      <c r="AU12" s="115">
        <f t="shared" si="3"/>
        <v>0</v>
      </c>
      <c r="AV12" s="86">
        <f t="shared" si="4"/>
        <v>0.9997343251859724</v>
      </c>
      <c r="AW12" s="185">
        <f t="shared" si="5"/>
        <v>500</v>
      </c>
      <c r="AX12" s="186">
        <f t="shared" si="16"/>
        <v>0</v>
      </c>
      <c r="AY12" s="88"/>
      <c r="AZ12" s="117">
        <f t="shared" si="17"/>
        <v>126170.21276595745</v>
      </c>
      <c r="BA12" s="118">
        <f t="shared" si="18"/>
        <v>204482.75862068965</v>
      </c>
      <c r="BB12" s="88"/>
      <c r="BC12" s="187">
        <v>0</v>
      </c>
      <c r="BD12" s="91"/>
      <c r="BE12" s="92">
        <f t="shared" si="13"/>
        <v>0</v>
      </c>
      <c r="BF12" s="93">
        <f t="shared" si="14"/>
        <v>1.2102040816326531</v>
      </c>
      <c r="BG12" s="123"/>
      <c r="BH12" s="123">
        <v>0</v>
      </c>
      <c r="BI12" s="188">
        <v>0</v>
      </c>
      <c r="BJ12" s="189" t="s">
        <v>50</v>
      </c>
      <c r="BK12" s="121" t="s">
        <v>60</v>
      </c>
      <c r="BL12" s="97">
        <f t="shared" si="9"/>
        <v>1.2102040816326531</v>
      </c>
      <c r="BM12" s="98"/>
      <c r="BN12" s="190">
        <f t="shared" si="19"/>
        <v>1.1048150322959482</v>
      </c>
      <c r="BO12" s="114">
        <f t="shared" si="10"/>
        <v>0.9997343251859724</v>
      </c>
      <c r="BP12" s="82"/>
      <c r="BQ12" s="123">
        <f t="shared" si="11"/>
        <v>0</v>
      </c>
      <c r="BR12" s="101"/>
      <c r="BS12" s="123">
        <f t="shared" si="20"/>
        <v>490000</v>
      </c>
      <c r="BT12" s="123">
        <f t="shared" si="21"/>
        <v>593000</v>
      </c>
      <c r="BU12" s="124">
        <f t="shared" si="12"/>
        <v>0.21020408163265314</v>
      </c>
      <c r="BV12" s="65" t="s">
        <v>311</v>
      </c>
    </row>
    <row r="13" spans="1:74" ht="71.25">
      <c r="A13" s="103">
        <v>400858</v>
      </c>
      <c r="B13" s="104" t="s">
        <v>66</v>
      </c>
      <c r="C13" s="104" t="s">
        <v>59</v>
      </c>
      <c r="D13" s="104" t="s">
        <v>63</v>
      </c>
      <c r="E13" s="104" t="s">
        <v>66</v>
      </c>
      <c r="F13" s="105">
        <v>2022392</v>
      </c>
      <c r="G13" s="106"/>
      <c r="H13" s="105">
        <v>30</v>
      </c>
      <c r="I13" s="105">
        <v>12</v>
      </c>
      <c r="J13" s="105">
        <v>11</v>
      </c>
      <c r="K13" s="105">
        <v>6</v>
      </c>
      <c r="L13" s="105">
        <v>1</v>
      </c>
      <c r="M13" s="105">
        <v>0</v>
      </c>
      <c r="N13" s="105">
        <v>10</v>
      </c>
      <c r="O13" s="105">
        <v>5</v>
      </c>
      <c r="P13" s="184" t="s">
        <v>280</v>
      </c>
      <c r="Q13" s="108">
        <v>1285000</v>
      </c>
      <c r="R13" s="108">
        <v>1397000</v>
      </c>
      <c r="S13" s="108">
        <v>0</v>
      </c>
      <c r="T13" s="108">
        <v>0</v>
      </c>
      <c r="U13" s="108">
        <v>0</v>
      </c>
      <c r="V13" s="108">
        <v>0</v>
      </c>
      <c r="W13" s="108">
        <v>161000</v>
      </c>
      <c r="X13" s="108">
        <v>0</v>
      </c>
      <c r="Y13" s="108">
        <v>0</v>
      </c>
      <c r="Z13" s="108">
        <v>0</v>
      </c>
      <c r="AA13" s="108">
        <v>3084550</v>
      </c>
      <c r="AB13" s="108">
        <v>2621000</v>
      </c>
      <c r="AC13" s="108">
        <v>906968</v>
      </c>
      <c r="AD13" s="108">
        <v>945000</v>
      </c>
      <c r="AE13" s="108">
        <v>0</v>
      </c>
      <c r="AF13" s="108">
        <v>0</v>
      </c>
      <c r="AG13" s="108">
        <v>0</v>
      </c>
      <c r="AH13" s="108">
        <v>0</v>
      </c>
      <c r="AI13" s="108">
        <v>63252</v>
      </c>
      <c r="AJ13" s="108">
        <v>118000</v>
      </c>
      <c r="AK13" s="108">
        <v>5500770</v>
      </c>
      <c r="AL13" s="108">
        <v>5057677</v>
      </c>
      <c r="AM13" s="109">
        <v>5081000</v>
      </c>
      <c r="AN13" s="78"/>
      <c r="AO13" s="348">
        <v>1358000</v>
      </c>
      <c r="AP13" s="192">
        <f t="shared" si="0"/>
        <v>0.972083035075161</v>
      </c>
      <c r="AQ13" s="112">
        <f>-1+AO13/Q13</f>
        <v>0.0568093385214008</v>
      </c>
      <c r="AR13" s="82"/>
      <c r="AS13" s="113">
        <f t="shared" si="1"/>
        <v>5042000</v>
      </c>
      <c r="AT13" s="114">
        <f t="shared" si="2"/>
        <v>0.9165989488744303</v>
      </c>
      <c r="AU13" s="115">
        <f t="shared" si="3"/>
        <v>458770</v>
      </c>
      <c r="AV13" s="86">
        <f t="shared" si="4"/>
        <v>0.9923243456012596</v>
      </c>
      <c r="AW13" s="185">
        <f t="shared" si="5"/>
        <v>39000</v>
      </c>
      <c r="AX13" s="186">
        <f t="shared" si="16"/>
        <v>297770</v>
      </c>
      <c r="AY13" s="88"/>
      <c r="AZ13" s="117">
        <f t="shared" si="17"/>
        <v>135800</v>
      </c>
      <c r="BA13" s="118">
        <f t="shared" si="18"/>
        <v>271600</v>
      </c>
      <c r="BB13" s="88"/>
      <c r="BC13" s="187">
        <v>126000</v>
      </c>
      <c r="BD13" s="91">
        <f t="shared" si="8"/>
        <v>106600.00000000023</v>
      </c>
      <c r="BE13" s="92"/>
      <c r="BF13" s="93">
        <f t="shared" si="14"/>
        <v>1.0262793914246195</v>
      </c>
      <c r="BG13" s="123"/>
      <c r="BH13" s="123">
        <v>0</v>
      </c>
      <c r="BI13" s="188">
        <v>0</v>
      </c>
      <c r="BJ13" s="189" t="s">
        <v>50</v>
      </c>
      <c r="BK13" s="121" t="s">
        <v>60</v>
      </c>
      <c r="BL13" s="97">
        <f t="shared" si="9"/>
        <v>1.0262793914246195</v>
      </c>
      <c r="BM13" s="98"/>
      <c r="BN13" s="190">
        <f t="shared" si="19"/>
        <v>1.0218129785670378</v>
      </c>
      <c r="BO13" s="114">
        <f t="shared" si="10"/>
        <v>1.0171226136587286</v>
      </c>
      <c r="BP13" s="82"/>
      <c r="BQ13" s="123">
        <f t="shared" si="11"/>
        <v>126000</v>
      </c>
      <c r="BR13" s="101"/>
      <c r="BS13" s="123">
        <f t="shared" si="20"/>
        <v>1446000</v>
      </c>
      <c r="BT13" s="123">
        <f t="shared" si="21"/>
        <v>1484000</v>
      </c>
      <c r="BU13" s="124">
        <f t="shared" si="12"/>
        <v>0.026279391424619547</v>
      </c>
      <c r="BV13" s="65" t="s">
        <v>312</v>
      </c>
    </row>
    <row r="14" spans="1:74" ht="114">
      <c r="A14" s="103">
        <v>15060233</v>
      </c>
      <c r="B14" s="104" t="s">
        <v>46</v>
      </c>
      <c r="C14" s="104" t="s">
        <v>47</v>
      </c>
      <c r="D14" s="104" t="s">
        <v>63</v>
      </c>
      <c r="E14" s="104" t="s">
        <v>67</v>
      </c>
      <c r="F14" s="105">
        <v>7776230</v>
      </c>
      <c r="G14" s="105">
        <v>0</v>
      </c>
      <c r="H14" s="105">
        <v>18</v>
      </c>
      <c r="I14" s="105">
        <v>0</v>
      </c>
      <c r="J14" s="105">
        <v>7</v>
      </c>
      <c r="K14" s="105">
        <v>7</v>
      </c>
      <c r="L14" s="105">
        <v>4</v>
      </c>
      <c r="M14" s="105">
        <v>0</v>
      </c>
      <c r="N14" s="105">
        <v>9</v>
      </c>
      <c r="O14" s="105">
        <v>7.1</v>
      </c>
      <c r="P14" s="184" t="s">
        <v>284</v>
      </c>
      <c r="Q14" s="108">
        <v>1301000</v>
      </c>
      <c r="R14" s="108">
        <v>1965250</v>
      </c>
      <c r="S14" s="108">
        <v>0</v>
      </c>
      <c r="T14" s="108">
        <v>0</v>
      </c>
      <c r="U14" s="108">
        <v>20110</v>
      </c>
      <c r="V14" s="108">
        <v>0</v>
      </c>
      <c r="W14" s="108">
        <v>434709</v>
      </c>
      <c r="X14" s="108">
        <v>350000</v>
      </c>
      <c r="Y14" s="108">
        <v>202000</v>
      </c>
      <c r="Z14" s="108">
        <v>150000</v>
      </c>
      <c r="AA14" s="108">
        <v>0</v>
      </c>
      <c r="AB14" s="108">
        <v>0</v>
      </c>
      <c r="AC14" s="108">
        <v>357575</v>
      </c>
      <c r="AD14" s="108">
        <v>351695</v>
      </c>
      <c r="AE14" s="108">
        <v>0</v>
      </c>
      <c r="AF14" s="108">
        <v>0</v>
      </c>
      <c r="AG14" s="108">
        <v>0</v>
      </c>
      <c r="AH14" s="108">
        <v>0</v>
      </c>
      <c r="AI14" s="108">
        <v>695213</v>
      </c>
      <c r="AJ14" s="108">
        <v>256000</v>
      </c>
      <c r="AK14" s="108">
        <v>3010607</v>
      </c>
      <c r="AL14" s="108">
        <v>2822453</v>
      </c>
      <c r="AM14" s="109">
        <v>3072945</v>
      </c>
      <c r="AN14" s="78"/>
      <c r="AO14" s="348">
        <v>1846000</v>
      </c>
      <c r="AP14" s="192">
        <f t="shared" si="0"/>
        <v>0.9393206971123267</v>
      </c>
      <c r="AQ14" s="112">
        <f>-1+AO14/Q14</f>
        <v>0.4189085318985395</v>
      </c>
      <c r="AR14" s="82"/>
      <c r="AS14" s="113">
        <f t="shared" si="1"/>
        <v>2603695</v>
      </c>
      <c r="AT14" s="114">
        <f t="shared" si="2"/>
        <v>0.8648405454448223</v>
      </c>
      <c r="AU14" s="115">
        <f t="shared" si="3"/>
        <v>406912</v>
      </c>
      <c r="AV14" s="86">
        <f t="shared" si="4"/>
        <v>0.847296323233901</v>
      </c>
      <c r="AW14" s="185">
        <f t="shared" si="5"/>
        <v>469250</v>
      </c>
      <c r="AX14" s="186">
        <f t="shared" si="16"/>
        <v>0</v>
      </c>
      <c r="AY14" s="88"/>
      <c r="AZ14" s="117">
        <f t="shared" si="17"/>
        <v>205111.11111111112</v>
      </c>
      <c r="BA14" s="118">
        <f t="shared" si="18"/>
        <v>260000</v>
      </c>
      <c r="BB14" s="88"/>
      <c r="BC14" s="187">
        <v>0</v>
      </c>
      <c r="BD14" s="91">
        <f t="shared" si="8"/>
        <v>63279.90000000014</v>
      </c>
      <c r="BE14" s="92">
        <f t="shared" si="13"/>
        <v>63279.90000000014</v>
      </c>
      <c r="BF14" s="93">
        <f t="shared" si="14"/>
        <v>1.1</v>
      </c>
      <c r="BG14" s="123"/>
      <c r="BH14" s="123">
        <v>200000</v>
      </c>
      <c r="BI14" s="188">
        <v>300000</v>
      </c>
      <c r="BJ14" s="189" t="s">
        <v>50</v>
      </c>
      <c r="BK14" s="121" t="s">
        <v>51</v>
      </c>
      <c r="BL14" s="97">
        <f t="shared" si="9"/>
        <v>1.1787690217657454</v>
      </c>
      <c r="BM14" s="98"/>
      <c r="BN14" s="190">
        <f t="shared" si="19"/>
        <v>1.028784181702937</v>
      </c>
      <c r="BO14" s="114">
        <f t="shared" si="10"/>
        <v>0.9449225417311407</v>
      </c>
      <c r="BP14" s="82"/>
      <c r="BQ14" s="123">
        <f t="shared" si="11"/>
        <v>300000</v>
      </c>
      <c r="BR14" s="101"/>
      <c r="BS14" s="123">
        <f t="shared" si="20"/>
        <v>1735709</v>
      </c>
      <c r="BT14" s="123">
        <f t="shared" si="21"/>
        <v>2146000</v>
      </c>
      <c r="BU14" s="124">
        <f t="shared" si="12"/>
        <v>0.23638236593806905</v>
      </c>
      <c r="BV14" s="65" t="s">
        <v>313</v>
      </c>
    </row>
    <row r="15" spans="1:74" ht="57" customHeight="1">
      <c r="A15" s="103">
        <v>15060306</v>
      </c>
      <c r="B15" s="104" t="s">
        <v>68</v>
      </c>
      <c r="C15" s="104" t="s">
        <v>47</v>
      </c>
      <c r="D15" s="104" t="s">
        <v>63</v>
      </c>
      <c r="E15" s="104" t="s">
        <v>69</v>
      </c>
      <c r="F15" s="105">
        <v>6928452</v>
      </c>
      <c r="G15" s="105">
        <v>0</v>
      </c>
      <c r="H15" s="105">
        <v>17</v>
      </c>
      <c r="I15" s="105">
        <v>3</v>
      </c>
      <c r="J15" s="105">
        <v>2</v>
      </c>
      <c r="K15" s="105">
        <v>6</v>
      </c>
      <c r="L15" s="105">
        <v>0</v>
      </c>
      <c r="M15" s="105">
        <v>6</v>
      </c>
      <c r="N15" s="105">
        <v>3.8</v>
      </c>
      <c r="O15" s="105">
        <v>3.1</v>
      </c>
      <c r="P15" s="184" t="s">
        <v>285</v>
      </c>
      <c r="Q15" s="108">
        <v>129000</v>
      </c>
      <c r="R15" s="108">
        <v>355000</v>
      </c>
      <c r="S15" s="108">
        <v>0</v>
      </c>
      <c r="T15" s="108">
        <v>0</v>
      </c>
      <c r="U15" s="108">
        <v>41602</v>
      </c>
      <c r="V15" s="108">
        <v>0</v>
      </c>
      <c r="W15" s="108">
        <v>154704</v>
      </c>
      <c r="X15" s="108">
        <v>250000</v>
      </c>
      <c r="Y15" s="108">
        <v>311493</v>
      </c>
      <c r="Z15" s="108">
        <v>300000</v>
      </c>
      <c r="AA15" s="108">
        <v>0</v>
      </c>
      <c r="AB15" s="108">
        <v>0</v>
      </c>
      <c r="AC15" s="108">
        <v>157070</v>
      </c>
      <c r="AD15" s="108">
        <v>175000</v>
      </c>
      <c r="AE15" s="108">
        <v>0</v>
      </c>
      <c r="AF15" s="108">
        <v>0</v>
      </c>
      <c r="AG15" s="108">
        <v>0</v>
      </c>
      <c r="AH15" s="108">
        <v>0</v>
      </c>
      <c r="AI15" s="108">
        <v>37390</v>
      </c>
      <c r="AJ15" s="108">
        <v>50000</v>
      </c>
      <c r="AK15" s="108">
        <v>831259</v>
      </c>
      <c r="AL15" s="108">
        <v>831259</v>
      </c>
      <c r="AM15" s="109">
        <v>1130000</v>
      </c>
      <c r="AN15" s="78"/>
      <c r="AO15" s="348">
        <v>122000</v>
      </c>
      <c r="AP15" s="192">
        <f t="shared" si="0"/>
        <v>0.3436619718309859</v>
      </c>
      <c r="AQ15" s="112">
        <f>-1+AO15/Q15</f>
        <v>-0.054263565891472854</v>
      </c>
      <c r="AR15" s="82"/>
      <c r="AS15" s="113">
        <f t="shared" si="1"/>
        <v>647000</v>
      </c>
      <c r="AT15" s="114">
        <f t="shared" si="2"/>
        <v>0.7783374375495483</v>
      </c>
      <c r="AU15" s="115">
        <f t="shared" si="3"/>
        <v>184259</v>
      </c>
      <c r="AV15" s="86">
        <f t="shared" si="4"/>
        <v>0.5725663716814159</v>
      </c>
      <c r="AW15" s="185">
        <f t="shared" si="5"/>
        <v>483000</v>
      </c>
      <c r="AX15" s="186">
        <f t="shared" si="16"/>
        <v>29555</v>
      </c>
      <c r="AY15" s="88"/>
      <c r="AZ15" s="117">
        <f t="shared" si="17"/>
        <v>32105.263157894737</v>
      </c>
      <c r="BA15" s="118">
        <f t="shared" si="18"/>
        <v>39354.83870967742</v>
      </c>
      <c r="BB15" s="88"/>
      <c r="BC15" s="187">
        <v>108293</v>
      </c>
      <c r="BD15" s="91">
        <f t="shared" si="8"/>
        <v>81781.40000000002</v>
      </c>
      <c r="BE15" s="92">
        <f t="shared" si="13"/>
        <v>81781.40000000002</v>
      </c>
      <c r="BF15" s="93">
        <f t="shared" si="14"/>
        <v>1.1</v>
      </c>
      <c r="BG15" s="123"/>
      <c r="BH15" s="123">
        <v>300000</v>
      </c>
      <c r="BI15" s="188">
        <v>300000</v>
      </c>
      <c r="BJ15" s="189" t="s">
        <v>50</v>
      </c>
      <c r="BK15" s="121" t="s">
        <v>56</v>
      </c>
      <c r="BL15" s="97">
        <f t="shared" si="9"/>
        <v>1.8691770295801258</v>
      </c>
      <c r="BM15" s="98"/>
      <c r="BN15" s="190">
        <f t="shared" si="19"/>
        <v>1.2695116684450936</v>
      </c>
      <c r="BO15" s="114">
        <f t="shared" si="10"/>
        <v>0.933887610619469</v>
      </c>
      <c r="BP15" s="82"/>
      <c r="BQ15" s="123">
        <f t="shared" si="11"/>
        <v>408293</v>
      </c>
      <c r="BR15" s="101"/>
      <c r="BS15" s="123">
        <f t="shared" si="20"/>
        <v>283704</v>
      </c>
      <c r="BT15" s="123">
        <f t="shared" si="21"/>
        <v>530293</v>
      </c>
      <c r="BU15" s="124">
        <f t="shared" si="12"/>
        <v>0.8691770295801258</v>
      </c>
      <c r="BV15" s="65" t="s">
        <v>314</v>
      </c>
    </row>
    <row r="16" spans="1:74" ht="57">
      <c r="A16" s="103">
        <v>26304856</v>
      </c>
      <c r="B16" s="104" t="s">
        <v>52</v>
      </c>
      <c r="C16" s="104" t="s">
        <v>47</v>
      </c>
      <c r="D16" s="104" t="s">
        <v>63</v>
      </c>
      <c r="E16" s="104" t="s">
        <v>70</v>
      </c>
      <c r="F16" s="105">
        <v>8525323</v>
      </c>
      <c r="G16" s="105">
        <v>0</v>
      </c>
      <c r="H16" s="105">
        <v>55</v>
      </c>
      <c r="I16" s="105">
        <v>35</v>
      </c>
      <c r="J16" s="105">
        <v>15</v>
      </c>
      <c r="K16" s="105">
        <v>5</v>
      </c>
      <c r="L16" s="105">
        <v>0</v>
      </c>
      <c r="M16" s="105">
        <v>0</v>
      </c>
      <c r="N16" s="105">
        <v>0.7</v>
      </c>
      <c r="O16" s="105">
        <v>0.5</v>
      </c>
      <c r="P16" s="184" t="s">
        <v>280</v>
      </c>
      <c r="Q16" s="108">
        <v>69000</v>
      </c>
      <c r="R16" s="108">
        <v>286510</v>
      </c>
      <c r="S16" s="108">
        <v>0</v>
      </c>
      <c r="T16" s="108">
        <v>0</v>
      </c>
      <c r="U16" s="108">
        <v>18500</v>
      </c>
      <c r="V16" s="108">
        <v>9000</v>
      </c>
      <c r="W16" s="108">
        <v>27000</v>
      </c>
      <c r="X16" s="108">
        <v>27000</v>
      </c>
      <c r="Y16" s="108">
        <v>3000</v>
      </c>
      <c r="Z16" s="108">
        <v>3000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136100</v>
      </c>
      <c r="AJ16" s="108">
        <v>83790</v>
      </c>
      <c r="AK16" s="108"/>
      <c r="AL16" s="108">
        <v>253600</v>
      </c>
      <c r="AM16" s="109">
        <v>409300</v>
      </c>
      <c r="AN16" s="78"/>
      <c r="AO16" s="348">
        <v>0</v>
      </c>
      <c r="AP16" s="192">
        <f t="shared" si="0"/>
        <v>0</v>
      </c>
      <c r="AQ16" s="112">
        <f>-1+AO16/Q16</f>
        <v>-1</v>
      </c>
      <c r="AR16" s="82"/>
      <c r="AS16" s="113">
        <f t="shared" si="1"/>
        <v>95790</v>
      </c>
      <c r="AT16" s="114">
        <f t="shared" si="2"/>
        <v>0.37772082018927444</v>
      </c>
      <c r="AU16" s="115">
        <f t="shared" si="3"/>
        <v>157810</v>
      </c>
      <c r="AV16" s="86">
        <f t="shared" si="4"/>
        <v>0.23403371610065965</v>
      </c>
      <c r="AW16" s="185">
        <f t="shared" si="5"/>
        <v>313510</v>
      </c>
      <c r="AX16" s="186">
        <f t="shared" si="16"/>
        <v>130810</v>
      </c>
      <c r="AY16" s="88"/>
      <c r="AZ16" s="117">
        <f t="shared" si="17"/>
        <v>0</v>
      </c>
      <c r="BA16" s="118">
        <f t="shared" si="18"/>
        <v>0</v>
      </c>
      <c r="BB16" s="88"/>
      <c r="BC16" s="187">
        <v>18900</v>
      </c>
      <c r="BD16" s="91">
        <f t="shared" si="8"/>
        <v>86700.00000000001</v>
      </c>
      <c r="BE16" s="92">
        <f t="shared" si="13"/>
        <v>8100</v>
      </c>
      <c r="BF16" s="93">
        <f t="shared" si="14"/>
        <v>0.28125</v>
      </c>
      <c r="BG16" s="123">
        <f>IF(BF16&lt;$BG$3,(0.7*(Q16+W16))-(AO16+BC16),0)</f>
        <v>48300</v>
      </c>
      <c r="BH16" s="123">
        <v>48300</v>
      </c>
      <c r="BI16" s="188">
        <v>100000</v>
      </c>
      <c r="BJ16" s="189" t="s">
        <v>50</v>
      </c>
      <c r="BK16" s="121" t="s">
        <v>54</v>
      </c>
      <c r="BL16" s="97">
        <f t="shared" si="9"/>
        <v>0.7</v>
      </c>
      <c r="BM16" s="98">
        <f>(0.9*(Q16+S16+W16))-(T16+AO16+BC16+BH16)</f>
        <v>19200</v>
      </c>
      <c r="BN16" s="190">
        <f t="shared" si="19"/>
        <v>0.8465694006309148</v>
      </c>
      <c r="BO16" s="114">
        <f t="shared" si="10"/>
        <v>0.5245296848277547</v>
      </c>
      <c r="BP16" s="82"/>
      <c r="BQ16" s="123">
        <f t="shared" si="11"/>
        <v>118900</v>
      </c>
      <c r="BR16" s="101"/>
      <c r="BS16" s="123">
        <f t="shared" si="20"/>
        <v>96000</v>
      </c>
      <c r="BT16" s="123">
        <f t="shared" si="21"/>
        <v>118900</v>
      </c>
      <c r="BU16" s="124">
        <f t="shared" si="12"/>
        <v>0.23854166666666665</v>
      </c>
      <c r="BV16" s="65" t="s">
        <v>315</v>
      </c>
    </row>
    <row r="17" spans="1:74" ht="57">
      <c r="A17" s="103">
        <v>26652935</v>
      </c>
      <c r="B17" s="104" t="s">
        <v>71</v>
      </c>
      <c r="C17" s="104" t="s">
        <v>47</v>
      </c>
      <c r="D17" s="104" t="s">
        <v>63</v>
      </c>
      <c r="E17" s="104" t="s">
        <v>72</v>
      </c>
      <c r="F17" s="106"/>
      <c r="G17" s="106"/>
      <c r="H17" s="105">
        <v>20</v>
      </c>
      <c r="I17" s="105">
        <v>0</v>
      </c>
      <c r="J17" s="105">
        <v>1</v>
      </c>
      <c r="K17" s="105">
        <v>1</v>
      </c>
      <c r="L17" s="105">
        <v>1</v>
      </c>
      <c r="M17" s="105">
        <v>17</v>
      </c>
      <c r="N17" s="105">
        <v>6.7</v>
      </c>
      <c r="O17" s="105">
        <v>3.7</v>
      </c>
      <c r="P17" s="184" t="s">
        <v>280</v>
      </c>
      <c r="Q17" s="108">
        <v>0</v>
      </c>
      <c r="R17" s="108">
        <v>1591866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28000</v>
      </c>
      <c r="AD17" s="108">
        <v>254000</v>
      </c>
      <c r="AE17" s="108">
        <v>0</v>
      </c>
      <c r="AF17" s="108">
        <v>0</v>
      </c>
      <c r="AG17" s="108">
        <v>1000000</v>
      </c>
      <c r="AH17" s="108">
        <v>632862</v>
      </c>
      <c r="AI17" s="108">
        <v>0</v>
      </c>
      <c r="AJ17" s="108">
        <v>0</v>
      </c>
      <c r="AK17" s="108"/>
      <c r="AL17" s="108">
        <v>1028000</v>
      </c>
      <c r="AM17" s="109">
        <v>2478728</v>
      </c>
      <c r="AN17" s="78"/>
      <c r="AO17" s="348">
        <v>1365000</v>
      </c>
      <c r="AP17" s="192">
        <f t="shared" si="0"/>
        <v>0.8574842354821323</v>
      </c>
      <c r="AQ17" s="112"/>
      <c r="AR17" s="82"/>
      <c r="AS17" s="113">
        <f t="shared" si="1"/>
        <v>2251862</v>
      </c>
      <c r="AT17" s="114">
        <f t="shared" si="2"/>
        <v>2.1905272373540856</v>
      </c>
      <c r="AU17" s="115">
        <f t="shared" si="3"/>
        <v>0</v>
      </c>
      <c r="AV17" s="86">
        <f t="shared" si="4"/>
        <v>0.9084748306389406</v>
      </c>
      <c r="AW17" s="185">
        <f t="shared" si="5"/>
        <v>226866</v>
      </c>
      <c r="AX17" s="186">
        <f t="shared" si="16"/>
        <v>0</v>
      </c>
      <c r="AY17" s="88"/>
      <c r="AZ17" s="117">
        <f t="shared" si="17"/>
        <v>203731.34328358207</v>
      </c>
      <c r="BA17" s="118">
        <f t="shared" si="18"/>
        <v>368918.9189189189</v>
      </c>
      <c r="BB17" s="88"/>
      <c r="BC17" s="187">
        <v>0</v>
      </c>
      <c r="BD17" s="91"/>
      <c r="BE17" s="92">
        <f t="shared" si="13"/>
        <v>0</v>
      </c>
      <c r="BF17" s="93"/>
      <c r="BG17" s="123"/>
      <c r="BH17" s="123">
        <v>0</v>
      </c>
      <c r="BI17" s="188">
        <v>0</v>
      </c>
      <c r="BJ17" s="189" t="s">
        <v>50</v>
      </c>
      <c r="BK17" s="121" t="s">
        <v>56</v>
      </c>
      <c r="BL17" s="97" t="e">
        <f t="shared" si="9"/>
        <v>#DIV/0!</v>
      </c>
      <c r="BM17" s="98"/>
      <c r="BN17" s="190">
        <f t="shared" si="19"/>
        <v>2.1905272373540856</v>
      </c>
      <c r="BO17" s="114">
        <f t="shared" si="10"/>
        <v>0.9084748306389406</v>
      </c>
      <c r="BP17" s="82"/>
      <c r="BQ17" s="123">
        <f t="shared" si="11"/>
        <v>0</v>
      </c>
      <c r="BR17" s="101"/>
      <c r="BS17" s="123">
        <f t="shared" si="20"/>
        <v>0</v>
      </c>
      <c r="BT17" s="123">
        <f t="shared" si="21"/>
        <v>1365000</v>
      </c>
      <c r="BU17" s="124"/>
      <c r="BV17" s="65" t="s">
        <v>316</v>
      </c>
    </row>
    <row r="18" spans="1:74" ht="71.25">
      <c r="A18" s="103">
        <v>43378692</v>
      </c>
      <c r="B18" s="104" t="s">
        <v>73</v>
      </c>
      <c r="C18" s="184" t="s">
        <v>59</v>
      </c>
      <c r="D18" s="104" t="s">
        <v>63</v>
      </c>
      <c r="E18" s="104" t="s">
        <v>73</v>
      </c>
      <c r="F18" s="105">
        <v>9670040</v>
      </c>
      <c r="G18" s="106"/>
      <c r="H18" s="105">
        <v>25</v>
      </c>
      <c r="I18" s="105">
        <v>3</v>
      </c>
      <c r="J18" s="105">
        <v>5</v>
      </c>
      <c r="K18" s="105">
        <v>9</v>
      </c>
      <c r="L18" s="105">
        <v>6</v>
      </c>
      <c r="M18" s="105">
        <v>2</v>
      </c>
      <c r="N18" s="105">
        <v>11.5</v>
      </c>
      <c r="O18" s="105">
        <v>8.4</v>
      </c>
      <c r="P18" s="184" t="s">
        <v>286</v>
      </c>
      <c r="Q18" s="108">
        <v>826000</v>
      </c>
      <c r="R18" s="108">
        <v>1300000</v>
      </c>
      <c r="S18" s="108">
        <v>0</v>
      </c>
      <c r="T18" s="108">
        <v>0</v>
      </c>
      <c r="U18" s="108">
        <v>118140</v>
      </c>
      <c r="V18" s="108">
        <v>0</v>
      </c>
      <c r="W18" s="108">
        <v>108000</v>
      </c>
      <c r="X18" s="108">
        <v>0</v>
      </c>
      <c r="Y18" s="108">
        <v>291130</v>
      </c>
      <c r="Z18" s="108">
        <v>150000</v>
      </c>
      <c r="AA18" s="108">
        <v>2523418</v>
      </c>
      <c r="AB18" s="108">
        <v>2038000</v>
      </c>
      <c r="AC18" s="108">
        <v>382112</v>
      </c>
      <c r="AD18" s="108">
        <v>600000</v>
      </c>
      <c r="AE18" s="108">
        <v>0</v>
      </c>
      <c r="AF18" s="108">
        <v>0</v>
      </c>
      <c r="AG18" s="108">
        <v>0</v>
      </c>
      <c r="AH18" s="108">
        <v>0</v>
      </c>
      <c r="AI18" s="108">
        <v>119540</v>
      </c>
      <c r="AJ18" s="108">
        <v>110000</v>
      </c>
      <c r="AK18" s="108">
        <v>4368340</v>
      </c>
      <c r="AL18" s="108">
        <v>4172773</v>
      </c>
      <c r="AM18" s="109">
        <v>4198000</v>
      </c>
      <c r="AN18" s="78"/>
      <c r="AO18" s="348">
        <v>1300000</v>
      </c>
      <c r="AP18" s="192">
        <f t="shared" si="0"/>
        <v>1</v>
      </c>
      <c r="AQ18" s="112">
        <f aca="true" t="shared" si="22" ref="AQ18:AQ27">-1+AO18/Q18</f>
        <v>0.5738498789346247</v>
      </c>
      <c r="AR18" s="82"/>
      <c r="AS18" s="113">
        <f t="shared" si="1"/>
        <v>4198000</v>
      </c>
      <c r="AT18" s="114">
        <f t="shared" si="2"/>
        <v>0.9610057825169286</v>
      </c>
      <c r="AU18" s="115">
        <f t="shared" si="3"/>
        <v>170340</v>
      </c>
      <c r="AV18" s="86">
        <f t="shared" si="4"/>
        <v>1</v>
      </c>
      <c r="AW18" s="185">
        <f t="shared" si="5"/>
        <v>0</v>
      </c>
      <c r="AX18" s="186">
        <f t="shared" si="16"/>
        <v>62340</v>
      </c>
      <c r="AY18" s="88"/>
      <c r="AZ18" s="117">
        <f t="shared" si="17"/>
        <v>113043.47826086957</v>
      </c>
      <c r="BA18" s="118">
        <f t="shared" si="18"/>
        <v>154761.90476190476</v>
      </c>
      <c r="BB18" s="88"/>
      <c r="BC18" s="187">
        <v>0</v>
      </c>
      <c r="BD18" s="91"/>
      <c r="BE18" s="92">
        <f t="shared" si="13"/>
        <v>0</v>
      </c>
      <c r="BF18" s="93">
        <f t="shared" si="14"/>
        <v>1.39186295503212</v>
      </c>
      <c r="BG18" s="123"/>
      <c r="BH18" s="123">
        <v>0</v>
      </c>
      <c r="BI18" s="188">
        <v>0</v>
      </c>
      <c r="BJ18" s="189" t="s">
        <v>50</v>
      </c>
      <c r="BK18" s="121" t="s">
        <v>60</v>
      </c>
      <c r="BL18" s="97">
        <f t="shared" si="9"/>
        <v>1.39186295503212</v>
      </c>
      <c r="BM18" s="98"/>
      <c r="BN18" s="190">
        <f t="shared" si="19"/>
        <v>1.006045620022944</v>
      </c>
      <c r="BO18" s="114">
        <f t="shared" si="10"/>
        <v>1</v>
      </c>
      <c r="BP18" s="82"/>
      <c r="BQ18" s="123">
        <f t="shared" si="11"/>
        <v>0</v>
      </c>
      <c r="BR18" s="101"/>
      <c r="BS18" s="123">
        <f t="shared" si="20"/>
        <v>934000</v>
      </c>
      <c r="BT18" s="123">
        <f t="shared" si="21"/>
        <v>1300000</v>
      </c>
      <c r="BU18" s="124">
        <f t="shared" si="12"/>
        <v>0.39186295503212</v>
      </c>
      <c r="BV18" s="65" t="s">
        <v>311</v>
      </c>
    </row>
    <row r="19" spans="1:74" ht="71.25">
      <c r="A19" s="103">
        <v>43379168</v>
      </c>
      <c r="B19" s="104" t="s">
        <v>74</v>
      </c>
      <c r="C19" s="104" t="s">
        <v>59</v>
      </c>
      <c r="D19" s="104" t="s">
        <v>63</v>
      </c>
      <c r="E19" s="104" t="s">
        <v>75</v>
      </c>
      <c r="F19" s="105">
        <v>3255669</v>
      </c>
      <c r="G19" s="106"/>
      <c r="H19" s="105">
        <v>21</v>
      </c>
      <c r="I19" s="105">
        <v>1</v>
      </c>
      <c r="J19" s="105">
        <v>5</v>
      </c>
      <c r="K19" s="105">
        <v>8</v>
      </c>
      <c r="L19" s="105">
        <v>4</v>
      </c>
      <c r="M19" s="105">
        <v>3</v>
      </c>
      <c r="N19" s="105">
        <v>7.3</v>
      </c>
      <c r="O19" s="105">
        <v>6</v>
      </c>
      <c r="P19" s="184" t="s">
        <v>287</v>
      </c>
      <c r="Q19" s="108">
        <v>918000</v>
      </c>
      <c r="R19" s="108">
        <v>918000</v>
      </c>
      <c r="S19" s="108">
        <v>0</v>
      </c>
      <c r="T19" s="108">
        <v>0</v>
      </c>
      <c r="U19" s="108">
        <v>0</v>
      </c>
      <c r="V19" s="108">
        <v>0</v>
      </c>
      <c r="W19" s="108">
        <v>108000</v>
      </c>
      <c r="X19" s="108">
        <v>0</v>
      </c>
      <c r="Y19" s="108">
        <v>0</v>
      </c>
      <c r="Z19" s="108">
        <v>0</v>
      </c>
      <c r="AA19" s="108">
        <v>1305109</v>
      </c>
      <c r="AB19" s="108">
        <v>1530000</v>
      </c>
      <c r="AC19" s="108">
        <v>474921</v>
      </c>
      <c r="AD19" s="108">
        <v>505000</v>
      </c>
      <c r="AE19" s="108">
        <v>0</v>
      </c>
      <c r="AF19" s="108">
        <v>0</v>
      </c>
      <c r="AG19" s="108">
        <v>0</v>
      </c>
      <c r="AH19" s="108">
        <v>0</v>
      </c>
      <c r="AI19" s="108">
        <v>8450</v>
      </c>
      <c r="AJ19" s="108">
        <v>10000</v>
      </c>
      <c r="AK19" s="108">
        <v>2814480</v>
      </c>
      <c r="AL19" s="108">
        <v>2834000</v>
      </c>
      <c r="AM19" s="109">
        <v>2963000</v>
      </c>
      <c r="AN19" s="78"/>
      <c r="AO19" s="348">
        <v>918000</v>
      </c>
      <c r="AP19" s="192">
        <f t="shared" si="0"/>
        <v>1</v>
      </c>
      <c r="AQ19" s="112">
        <f t="shared" si="22"/>
        <v>0</v>
      </c>
      <c r="AR19" s="82"/>
      <c r="AS19" s="113">
        <f t="shared" si="1"/>
        <v>2963000</v>
      </c>
      <c r="AT19" s="114">
        <f t="shared" si="2"/>
        <v>1.052769961058526</v>
      </c>
      <c r="AU19" s="115">
        <f t="shared" si="3"/>
        <v>0</v>
      </c>
      <c r="AV19" s="86">
        <f t="shared" si="4"/>
        <v>1</v>
      </c>
      <c r="AW19" s="185">
        <f t="shared" si="5"/>
        <v>0</v>
      </c>
      <c r="AX19" s="186">
        <f t="shared" si="16"/>
        <v>0</v>
      </c>
      <c r="AY19" s="88"/>
      <c r="AZ19" s="117">
        <f t="shared" si="17"/>
        <v>125753.42465753425</v>
      </c>
      <c r="BA19" s="118">
        <f t="shared" si="18"/>
        <v>153000</v>
      </c>
      <c r="BB19" s="88"/>
      <c r="BC19" s="187">
        <v>0</v>
      </c>
      <c r="BD19" s="91">
        <f t="shared" si="8"/>
        <v>210600</v>
      </c>
      <c r="BE19" s="92">
        <f t="shared" si="13"/>
        <v>0</v>
      </c>
      <c r="BF19" s="93">
        <f t="shared" si="14"/>
        <v>0.8947368421052632</v>
      </c>
      <c r="BG19" s="123"/>
      <c r="BH19" s="123">
        <v>0</v>
      </c>
      <c r="BI19" s="188">
        <v>0</v>
      </c>
      <c r="BJ19" s="189" t="s">
        <v>50</v>
      </c>
      <c r="BK19" s="121" t="s">
        <v>60</v>
      </c>
      <c r="BL19" s="97">
        <f t="shared" si="9"/>
        <v>0.8947368421052632</v>
      </c>
      <c r="BM19" s="98"/>
      <c r="BN19" s="190">
        <f t="shared" si="19"/>
        <v>1.0455187014820042</v>
      </c>
      <c r="BO19" s="114">
        <f t="shared" si="10"/>
        <v>1</v>
      </c>
      <c r="BP19" s="82"/>
      <c r="BQ19" s="123">
        <f t="shared" si="11"/>
        <v>0</v>
      </c>
      <c r="BR19" s="101"/>
      <c r="BS19" s="123">
        <f t="shared" si="20"/>
        <v>1026000</v>
      </c>
      <c r="BT19" s="123">
        <f t="shared" si="21"/>
        <v>918000</v>
      </c>
      <c r="BU19" s="124">
        <f t="shared" si="12"/>
        <v>-0.10526315789473684</v>
      </c>
      <c r="BV19" s="65" t="s">
        <v>317</v>
      </c>
    </row>
    <row r="20" spans="1:74" ht="28.5">
      <c r="A20" s="103">
        <v>44990260</v>
      </c>
      <c r="B20" s="104" t="s">
        <v>76</v>
      </c>
      <c r="C20" s="104" t="s">
        <v>47</v>
      </c>
      <c r="D20" s="104" t="s">
        <v>63</v>
      </c>
      <c r="E20" s="104" t="s">
        <v>77</v>
      </c>
      <c r="F20" s="105">
        <v>4409498</v>
      </c>
      <c r="G20" s="105">
        <v>0</v>
      </c>
      <c r="H20" s="105">
        <v>11</v>
      </c>
      <c r="I20" s="105">
        <v>0</v>
      </c>
      <c r="J20" s="105">
        <v>0</v>
      </c>
      <c r="K20" s="105">
        <v>3</v>
      </c>
      <c r="L20" s="105">
        <v>7</v>
      </c>
      <c r="M20" s="105">
        <v>1</v>
      </c>
      <c r="N20" s="105">
        <v>5.2</v>
      </c>
      <c r="O20" s="105">
        <v>3.7</v>
      </c>
      <c r="P20" s="184" t="s">
        <v>288</v>
      </c>
      <c r="Q20" s="108">
        <v>920000</v>
      </c>
      <c r="R20" s="108">
        <v>935000</v>
      </c>
      <c r="S20" s="108">
        <v>0</v>
      </c>
      <c r="T20" s="108">
        <v>0</v>
      </c>
      <c r="U20" s="108">
        <v>0</v>
      </c>
      <c r="V20" s="108">
        <v>0</v>
      </c>
      <c r="W20" s="108">
        <v>283265</v>
      </c>
      <c r="X20" s="108">
        <v>213000</v>
      </c>
      <c r="Y20" s="108">
        <v>680000</v>
      </c>
      <c r="Z20" s="108">
        <v>680000</v>
      </c>
      <c r="AA20" s="108">
        <v>0</v>
      </c>
      <c r="AB20" s="108">
        <v>0</v>
      </c>
      <c r="AC20" s="108">
        <v>332487</v>
      </c>
      <c r="AD20" s="108">
        <v>400000</v>
      </c>
      <c r="AE20" s="108">
        <v>0</v>
      </c>
      <c r="AF20" s="108">
        <v>0</v>
      </c>
      <c r="AG20" s="108">
        <v>0</v>
      </c>
      <c r="AH20" s="108">
        <v>0</v>
      </c>
      <c r="AI20" s="108">
        <v>80300</v>
      </c>
      <c r="AJ20" s="108">
        <v>0</v>
      </c>
      <c r="AK20" s="108">
        <v>2296051</v>
      </c>
      <c r="AL20" s="108">
        <v>2296692</v>
      </c>
      <c r="AM20" s="109">
        <v>2228000</v>
      </c>
      <c r="AN20" s="78"/>
      <c r="AO20" s="348">
        <v>935000</v>
      </c>
      <c r="AP20" s="192">
        <f t="shared" si="0"/>
        <v>1</v>
      </c>
      <c r="AQ20" s="112">
        <f t="shared" si="22"/>
        <v>0.016304347826086918</v>
      </c>
      <c r="AR20" s="82"/>
      <c r="AS20" s="113">
        <f t="shared" si="1"/>
        <v>2015000</v>
      </c>
      <c r="AT20" s="114">
        <f t="shared" si="2"/>
        <v>0.8775933646102092</v>
      </c>
      <c r="AU20" s="115">
        <f t="shared" si="3"/>
        <v>281052</v>
      </c>
      <c r="AV20" s="86">
        <f t="shared" si="4"/>
        <v>0.9043985637342908</v>
      </c>
      <c r="AW20" s="185">
        <f t="shared" si="5"/>
        <v>213000</v>
      </c>
      <c r="AX20" s="186">
        <f t="shared" si="16"/>
        <v>0</v>
      </c>
      <c r="AY20" s="88"/>
      <c r="AZ20" s="117">
        <f t="shared" si="17"/>
        <v>179807.6923076923</v>
      </c>
      <c r="BA20" s="118">
        <f t="shared" si="18"/>
        <v>252702.7027027027</v>
      </c>
      <c r="BB20" s="88"/>
      <c r="BC20" s="187">
        <v>198286</v>
      </c>
      <c r="BD20" s="91">
        <f t="shared" si="8"/>
        <v>190305.5</v>
      </c>
      <c r="BE20" s="92">
        <f t="shared" si="13"/>
        <v>14714</v>
      </c>
      <c r="BF20" s="93">
        <f t="shared" si="14"/>
        <v>0.9540707990342941</v>
      </c>
      <c r="BG20" s="123"/>
      <c r="BH20" s="123">
        <v>14714</v>
      </c>
      <c r="BI20" s="188">
        <v>14714</v>
      </c>
      <c r="BJ20" s="189" t="s">
        <v>50</v>
      </c>
      <c r="BK20" s="121" t="s">
        <v>51</v>
      </c>
      <c r="BL20" s="97">
        <f t="shared" si="9"/>
        <v>0.9540707990342941</v>
      </c>
      <c r="BM20" s="98"/>
      <c r="BN20" s="190">
        <f t="shared" si="19"/>
        <v>0.9700908959494786</v>
      </c>
      <c r="BO20" s="114">
        <f t="shared" si="10"/>
        <v>1</v>
      </c>
      <c r="BP20" s="82"/>
      <c r="BQ20" s="123">
        <f t="shared" si="11"/>
        <v>213000</v>
      </c>
      <c r="BR20" s="101"/>
      <c r="BS20" s="123">
        <f t="shared" si="20"/>
        <v>1203265</v>
      </c>
      <c r="BT20" s="123">
        <f t="shared" si="21"/>
        <v>1148000</v>
      </c>
      <c r="BU20" s="124">
        <f t="shared" si="12"/>
        <v>-0.04592920096570585</v>
      </c>
      <c r="BV20" s="65" t="s">
        <v>318</v>
      </c>
    </row>
    <row r="21" spans="1:74" ht="67.5" customHeight="1">
      <c r="A21" s="103">
        <v>44990260</v>
      </c>
      <c r="B21" s="104" t="s">
        <v>76</v>
      </c>
      <c r="C21" s="104" t="s">
        <v>47</v>
      </c>
      <c r="D21" s="104" t="s">
        <v>63</v>
      </c>
      <c r="E21" s="104" t="s">
        <v>78</v>
      </c>
      <c r="F21" s="105">
        <v>8089034</v>
      </c>
      <c r="G21" s="105">
        <v>0</v>
      </c>
      <c r="H21" s="105">
        <v>46</v>
      </c>
      <c r="I21" s="105">
        <v>11</v>
      </c>
      <c r="J21" s="105">
        <v>16</v>
      </c>
      <c r="K21" s="105">
        <v>4</v>
      </c>
      <c r="L21" s="105">
        <v>1</v>
      </c>
      <c r="M21" s="105">
        <v>14</v>
      </c>
      <c r="N21" s="105">
        <v>5.4</v>
      </c>
      <c r="O21" s="105">
        <v>4.5</v>
      </c>
      <c r="P21" s="184" t="s">
        <v>289</v>
      </c>
      <c r="Q21" s="108">
        <v>1112000</v>
      </c>
      <c r="R21" s="108">
        <v>1160000</v>
      </c>
      <c r="S21" s="108">
        <v>0</v>
      </c>
      <c r="T21" s="108">
        <v>0</v>
      </c>
      <c r="U21" s="191"/>
      <c r="V21" s="108">
        <v>0</v>
      </c>
      <c r="W21" s="108">
        <v>361198</v>
      </c>
      <c r="X21" s="108">
        <v>362000</v>
      </c>
      <c r="Y21" s="108">
        <v>450057</v>
      </c>
      <c r="Z21" s="108">
        <v>360000</v>
      </c>
      <c r="AA21" s="108">
        <v>0</v>
      </c>
      <c r="AB21" s="108">
        <v>0</v>
      </c>
      <c r="AC21" s="108">
        <v>298862</v>
      </c>
      <c r="AD21" s="108">
        <v>307000</v>
      </c>
      <c r="AE21" s="108">
        <v>0</v>
      </c>
      <c r="AF21" s="108">
        <v>0</v>
      </c>
      <c r="AG21" s="108">
        <v>0</v>
      </c>
      <c r="AH21" s="108">
        <v>0</v>
      </c>
      <c r="AI21" s="108">
        <v>57795</v>
      </c>
      <c r="AJ21" s="108">
        <v>35800</v>
      </c>
      <c r="AK21" s="108">
        <v>2279912</v>
      </c>
      <c r="AL21" s="108">
        <v>2279976</v>
      </c>
      <c r="AM21" s="109">
        <v>2224800</v>
      </c>
      <c r="AN21" s="78"/>
      <c r="AO21" s="348">
        <v>363000</v>
      </c>
      <c r="AP21" s="192">
        <f t="shared" si="0"/>
        <v>0.3129310344827586</v>
      </c>
      <c r="AQ21" s="112">
        <f t="shared" si="22"/>
        <v>-0.6735611510791366</v>
      </c>
      <c r="AR21" s="82"/>
      <c r="AS21" s="113">
        <f t="shared" si="1"/>
        <v>1065800</v>
      </c>
      <c r="AT21" s="114">
        <f t="shared" si="2"/>
        <v>0.46747418321408896</v>
      </c>
      <c r="AU21" s="115">
        <f t="shared" si="3"/>
        <v>1214112</v>
      </c>
      <c r="AV21" s="86">
        <f t="shared" si="4"/>
        <v>0.47905429701546204</v>
      </c>
      <c r="AW21" s="185">
        <f t="shared" si="5"/>
        <v>1159000</v>
      </c>
      <c r="AX21" s="186">
        <f t="shared" si="16"/>
        <v>852914</v>
      </c>
      <c r="AY21" s="88"/>
      <c r="AZ21" s="117">
        <f t="shared" si="17"/>
        <v>67222.22222222222</v>
      </c>
      <c r="BA21" s="118">
        <f t="shared" si="18"/>
        <v>80666.66666666667</v>
      </c>
      <c r="BB21" s="88"/>
      <c r="BC21" s="187">
        <v>252840</v>
      </c>
      <c r="BD21" s="91">
        <f t="shared" si="8"/>
        <v>1004677.8</v>
      </c>
      <c r="BE21" s="92">
        <f t="shared" si="13"/>
        <v>109160</v>
      </c>
      <c r="BF21" s="93">
        <f t="shared" si="14"/>
        <v>0.49212665235766</v>
      </c>
      <c r="BG21" s="123">
        <f>IF(BF21&lt;$BG$3,(0.7*(Q21+W21))-(AO21+BC21),0)</f>
        <v>415398.6</v>
      </c>
      <c r="BH21" s="123">
        <v>600000</v>
      </c>
      <c r="BI21" s="188">
        <v>710000</v>
      </c>
      <c r="BJ21" s="189" t="s">
        <v>50</v>
      </c>
      <c r="BK21" s="121" t="s">
        <v>51</v>
      </c>
      <c r="BL21" s="97">
        <f t="shared" si="9"/>
        <v>0.8253065779345342</v>
      </c>
      <c r="BM21" s="98">
        <f>(0.9*(Q21+S21+W21))-(T21+AO21+BC21+BH21)</f>
        <v>110038.19999999995</v>
      </c>
      <c r="BN21" s="190">
        <f t="shared" si="19"/>
        <v>0.8897637518991428</v>
      </c>
      <c r="BO21" s="114">
        <f t="shared" si="10"/>
        <v>0.9118302768788206</v>
      </c>
      <c r="BP21" s="82"/>
      <c r="BQ21" s="123">
        <f t="shared" si="11"/>
        <v>962840</v>
      </c>
      <c r="BR21" s="101"/>
      <c r="BS21" s="123">
        <f t="shared" si="20"/>
        <v>1473198</v>
      </c>
      <c r="BT21" s="123">
        <f t="shared" si="21"/>
        <v>1325840</v>
      </c>
      <c r="BU21" s="124">
        <f t="shared" si="12"/>
        <v>-0.10002592998361393</v>
      </c>
      <c r="BV21" s="65" t="s">
        <v>319</v>
      </c>
    </row>
    <row r="22" spans="1:74" ht="65.25" customHeight="1">
      <c r="A22" s="103">
        <v>44990260</v>
      </c>
      <c r="B22" s="104" t="s">
        <v>76</v>
      </c>
      <c r="C22" s="104" t="s">
        <v>47</v>
      </c>
      <c r="D22" s="104" t="s">
        <v>63</v>
      </c>
      <c r="E22" s="104" t="s">
        <v>79</v>
      </c>
      <c r="F22" s="105">
        <v>8981293</v>
      </c>
      <c r="G22" s="105">
        <v>0</v>
      </c>
      <c r="H22" s="105">
        <v>43</v>
      </c>
      <c r="I22" s="105">
        <v>3</v>
      </c>
      <c r="J22" s="105">
        <v>22</v>
      </c>
      <c r="K22" s="105">
        <v>16</v>
      </c>
      <c r="L22" s="105">
        <v>2</v>
      </c>
      <c r="M22" s="105">
        <v>0</v>
      </c>
      <c r="N22" s="105">
        <v>7.2</v>
      </c>
      <c r="O22" s="105">
        <v>6.2</v>
      </c>
      <c r="P22" s="184" t="s">
        <v>289</v>
      </c>
      <c r="Q22" s="108">
        <v>1747000</v>
      </c>
      <c r="R22" s="108">
        <v>1810000</v>
      </c>
      <c r="S22" s="108">
        <v>0</v>
      </c>
      <c r="T22" s="108">
        <v>0</v>
      </c>
      <c r="U22" s="191">
        <v>0</v>
      </c>
      <c r="V22" s="108">
        <v>0</v>
      </c>
      <c r="W22" s="108">
        <v>555647</v>
      </c>
      <c r="X22" s="108">
        <v>560000</v>
      </c>
      <c r="Y22" s="108">
        <v>151000</v>
      </c>
      <c r="Z22" s="108">
        <v>250000</v>
      </c>
      <c r="AA22" s="108">
        <v>0</v>
      </c>
      <c r="AB22" s="108">
        <v>0</v>
      </c>
      <c r="AC22" s="108">
        <v>370494</v>
      </c>
      <c r="AD22" s="108">
        <v>318000</v>
      </c>
      <c r="AE22" s="108">
        <v>0</v>
      </c>
      <c r="AF22" s="108">
        <v>0</v>
      </c>
      <c r="AG22" s="108">
        <v>0</v>
      </c>
      <c r="AH22" s="108">
        <v>0</v>
      </c>
      <c r="AI22" s="108">
        <v>114581</v>
      </c>
      <c r="AJ22" s="108">
        <v>53600</v>
      </c>
      <c r="AK22" s="108">
        <v>3014683</v>
      </c>
      <c r="AL22" s="108">
        <v>3014773</v>
      </c>
      <c r="AM22" s="109">
        <v>2991600</v>
      </c>
      <c r="AN22" s="78"/>
      <c r="AO22" s="348">
        <v>1096000</v>
      </c>
      <c r="AP22" s="192">
        <f t="shared" si="0"/>
        <v>0.605524861878453</v>
      </c>
      <c r="AQ22" s="112">
        <f t="shared" si="22"/>
        <v>-0.3726388093875215</v>
      </c>
      <c r="AR22" s="82"/>
      <c r="AS22" s="113">
        <f t="shared" si="1"/>
        <v>1717600</v>
      </c>
      <c r="AT22" s="114">
        <f t="shared" si="2"/>
        <v>0.5844717533676204</v>
      </c>
      <c r="AU22" s="115">
        <f t="shared" si="3"/>
        <v>1221122</v>
      </c>
      <c r="AV22" s="86">
        <f t="shared" si="4"/>
        <v>0.5741409279315417</v>
      </c>
      <c r="AW22" s="185">
        <f t="shared" si="5"/>
        <v>1274000</v>
      </c>
      <c r="AX22" s="186">
        <f t="shared" si="16"/>
        <v>665475</v>
      </c>
      <c r="AY22" s="88"/>
      <c r="AZ22" s="117">
        <f t="shared" si="17"/>
        <v>152222.22222222222</v>
      </c>
      <c r="BA22" s="118">
        <f t="shared" si="18"/>
        <v>176774.1935483871</v>
      </c>
      <c r="BB22" s="88"/>
      <c r="BC22" s="187">
        <v>388990</v>
      </c>
      <c r="BD22" s="91">
        <f t="shared" si="8"/>
        <v>1047921.7000000002</v>
      </c>
      <c r="BE22" s="92">
        <f t="shared" si="13"/>
        <v>171010</v>
      </c>
      <c r="BF22" s="93">
        <f t="shared" si="14"/>
        <v>0.7191723264573336</v>
      </c>
      <c r="BG22" s="123">
        <f>IF(BF22&lt;$BG$3,(0.7*(Q22+W22))-(AO22+BC22),0)</f>
        <v>126862.8999999999</v>
      </c>
      <c r="BH22" s="123">
        <v>370000</v>
      </c>
      <c r="BI22" s="188">
        <v>587000</v>
      </c>
      <c r="BJ22" s="189" t="s">
        <v>50</v>
      </c>
      <c r="BK22" s="121" t="s">
        <v>51</v>
      </c>
      <c r="BL22" s="97">
        <f t="shared" si="9"/>
        <v>0.8055902619897882</v>
      </c>
      <c r="BM22" s="98">
        <f>(0.9*(Q22+S22+W22))-(T22+AO22+BC22+BH22)</f>
        <v>217392.30000000005</v>
      </c>
      <c r="BN22" s="190">
        <f t="shared" si="19"/>
        <v>0.893463620644075</v>
      </c>
      <c r="BO22" s="114">
        <f t="shared" si="10"/>
        <v>0.9003844096804385</v>
      </c>
      <c r="BP22" s="82"/>
      <c r="BQ22" s="123">
        <f t="shared" si="11"/>
        <v>975990</v>
      </c>
      <c r="BR22" s="101"/>
      <c r="BS22" s="123">
        <f t="shared" si="20"/>
        <v>2302647</v>
      </c>
      <c r="BT22" s="123">
        <f t="shared" si="21"/>
        <v>2071990</v>
      </c>
      <c r="BU22" s="124">
        <f t="shared" si="12"/>
        <v>-0.10017036914472777</v>
      </c>
      <c r="BV22" s="65" t="s">
        <v>319</v>
      </c>
    </row>
    <row r="23" spans="1:74" ht="57">
      <c r="A23" s="103">
        <v>60128640</v>
      </c>
      <c r="B23" s="104" t="s">
        <v>80</v>
      </c>
      <c r="C23" s="104" t="s">
        <v>47</v>
      </c>
      <c r="D23" s="104" t="s">
        <v>63</v>
      </c>
      <c r="E23" s="104" t="s">
        <v>81</v>
      </c>
      <c r="F23" s="105">
        <v>7691496</v>
      </c>
      <c r="G23" s="106"/>
      <c r="H23" s="105">
        <v>16</v>
      </c>
      <c r="I23" s="105">
        <v>2</v>
      </c>
      <c r="J23" s="105">
        <v>4</v>
      </c>
      <c r="K23" s="105">
        <v>7</v>
      </c>
      <c r="L23" s="105">
        <v>1</v>
      </c>
      <c r="M23" s="105">
        <v>2</v>
      </c>
      <c r="N23" s="105">
        <v>8.8</v>
      </c>
      <c r="O23" s="105">
        <v>5.4</v>
      </c>
      <c r="P23" s="184" t="s">
        <v>282</v>
      </c>
      <c r="Q23" s="108">
        <v>1614000</v>
      </c>
      <c r="R23" s="108">
        <v>1912483</v>
      </c>
      <c r="S23" s="108">
        <v>14900</v>
      </c>
      <c r="T23" s="108">
        <v>26400</v>
      </c>
      <c r="U23" s="108">
        <v>52562</v>
      </c>
      <c r="V23" s="108">
        <v>0</v>
      </c>
      <c r="W23" s="108">
        <v>459290</v>
      </c>
      <c r="X23" s="108">
        <v>344467</v>
      </c>
      <c r="Y23" s="108">
        <v>198000</v>
      </c>
      <c r="Z23" s="108">
        <v>225000</v>
      </c>
      <c r="AA23" s="108">
        <v>0</v>
      </c>
      <c r="AB23" s="108">
        <v>0</v>
      </c>
      <c r="AC23" s="108">
        <v>381243</v>
      </c>
      <c r="AD23" s="108">
        <v>250000</v>
      </c>
      <c r="AE23" s="108">
        <v>0</v>
      </c>
      <c r="AF23" s="108">
        <v>0</v>
      </c>
      <c r="AG23" s="108">
        <v>0</v>
      </c>
      <c r="AH23" s="108">
        <v>0</v>
      </c>
      <c r="AI23" s="108">
        <v>259043</v>
      </c>
      <c r="AJ23" s="108">
        <v>103369</v>
      </c>
      <c r="AK23" s="108">
        <v>2979038</v>
      </c>
      <c r="AL23" s="108">
        <v>3083004</v>
      </c>
      <c r="AM23" s="109">
        <v>2861719</v>
      </c>
      <c r="AN23" s="78"/>
      <c r="AO23" s="348">
        <v>1407000</v>
      </c>
      <c r="AP23" s="192">
        <f t="shared" si="0"/>
        <v>0.7356928140014839</v>
      </c>
      <c r="AQ23" s="112">
        <f t="shared" si="22"/>
        <v>-0.12825278810408924</v>
      </c>
      <c r="AR23" s="82"/>
      <c r="AS23" s="113">
        <f t="shared" si="1"/>
        <v>2011769</v>
      </c>
      <c r="AT23" s="114">
        <f t="shared" si="2"/>
        <v>0.6753082706565006</v>
      </c>
      <c r="AU23" s="115">
        <f t="shared" si="3"/>
        <v>967269</v>
      </c>
      <c r="AV23" s="86">
        <f t="shared" si="4"/>
        <v>0.702993200939715</v>
      </c>
      <c r="AW23" s="185">
        <f t="shared" si="5"/>
        <v>849950</v>
      </c>
      <c r="AX23" s="186">
        <f t="shared" si="16"/>
        <v>507979</v>
      </c>
      <c r="AY23" s="88"/>
      <c r="AZ23" s="117">
        <f t="shared" si="17"/>
        <v>159886.36363636362</v>
      </c>
      <c r="BA23" s="118">
        <f t="shared" si="18"/>
        <v>260555.55555555553</v>
      </c>
      <c r="BB23" s="88"/>
      <c r="BC23" s="187">
        <v>321503</v>
      </c>
      <c r="BD23" s="91">
        <f t="shared" si="8"/>
        <v>552116</v>
      </c>
      <c r="BE23" s="92">
        <f t="shared" si="13"/>
        <v>22964</v>
      </c>
      <c r="BF23" s="93">
        <f t="shared" si="14"/>
        <v>0.8447766593192462</v>
      </c>
      <c r="BG23" s="123"/>
      <c r="BH23" s="123">
        <v>22964</v>
      </c>
      <c r="BI23" s="188">
        <v>124000</v>
      </c>
      <c r="BJ23" s="189" t="s">
        <v>50</v>
      </c>
      <c r="BK23" s="121" t="s">
        <v>56</v>
      </c>
      <c r="BL23" s="97">
        <f t="shared" si="9"/>
        <v>0.8513913963767665</v>
      </c>
      <c r="BM23" s="98">
        <f>(0.9*(Q23+S23+W23))-(T23+AO23+BC23+BH23)</f>
        <v>101504</v>
      </c>
      <c r="BN23" s="190">
        <f t="shared" si="19"/>
        <v>0.7970382133788992</v>
      </c>
      <c r="BO23" s="114">
        <f t="shared" si="10"/>
        <v>0.8586699113365078</v>
      </c>
      <c r="BP23" s="82"/>
      <c r="BQ23" s="123">
        <f t="shared" si="11"/>
        <v>445503</v>
      </c>
      <c r="BR23" s="101"/>
      <c r="BS23" s="123">
        <f t="shared" si="20"/>
        <v>2073290</v>
      </c>
      <c r="BT23" s="123">
        <f t="shared" si="21"/>
        <v>1852503</v>
      </c>
      <c r="BU23" s="124">
        <f t="shared" si="12"/>
        <v>-0.10649113245132136</v>
      </c>
      <c r="BV23" s="65" t="s">
        <v>320</v>
      </c>
    </row>
    <row r="24" spans="1:74" ht="85.5">
      <c r="A24" s="103">
        <v>70188467</v>
      </c>
      <c r="B24" s="104" t="s">
        <v>58</v>
      </c>
      <c r="C24" s="104" t="s">
        <v>59</v>
      </c>
      <c r="D24" s="104" t="s">
        <v>63</v>
      </c>
      <c r="E24" s="104" t="s">
        <v>81</v>
      </c>
      <c r="F24" s="105">
        <v>9869882</v>
      </c>
      <c r="G24" s="105">
        <v>0</v>
      </c>
      <c r="H24" s="105">
        <v>20</v>
      </c>
      <c r="I24" s="105">
        <v>0</v>
      </c>
      <c r="J24" s="105">
        <v>0</v>
      </c>
      <c r="K24" s="105">
        <v>0</v>
      </c>
      <c r="L24" s="105">
        <v>0</v>
      </c>
      <c r="M24" s="105">
        <v>20</v>
      </c>
      <c r="N24" s="105">
        <v>5.5</v>
      </c>
      <c r="O24" s="105">
        <v>4</v>
      </c>
      <c r="P24" s="184" t="s">
        <v>282</v>
      </c>
      <c r="Q24" s="108">
        <v>274840</v>
      </c>
      <c r="R24" s="108">
        <v>387500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352000</v>
      </c>
      <c r="AB24" s="108">
        <v>1470810</v>
      </c>
      <c r="AC24" s="108">
        <v>70000</v>
      </c>
      <c r="AD24" s="108">
        <v>180000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/>
      <c r="AL24" s="108">
        <v>696840</v>
      </c>
      <c r="AM24" s="109">
        <v>2038310</v>
      </c>
      <c r="AN24" s="78"/>
      <c r="AO24" s="348">
        <v>200000</v>
      </c>
      <c r="AP24" s="192">
        <f t="shared" si="0"/>
        <v>0.5161290322580645</v>
      </c>
      <c r="AQ24" s="112">
        <f t="shared" si="22"/>
        <v>-0.2723038858972493</v>
      </c>
      <c r="AR24" s="82"/>
      <c r="AS24" s="113">
        <f t="shared" si="1"/>
        <v>1850810</v>
      </c>
      <c r="AT24" s="114">
        <f t="shared" si="2"/>
        <v>2.656004247746972</v>
      </c>
      <c r="AU24" s="115">
        <f t="shared" si="3"/>
        <v>0</v>
      </c>
      <c r="AV24" s="86">
        <f t="shared" si="4"/>
        <v>0.9080120295735192</v>
      </c>
      <c r="AW24" s="185">
        <f t="shared" si="5"/>
        <v>187500</v>
      </c>
      <c r="AX24" s="186">
        <f t="shared" si="16"/>
        <v>0</v>
      </c>
      <c r="AY24" s="88"/>
      <c r="AZ24" s="117">
        <f t="shared" si="17"/>
        <v>36363.63636363636</v>
      </c>
      <c r="BA24" s="118">
        <f t="shared" si="18"/>
        <v>50000</v>
      </c>
      <c r="BB24" s="88"/>
      <c r="BC24" s="187">
        <v>0</v>
      </c>
      <c r="BD24" s="91">
        <f t="shared" si="8"/>
        <v>102324</v>
      </c>
      <c r="BE24" s="92">
        <f t="shared" si="13"/>
        <v>0</v>
      </c>
      <c r="BF24" s="93">
        <f t="shared" si="14"/>
        <v>0.7276961141027507</v>
      </c>
      <c r="BG24" s="123"/>
      <c r="BH24" s="123">
        <v>0</v>
      </c>
      <c r="BI24" s="188">
        <v>0</v>
      </c>
      <c r="BJ24" s="189" t="s">
        <v>50</v>
      </c>
      <c r="BK24" s="121" t="s">
        <v>60</v>
      </c>
      <c r="BL24" s="97">
        <f t="shared" si="9"/>
        <v>0.7276961141027507</v>
      </c>
      <c r="BM24" s="98"/>
      <c r="BN24" s="190">
        <f t="shared" si="19"/>
        <v>2.656004247746972</v>
      </c>
      <c r="BO24" s="114">
        <f t="shared" si="10"/>
        <v>0.9080120295735192</v>
      </c>
      <c r="BP24" s="82"/>
      <c r="BQ24" s="123">
        <f t="shared" si="11"/>
        <v>0</v>
      </c>
      <c r="BR24" s="101"/>
      <c r="BS24" s="123">
        <f t="shared" si="20"/>
        <v>274840</v>
      </c>
      <c r="BT24" s="123">
        <f t="shared" si="21"/>
        <v>200000</v>
      </c>
      <c r="BU24" s="124">
        <f t="shared" si="12"/>
        <v>-0.2723038858972493</v>
      </c>
      <c r="BV24" s="65" t="s">
        <v>321</v>
      </c>
    </row>
    <row r="25" spans="1:74" ht="64.5" thickBot="1">
      <c r="A25" s="103">
        <v>60419148</v>
      </c>
      <c r="B25" s="104" t="s">
        <v>229</v>
      </c>
      <c r="C25" s="104" t="s">
        <v>59</v>
      </c>
      <c r="D25" s="184" t="s">
        <v>63</v>
      </c>
      <c r="E25" s="104" t="s">
        <v>230</v>
      </c>
      <c r="F25" s="106"/>
      <c r="G25" s="106"/>
      <c r="H25" s="105">
        <v>38</v>
      </c>
      <c r="I25" s="105">
        <v>2</v>
      </c>
      <c r="J25" s="105">
        <v>6</v>
      </c>
      <c r="K25" s="105">
        <v>12</v>
      </c>
      <c r="L25" s="105">
        <v>11</v>
      </c>
      <c r="M25" s="105">
        <v>7</v>
      </c>
      <c r="N25" s="105">
        <v>17.4</v>
      </c>
      <c r="O25" s="105">
        <v>12.8</v>
      </c>
      <c r="P25" s="184" t="s">
        <v>289</v>
      </c>
      <c r="Q25" s="108">
        <v>603000</v>
      </c>
      <c r="R25" s="108">
        <v>2907654</v>
      </c>
      <c r="S25" s="108">
        <v>0</v>
      </c>
      <c r="T25" s="108">
        <v>0</v>
      </c>
      <c r="U25" s="108">
        <v>0</v>
      </c>
      <c r="V25" s="108">
        <v>0</v>
      </c>
      <c r="W25" s="108">
        <v>120000</v>
      </c>
      <c r="X25" s="108">
        <v>0</v>
      </c>
      <c r="Y25" s="108">
        <v>0</v>
      </c>
      <c r="Z25" s="108">
        <v>0</v>
      </c>
      <c r="AA25" s="108">
        <v>4023000</v>
      </c>
      <c r="AB25" s="108">
        <v>1556346</v>
      </c>
      <c r="AC25" s="108">
        <v>35790</v>
      </c>
      <c r="AD25" s="108">
        <v>300000</v>
      </c>
      <c r="AE25" s="108">
        <v>1218067</v>
      </c>
      <c r="AF25" s="108">
        <v>1400000</v>
      </c>
      <c r="AG25" s="108">
        <v>0</v>
      </c>
      <c r="AH25" s="108">
        <v>0</v>
      </c>
      <c r="AI25" s="108">
        <v>9200</v>
      </c>
      <c r="AJ25" s="108">
        <v>0</v>
      </c>
      <c r="AK25" s="108">
        <v>6009057</v>
      </c>
      <c r="AL25" s="108">
        <v>6009057</v>
      </c>
      <c r="AM25" s="109">
        <v>6164000</v>
      </c>
      <c r="AN25" s="78"/>
      <c r="AO25" s="348">
        <v>2295600</v>
      </c>
      <c r="AP25" s="192">
        <f t="shared" si="0"/>
        <v>0.7895024648737435</v>
      </c>
      <c r="AQ25" s="112">
        <f t="shared" si="22"/>
        <v>2.806965174129353</v>
      </c>
      <c r="AR25" s="82"/>
      <c r="AS25" s="113">
        <f t="shared" si="1"/>
        <v>5551946</v>
      </c>
      <c r="AT25" s="114">
        <f t="shared" si="2"/>
        <v>0.923929661509285</v>
      </c>
      <c r="AU25" s="186">
        <f t="shared" si="3"/>
        <v>457111</v>
      </c>
      <c r="AV25" s="192">
        <f t="shared" si="4"/>
        <v>0.9007050616482803</v>
      </c>
      <c r="AW25" s="185">
        <f t="shared" si="5"/>
        <v>612054</v>
      </c>
      <c r="AX25" s="186">
        <f t="shared" si="16"/>
        <v>337111</v>
      </c>
      <c r="AY25" s="88"/>
      <c r="AZ25" s="137">
        <f t="shared" si="17"/>
        <v>131931.03448275864</v>
      </c>
      <c r="BA25" s="138">
        <f t="shared" si="18"/>
        <v>179343.75</v>
      </c>
      <c r="BB25" s="88"/>
      <c r="BC25" s="193">
        <v>0</v>
      </c>
      <c r="BD25" s="91"/>
      <c r="BE25" s="92">
        <f t="shared" si="13"/>
        <v>0</v>
      </c>
      <c r="BF25" s="93">
        <f t="shared" si="14"/>
        <v>3.175103734439834</v>
      </c>
      <c r="BG25" s="194"/>
      <c r="BH25" s="194">
        <v>0</v>
      </c>
      <c r="BI25" s="195">
        <v>0</v>
      </c>
      <c r="BJ25" s="196" t="s">
        <v>50</v>
      </c>
      <c r="BK25" s="145" t="s">
        <v>60</v>
      </c>
      <c r="BL25" s="97">
        <f t="shared" si="9"/>
        <v>3.175103734439834</v>
      </c>
      <c r="BM25" s="98"/>
      <c r="BN25" s="190">
        <f t="shared" si="19"/>
        <v>0.923929661509285</v>
      </c>
      <c r="BO25" s="114">
        <f t="shared" si="10"/>
        <v>0.9007050616482803</v>
      </c>
      <c r="BP25" s="82"/>
      <c r="BQ25" s="194">
        <f t="shared" si="11"/>
        <v>0</v>
      </c>
      <c r="BR25" s="101"/>
      <c r="BS25" s="194">
        <f t="shared" si="20"/>
        <v>723000</v>
      </c>
      <c r="BT25" s="194">
        <f t="shared" si="21"/>
        <v>2295600</v>
      </c>
      <c r="BU25" s="197">
        <f t="shared" si="12"/>
        <v>2.175103734439834</v>
      </c>
      <c r="BV25" s="65" t="s">
        <v>322</v>
      </c>
    </row>
    <row r="26" spans="1:74" ht="43.5" thickBot="1">
      <c r="A26" s="198">
        <v>75051630</v>
      </c>
      <c r="B26" s="199" t="s">
        <v>82</v>
      </c>
      <c r="C26" s="199" t="s">
        <v>47</v>
      </c>
      <c r="D26" s="199" t="s">
        <v>63</v>
      </c>
      <c r="E26" s="199" t="s">
        <v>82</v>
      </c>
      <c r="F26" s="200">
        <v>1153271</v>
      </c>
      <c r="G26" s="201"/>
      <c r="H26" s="200">
        <v>25</v>
      </c>
      <c r="I26" s="200">
        <v>2</v>
      </c>
      <c r="J26" s="200">
        <v>11</v>
      </c>
      <c r="K26" s="200">
        <v>10</v>
      </c>
      <c r="L26" s="200">
        <v>0</v>
      </c>
      <c r="M26" s="200">
        <v>2</v>
      </c>
      <c r="N26" s="200">
        <v>7.8</v>
      </c>
      <c r="O26" s="200">
        <v>4.9</v>
      </c>
      <c r="P26" s="202" t="s">
        <v>289</v>
      </c>
      <c r="Q26" s="203">
        <v>1109000</v>
      </c>
      <c r="R26" s="203">
        <v>1876761</v>
      </c>
      <c r="S26" s="203">
        <v>0</v>
      </c>
      <c r="T26" s="203">
        <v>0</v>
      </c>
      <c r="U26" s="203">
        <v>0</v>
      </c>
      <c r="V26" s="203">
        <v>20000</v>
      </c>
      <c r="W26" s="203">
        <v>149065</v>
      </c>
      <c r="X26" s="203">
        <v>75000</v>
      </c>
      <c r="Y26" s="203">
        <v>25000</v>
      </c>
      <c r="Z26" s="203">
        <v>120000</v>
      </c>
      <c r="AA26" s="203">
        <v>0</v>
      </c>
      <c r="AB26" s="203">
        <v>50000</v>
      </c>
      <c r="AC26" s="203">
        <v>215865</v>
      </c>
      <c r="AD26" s="203">
        <v>356000</v>
      </c>
      <c r="AE26" s="203">
        <v>0</v>
      </c>
      <c r="AF26" s="203">
        <v>0</v>
      </c>
      <c r="AG26" s="203">
        <v>0</v>
      </c>
      <c r="AH26" s="203">
        <v>0</v>
      </c>
      <c r="AI26" s="203">
        <v>477267</v>
      </c>
      <c r="AJ26" s="203">
        <v>203202</v>
      </c>
      <c r="AK26" s="203">
        <v>1976197</v>
      </c>
      <c r="AL26" s="203">
        <v>1863323</v>
      </c>
      <c r="AM26" s="204">
        <v>2700963</v>
      </c>
      <c r="AN26" s="78"/>
      <c r="AO26" s="343">
        <v>1307000</v>
      </c>
      <c r="AP26" s="208">
        <f t="shared" si="0"/>
        <v>0.6964125959565443</v>
      </c>
      <c r="AQ26" s="205">
        <f t="shared" si="22"/>
        <v>0.17853922452660065</v>
      </c>
      <c r="AR26" s="82"/>
      <c r="AS26" s="206">
        <f t="shared" si="1"/>
        <v>2056202</v>
      </c>
      <c r="AT26" s="207">
        <f t="shared" si="2"/>
        <v>1.0404843241842792</v>
      </c>
      <c r="AU26" s="134">
        <f t="shared" si="3"/>
        <v>0</v>
      </c>
      <c r="AV26" s="208">
        <f t="shared" si="4"/>
        <v>0.7612847713944989</v>
      </c>
      <c r="AW26" s="209">
        <f t="shared" si="5"/>
        <v>644761</v>
      </c>
      <c r="AX26" s="210">
        <f t="shared" si="16"/>
        <v>0</v>
      </c>
      <c r="AY26" s="88"/>
      <c r="AZ26" s="137">
        <f t="shared" si="17"/>
        <v>167564.10256410256</v>
      </c>
      <c r="BA26" s="138">
        <f t="shared" si="18"/>
        <v>266734.693877551</v>
      </c>
      <c r="BB26" s="88"/>
      <c r="BC26" s="211">
        <v>0</v>
      </c>
      <c r="BD26" s="140">
        <f t="shared" si="8"/>
        <v>76871.5</v>
      </c>
      <c r="BE26" s="141">
        <f t="shared" si="13"/>
        <v>75000</v>
      </c>
      <c r="BF26" s="142">
        <f t="shared" si="14"/>
        <v>1.098512398008052</v>
      </c>
      <c r="BG26" s="147"/>
      <c r="BH26" s="212">
        <v>75000</v>
      </c>
      <c r="BI26" s="213">
        <v>75000</v>
      </c>
      <c r="BJ26" s="196" t="s">
        <v>50</v>
      </c>
      <c r="BK26" s="145" t="s">
        <v>56</v>
      </c>
      <c r="BL26" s="97">
        <f t="shared" si="9"/>
        <v>1.098512398008052</v>
      </c>
      <c r="BM26" s="98"/>
      <c r="BN26" s="214">
        <f t="shared" si="19"/>
        <v>1.1437641246311026</v>
      </c>
      <c r="BO26" s="133">
        <f t="shared" si="10"/>
        <v>0.7890526452972514</v>
      </c>
      <c r="BP26" s="82"/>
      <c r="BQ26" s="212">
        <f t="shared" si="11"/>
        <v>75000</v>
      </c>
      <c r="BR26" s="101"/>
      <c r="BS26" s="212">
        <f t="shared" si="20"/>
        <v>1258065</v>
      </c>
      <c r="BT26" s="212">
        <f t="shared" si="21"/>
        <v>1382000</v>
      </c>
      <c r="BU26" s="148">
        <f t="shared" si="12"/>
        <v>0.098512398008052</v>
      </c>
      <c r="BV26" s="66" t="s">
        <v>323</v>
      </c>
    </row>
    <row r="27" spans="1:74" ht="15" thickBot="1">
      <c r="A27" s="167" t="s">
        <v>61</v>
      </c>
      <c r="B27" s="71"/>
      <c r="C27" s="71"/>
      <c r="D27" s="71"/>
      <c r="E27" s="7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4">
        <f>SUM(Q11:Q26)</f>
        <v>12397840</v>
      </c>
      <c r="R27" s="152">
        <f aca="true" t="shared" si="23" ref="R27:AM27">SUM(R11:R26)</f>
        <v>19632524</v>
      </c>
      <c r="S27" s="152">
        <f t="shared" si="23"/>
        <v>14900</v>
      </c>
      <c r="T27" s="152">
        <f t="shared" si="23"/>
        <v>26400</v>
      </c>
      <c r="U27" s="152">
        <f t="shared" si="23"/>
        <v>250914</v>
      </c>
      <c r="V27" s="152">
        <f t="shared" si="23"/>
        <v>29000</v>
      </c>
      <c r="W27" s="152">
        <f t="shared" si="23"/>
        <v>2921878</v>
      </c>
      <c r="X27" s="152">
        <f t="shared" si="23"/>
        <v>2211467</v>
      </c>
      <c r="Y27" s="152">
        <f t="shared" si="23"/>
        <v>2311680</v>
      </c>
      <c r="Z27" s="152">
        <f t="shared" si="23"/>
        <v>2268000</v>
      </c>
      <c r="AA27" s="152">
        <f t="shared" si="23"/>
        <v>12041077</v>
      </c>
      <c r="AB27" s="152">
        <f t="shared" si="23"/>
        <v>10044656</v>
      </c>
      <c r="AC27" s="152">
        <f t="shared" si="23"/>
        <v>4471387</v>
      </c>
      <c r="AD27" s="152">
        <f t="shared" si="23"/>
        <v>5751695</v>
      </c>
      <c r="AE27" s="152">
        <f t="shared" si="23"/>
        <v>1218067</v>
      </c>
      <c r="AF27" s="152">
        <f t="shared" si="23"/>
        <v>1400000</v>
      </c>
      <c r="AG27" s="152">
        <f t="shared" si="23"/>
        <v>1000000</v>
      </c>
      <c r="AH27" s="152">
        <f t="shared" si="23"/>
        <v>632862</v>
      </c>
      <c r="AI27" s="152">
        <f t="shared" si="23"/>
        <v>2058131</v>
      </c>
      <c r="AJ27" s="152">
        <f t="shared" si="23"/>
        <v>1068332</v>
      </c>
      <c r="AK27" s="152"/>
      <c r="AL27" s="152">
        <f t="shared" si="23"/>
        <v>37946427</v>
      </c>
      <c r="AM27" s="154">
        <f t="shared" si="23"/>
        <v>43064936</v>
      </c>
      <c r="AN27" s="153"/>
      <c r="AO27" s="154">
        <f>SUM(AO11:AO26)</f>
        <v>15341600</v>
      </c>
      <c r="AP27" s="41">
        <f t="shared" si="0"/>
        <v>0.7814379852534499</v>
      </c>
      <c r="AQ27" s="40">
        <f t="shared" si="22"/>
        <v>0.23744136075316336</v>
      </c>
      <c r="AR27" s="1"/>
      <c r="AS27" s="155">
        <f t="shared" si="1"/>
        <v>36562545</v>
      </c>
      <c r="AT27" s="207">
        <f t="shared" si="2"/>
        <v>0.9451135833198443</v>
      </c>
      <c r="AU27" s="156">
        <f>SUM(AU10:AU26)</f>
        <v>5518757</v>
      </c>
      <c r="AV27" s="215">
        <f t="shared" si="4"/>
        <v>0.8490096211915884</v>
      </c>
      <c r="AW27" s="216">
        <f>SUM(AW11:AW26)</f>
        <v>6502391</v>
      </c>
      <c r="AX27" s="210">
        <f>SUM(AX10:AX26)</f>
        <v>2883954</v>
      </c>
      <c r="AY27" s="88"/>
      <c r="AZ27" s="158"/>
      <c r="BA27" s="158"/>
      <c r="BB27" s="88"/>
      <c r="BC27" s="160">
        <f>SUM(BC11:BC26)</f>
        <v>1414812</v>
      </c>
      <c r="BD27" s="160">
        <f>SUM(BD11:BD26)</f>
        <v>3523177.8000000007</v>
      </c>
      <c r="BE27" s="161">
        <f>SUM(BE11:BE26)</f>
        <v>546009.3000000002</v>
      </c>
      <c r="BF27" s="160"/>
      <c r="BG27" s="217">
        <f>SUM(BG11:BG26)</f>
        <v>590561.4999999999</v>
      </c>
      <c r="BH27" s="161">
        <f>SUM(BH11:BH26)</f>
        <v>1630978</v>
      </c>
      <c r="BI27" s="57">
        <f>SUM(BI11:BI26)</f>
        <v>2210714</v>
      </c>
      <c r="BJ27" s="162"/>
      <c r="BK27" s="162"/>
      <c r="BL27" s="97">
        <f t="shared" si="9"/>
        <v>1.2007987417749826</v>
      </c>
      <c r="BM27" s="98"/>
      <c r="BN27" s="82"/>
      <c r="BO27" s="82"/>
      <c r="BP27" s="82"/>
      <c r="BQ27" s="161">
        <f>SUM(BQ11:BQ26)</f>
        <v>3625526</v>
      </c>
      <c r="BR27" s="101"/>
      <c r="BS27" s="161">
        <f t="shared" si="20"/>
        <v>15319718</v>
      </c>
      <c r="BT27" s="161">
        <f t="shared" si="21"/>
        <v>18967126</v>
      </c>
      <c r="BU27" s="163">
        <f t="shared" si="12"/>
        <v>0.23808584466110938</v>
      </c>
      <c r="BV27" s="67"/>
    </row>
    <row r="28" spans="1:74" ht="10.5" customHeight="1" thickBot="1">
      <c r="A28" s="149"/>
      <c r="B28" s="150"/>
      <c r="C28" s="150"/>
      <c r="D28" s="150"/>
      <c r="E28" s="15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97"/>
      <c r="AQ28" s="97"/>
      <c r="AR28" s="97"/>
      <c r="AS28" s="164"/>
      <c r="AT28" s="82"/>
      <c r="AU28" s="165"/>
      <c r="AV28" s="218"/>
      <c r="AW28" s="164"/>
      <c r="AX28" s="165"/>
      <c r="AY28" s="88"/>
      <c r="AZ28" s="158"/>
      <c r="BA28" s="158"/>
      <c r="BB28" s="88"/>
      <c r="BC28" s="169"/>
      <c r="BD28" s="169"/>
      <c r="BE28" s="101"/>
      <c r="BF28" s="219"/>
      <c r="BG28" s="101"/>
      <c r="BH28" s="101"/>
      <c r="BI28" s="220"/>
      <c r="BJ28" s="162"/>
      <c r="BK28" s="162"/>
      <c r="BL28" s="97" t="e">
        <f t="shared" si="9"/>
        <v>#DIV/0!</v>
      </c>
      <c r="BM28" s="98"/>
      <c r="BN28" s="82"/>
      <c r="BO28" s="82"/>
      <c r="BP28" s="82"/>
      <c r="BQ28" s="101"/>
      <c r="BR28" s="101"/>
      <c r="BS28" s="101"/>
      <c r="BT28" s="101"/>
      <c r="BU28" s="221"/>
      <c r="BV28" s="67"/>
    </row>
    <row r="29" spans="1:74" ht="42.75">
      <c r="A29" s="72">
        <v>25918974</v>
      </c>
      <c r="B29" s="73" t="s">
        <v>83</v>
      </c>
      <c r="C29" s="73" t="s">
        <v>47</v>
      </c>
      <c r="D29" s="73" t="s">
        <v>84</v>
      </c>
      <c r="E29" s="73" t="s">
        <v>85</v>
      </c>
      <c r="F29" s="74">
        <v>5387515</v>
      </c>
      <c r="G29" s="74">
        <v>6</v>
      </c>
      <c r="H29" s="74">
        <v>8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1.8</v>
      </c>
      <c r="O29" s="74">
        <v>1.5</v>
      </c>
      <c r="P29" s="175" t="s">
        <v>282</v>
      </c>
      <c r="Q29" s="76">
        <v>575000</v>
      </c>
      <c r="R29" s="76">
        <v>636494</v>
      </c>
      <c r="S29" s="76">
        <v>0</v>
      </c>
      <c r="T29" s="76">
        <v>0</v>
      </c>
      <c r="U29" s="76">
        <v>0</v>
      </c>
      <c r="V29" s="76">
        <v>0</v>
      </c>
      <c r="W29" s="76">
        <v>42854</v>
      </c>
      <c r="X29" s="76">
        <v>50000</v>
      </c>
      <c r="Y29" s="76">
        <v>0</v>
      </c>
      <c r="Z29" s="76">
        <v>50000</v>
      </c>
      <c r="AA29" s="76">
        <v>0</v>
      </c>
      <c r="AB29" s="76">
        <v>0</v>
      </c>
      <c r="AC29" s="76">
        <v>69145</v>
      </c>
      <c r="AD29" s="76">
        <v>50000</v>
      </c>
      <c r="AE29" s="76">
        <v>0</v>
      </c>
      <c r="AF29" s="76">
        <v>0</v>
      </c>
      <c r="AG29" s="76">
        <v>0</v>
      </c>
      <c r="AH29" s="76">
        <v>0</v>
      </c>
      <c r="AI29" s="76">
        <v>248876</v>
      </c>
      <c r="AJ29" s="76">
        <v>137000</v>
      </c>
      <c r="AK29" s="76">
        <v>935875</v>
      </c>
      <c r="AL29" s="76">
        <v>935875</v>
      </c>
      <c r="AM29" s="77">
        <v>923494</v>
      </c>
      <c r="AN29" s="78"/>
      <c r="AO29" s="342">
        <v>576000</v>
      </c>
      <c r="AP29" s="222">
        <f>AO29/R29</f>
        <v>0.9049574701411168</v>
      </c>
      <c r="AQ29" s="81">
        <f>-1+AO29/Q29</f>
        <v>0.0017391304347826875</v>
      </c>
      <c r="AR29" s="82"/>
      <c r="AS29" s="85">
        <f>T29+V29+Z29+AB29+AD29+AF29+AH29+AJ29+AO29</f>
        <v>813000</v>
      </c>
      <c r="AT29" s="177">
        <f>AS29/(Q29+S29+U29+W29+Y29+AA29+AC29+AE29+AG29+AI29)</f>
        <v>0.8687057566448511</v>
      </c>
      <c r="AU29" s="85">
        <f>IF(AT29&gt;=100%,0,(Q29+S29+U29+W29+Y29+AA29+AC29+AE29+AG29+AI29)-(T29+V29+Z29+AB29+AD29+AF29+AH29+AJ29+AO29))</f>
        <v>122875</v>
      </c>
      <c r="AV29" s="222">
        <f>AS29/AM29</f>
        <v>0.8803522275185329</v>
      </c>
      <c r="AW29" s="87">
        <f>IF(AS29&lt;AM29,AM29-AS29,0)</f>
        <v>110494</v>
      </c>
      <c r="AX29" s="85">
        <f>IF(W29&gt;AU29,0,AU29-W29)</f>
        <v>80021</v>
      </c>
      <c r="AY29" s="223"/>
      <c r="AZ29" s="89">
        <f>$AO29/N29</f>
        <v>320000</v>
      </c>
      <c r="BA29" s="90">
        <f>$AO29/O29</f>
        <v>384000</v>
      </c>
      <c r="BB29" s="223"/>
      <c r="BC29" s="179">
        <v>0</v>
      </c>
      <c r="BD29" s="224">
        <f>(Q29+W29)*1.1-AO29-BC29</f>
        <v>103639.40000000002</v>
      </c>
      <c r="BE29" s="225">
        <f>IF(BD29+BC29&gt;X29,X29-BC29,BD29)</f>
        <v>50000</v>
      </c>
      <c r="BF29" s="226">
        <f>(BE29+BC29+AO29)/(Q29+W29)</f>
        <v>1.0131843445215212</v>
      </c>
      <c r="BG29" s="225"/>
      <c r="BH29" s="100">
        <v>50000</v>
      </c>
      <c r="BI29" s="180">
        <v>50000</v>
      </c>
      <c r="BJ29" s="227" t="s">
        <v>267</v>
      </c>
      <c r="BK29" s="182" t="s">
        <v>54</v>
      </c>
      <c r="BL29" s="97">
        <f t="shared" si="9"/>
        <v>1.0131843445215212</v>
      </c>
      <c r="BM29" s="98"/>
      <c r="BN29" s="99">
        <f>($BI29+$BC29+$AO29+$AJ29+$AH29+$AF29+$AD29+$AB29+$Z29+$V29+$T29)/$AL29</f>
        <v>0.9221316949378924</v>
      </c>
      <c r="BO29" s="177">
        <f t="shared" si="10"/>
        <v>0.9344944309329568</v>
      </c>
      <c r="BP29" s="82"/>
      <c r="BQ29" s="100">
        <f t="shared" si="11"/>
        <v>50000</v>
      </c>
      <c r="BR29" s="101"/>
      <c r="BS29" s="100">
        <f>Q29+W29</f>
        <v>617854</v>
      </c>
      <c r="BT29" s="100">
        <f>AO29+BQ29</f>
        <v>626000</v>
      </c>
      <c r="BU29" s="102">
        <f t="shared" si="12"/>
        <v>0.013184344521521174</v>
      </c>
      <c r="BV29" s="64" t="s">
        <v>324</v>
      </c>
    </row>
    <row r="30" spans="1:74" ht="43.5" thickBot="1">
      <c r="A30" s="198">
        <v>60554665</v>
      </c>
      <c r="B30" s="202" t="s">
        <v>263</v>
      </c>
      <c r="C30" s="199" t="s">
        <v>47</v>
      </c>
      <c r="D30" s="199" t="s">
        <v>84</v>
      </c>
      <c r="E30" s="202" t="s">
        <v>265</v>
      </c>
      <c r="F30" s="200">
        <v>9944950</v>
      </c>
      <c r="G30" s="200">
        <v>4</v>
      </c>
      <c r="H30" s="200">
        <v>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2.8</v>
      </c>
      <c r="O30" s="200">
        <v>2.1</v>
      </c>
      <c r="P30" s="202" t="s">
        <v>290</v>
      </c>
      <c r="Q30" s="203">
        <v>410000</v>
      </c>
      <c r="R30" s="203">
        <v>684891</v>
      </c>
      <c r="S30" s="203">
        <v>0</v>
      </c>
      <c r="T30" s="203">
        <v>0</v>
      </c>
      <c r="U30" s="203">
        <v>0</v>
      </c>
      <c r="V30" s="203">
        <v>0</v>
      </c>
      <c r="W30" s="203">
        <v>198104</v>
      </c>
      <c r="X30" s="203">
        <v>260140</v>
      </c>
      <c r="Y30" s="203">
        <v>0</v>
      </c>
      <c r="Z30" s="203">
        <v>0</v>
      </c>
      <c r="AA30" s="203">
        <v>0</v>
      </c>
      <c r="AB30" s="203">
        <v>0</v>
      </c>
      <c r="AC30" s="203">
        <v>120000</v>
      </c>
      <c r="AD30" s="203">
        <v>100769</v>
      </c>
      <c r="AE30" s="203">
        <v>0</v>
      </c>
      <c r="AF30" s="203">
        <v>0</v>
      </c>
      <c r="AG30" s="203">
        <v>0</v>
      </c>
      <c r="AH30" s="203">
        <v>0</v>
      </c>
      <c r="AI30" s="203">
        <v>121896</v>
      </c>
      <c r="AJ30" s="203">
        <v>0</v>
      </c>
      <c r="AK30" s="203"/>
      <c r="AL30" s="203">
        <v>850000</v>
      </c>
      <c r="AM30" s="204">
        <v>1045800</v>
      </c>
      <c r="AN30" s="78"/>
      <c r="AO30" s="343">
        <v>384000</v>
      </c>
      <c r="AP30" s="208">
        <f>AO30/R30</f>
        <v>0.5606731582105766</v>
      </c>
      <c r="AQ30" s="205">
        <f>-1+AO30/Q30</f>
        <v>-0.06341463414634141</v>
      </c>
      <c r="AR30" s="82"/>
      <c r="AS30" s="210">
        <f>T30+V30+Z30+AB30+AD30+AF30+AH30+AJ30+AO30</f>
        <v>484769</v>
      </c>
      <c r="AT30" s="207">
        <f>AS30/(Q30+S30+U30+W30+Y30+AA30+AC30+AE30+AG30+AI30)</f>
        <v>0.5703164705882353</v>
      </c>
      <c r="AU30" s="210">
        <f>IF(AT30&gt;=100%,0,(Q30+S30+U30+W30+Y30+AA30+AC30+AE30+AG30+AI30)-(T30+V30+Z30+AB30+AD30+AF30+AH30+AJ30+AO30))</f>
        <v>365231</v>
      </c>
      <c r="AV30" s="208">
        <f>AS30/AM30</f>
        <v>0.46353891757506216</v>
      </c>
      <c r="AW30" s="228">
        <f>IF(AS30&lt;AM30,AM30-AS30,0)</f>
        <v>561031</v>
      </c>
      <c r="AX30" s="210">
        <f>IF(W30&gt;AU30,0,AU30-W30)</f>
        <v>167127</v>
      </c>
      <c r="AY30" s="223"/>
      <c r="AZ30" s="137">
        <f>$AO30/N30</f>
        <v>137142.85714285716</v>
      </c>
      <c r="BA30" s="138">
        <f>$AO30/O30</f>
        <v>182857.14285714284</v>
      </c>
      <c r="BB30" s="223"/>
      <c r="BC30" s="229">
        <v>0</v>
      </c>
      <c r="BD30" s="159">
        <f>(Q30+W30)*1.1-AO30-BC30</f>
        <v>284914.4</v>
      </c>
      <c r="BE30" s="230">
        <f>IF(BD30+BC30&gt;X30,X30-BC30,BD30)</f>
        <v>260140</v>
      </c>
      <c r="BF30" s="231">
        <f>(BE30+BC30+AO30)/(Q30+W30)</f>
        <v>1.0592596003315222</v>
      </c>
      <c r="BG30" s="123">
        <f>IF(BF30&lt;$BG$3,(0.7*(Q30+W30))-(AO30+BC30),0)</f>
        <v>41672.79999999999</v>
      </c>
      <c r="BH30" s="147">
        <v>260140</v>
      </c>
      <c r="BI30" s="232">
        <v>260140</v>
      </c>
      <c r="BJ30" s="233" t="s">
        <v>267</v>
      </c>
      <c r="BK30" s="234" t="s">
        <v>56</v>
      </c>
      <c r="BL30" s="97">
        <f t="shared" si="9"/>
        <v>1.0592596003315222</v>
      </c>
      <c r="BM30" s="98"/>
      <c r="BN30" s="146">
        <f>($BI30+$BC30+$AO30+$AJ30+$AH30+$AF30+$AD30+$AB30+$Z30+$V30+$T30)/$AL30</f>
        <v>0.8763635294117647</v>
      </c>
      <c r="BO30" s="133">
        <f t="shared" si="10"/>
        <v>0.7122862880091796</v>
      </c>
      <c r="BP30" s="82"/>
      <c r="BQ30" s="147">
        <f t="shared" si="11"/>
        <v>260140</v>
      </c>
      <c r="BR30" s="101"/>
      <c r="BS30" s="147">
        <f>Q30+W30</f>
        <v>608104</v>
      </c>
      <c r="BT30" s="147">
        <f>AO30+BQ30</f>
        <v>644140</v>
      </c>
      <c r="BU30" s="235">
        <f t="shared" si="12"/>
        <v>0.05925960033152222</v>
      </c>
      <c r="BV30" s="66" t="s">
        <v>324</v>
      </c>
    </row>
    <row r="31" spans="1:74" ht="15" thickBot="1">
      <c r="A31" s="167" t="s">
        <v>61</v>
      </c>
      <c r="B31" s="71"/>
      <c r="C31" s="71"/>
      <c r="D31" s="71"/>
      <c r="E31" s="7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4">
        <f>SUM(Q29:Q30)</f>
        <v>985000</v>
      </c>
      <c r="R31" s="154">
        <f aca="true" t="shared" si="24" ref="R31:AM31">SUM(R29:R30)</f>
        <v>1321385</v>
      </c>
      <c r="S31" s="154">
        <f t="shared" si="24"/>
        <v>0</v>
      </c>
      <c r="T31" s="154">
        <f t="shared" si="24"/>
        <v>0</v>
      </c>
      <c r="U31" s="154">
        <f t="shared" si="24"/>
        <v>0</v>
      </c>
      <c r="V31" s="154">
        <f t="shared" si="24"/>
        <v>0</v>
      </c>
      <c r="W31" s="154">
        <f t="shared" si="24"/>
        <v>240958</v>
      </c>
      <c r="X31" s="154">
        <f t="shared" si="24"/>
        <v>310140</v>
      </c>
      <c r="Y31" s="154">
        <f t="shared" si="24"/>
        <v>0</v>
      </c>
      <c r="Z31" s="154">
        <f t="shared" si="24"/>
        <v>50000</v>
      </c>
      <c r="AA31" s="154">
        <f t="shared" si="24"/>
        <v>0</v>
      </c>
      <c r="AB31" s="154">
        <f t="shared" si="24"/>
        <v>0</v>
      </c>
      <c r="AC31" s="154">
        <f t="shared" si="24"/>
        <v>189145</v>
      </c>
      <c r="AD31" s="154">
        <f t="shared" si="24"/>
        <v>150769</v>
      </c>
      <c r="AE31" s="154">
        <f t="shared" si="24"/>
        <v>0</v>
      </c>
      <c r="AF31" s="154">
        <f t="shared" si="24"/>
        <v>0</v>
      </c>
      <c r="AG31" s="154">
        <f t="shared" si="24"/>
        <v>0</v>
      </c>
      <c r="AH31" s="154">
        <f t="shared" si="24"/>
        <v>0</v>
      </c>
      <c r="AI31" s="154">
        <f t="shared" si="24"/>
        <v>370772</v>
      </c>
      <c r="AJ31" s="154">
        <f t="shared" si="24"/>
        <v>137000</v>
      </c>
      <c r="AK31" s="154">
        <f t="shared" si="24"/>
        <v>935875</v>
      </c>
      <c r="AL31" s="154">
        <f t="shared" si="24"/>
        <v>1785875</v>
      </c>
      <c r="AM31" s="154">
        <f t="shared" si="24"/>
        <v>1969294</v>
      </c>
      <c r="AN31" s="153"/>
      <c r="AO31" s="154">
        <f>SUM(AO29:AO30)</f>
        <v>960000</v>
      </c>
      <c r="AP31" s="41">
        <f>AO31/R31</f>
        <v>0.726510441695645</v>
      </c>
      <c r="AQ31" s="236">
        <f>-1+AO31/Q31</f>
        <v>-0.025380710659898442</v>
      </c>
      <c r="AR31" s="1"/>
      <c r="AS31" s="156">
        <f>T31+V31+Z31+AB31+AD31+AF31+AH31+AJ31+AO31</f>
        <v>1297769</v>
      </c>
      <c r="AT31" s="207">
        <f>AS31/(Q31+S31+U31+W31+Y31+AA31+AC31+AE31+AG31+AI31)</f>
        <v>0.7266852383285505</v>
      </c>
      <c r="AU31" s="156">
        <f>SUM(AU14:AU30)</f>
        <v>11066850</v>
      </c>
      <c r="AV31" s="215">
        <f>AS31/AM31</f>
        <v>0.6590021601650135</v>
      </c>
      <c r="AW31" s="216">
        <f>SUM(AW15:AW30)</f>
        <v>13137557</v>
      </c>
      <c r="AX31" s="210">
        <f>SUM(AX14:AX30)</f>
        <v>5717286</v>
      </c>
      <c r="AY31" s="88"/>
      <c r="AZ31" s="158"/>
      <c r="BA31" s="158"/>
      <c r="BB31" s="88"/>
      <c r="BC31" s="160">
        <f>SUM(BC29:BC30)</f>
        <v>0</v>
      </c>
      <c r="BD31" s="160">
        <f>SUM(BD29:BD30)</f>
        <v>388553.80000000005</v>
      </c>
      <c r="BE31" s="160">
        <f>SUM(BE29:BE30)</f>
        <v>310140</v>
      </c>
      <c r="BF31" s="160"/>
      <c r="BG31" s="160">
        <f>SUM(BG29:BG30)</f>
        <v>41672.79999999999</v>
      </c>
      <c r="BH31" s="160">
        <f>SUM(BH29:BH30)</f>
        <v>310140</v>
      </c>
      <c r="BI31" s="237">
        <f>SUM(BI29:BI30)</f>
        <v>310140</v>
      </c>
      <c r="BJ31" s="162"/>
      <c r="BK31" s="162"/>
      <c r="BL31" s="97">
        <f t="shared" si="9"/>
        <v>1.036038754998132</v>
      </c>
      <c r="BM31" s="98"/>
      <c r="BN31" s="82"/>
      <c r="BO31" s="82"/>
      <c r="BP31" s="82"/>
      <c r="BQ31" s="160">
        <f>SUM(BQ29:BQ30)</f>
        <v>310140</v>
      </c>
      <c r="BR31" s="169"/>
      <c r="BS31" s="160">
        <f>Q31+W31</f>
        <v>1225958</v>
      </c>
      <c r="BT31" s="160">
        <f>AO31+BQ31</f>
        <v>1270140</v>
      </c>
      <c r="BU31" s="163">
        <f t="shared" si="12"/>
        <v>0.03603875499813203</v>
      </c>
      <c r="BV31" s="67"/>
    </row>
    <row r="32" spans="1:74" s="21" customFormat="1" ht="15" thickBot="1">
      <c r="A32" s="238"/>
      <c r="B32" s="238"/>
      <c r="C32" s="238"/>
      <c r="D32" s="238"/>
      <c r="E32" s="238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82"/>
      <c r="AQ32" s="82"/>
      <c r="AR32" s="82"/>
      <c r="AS32" s="164"/>
      <c r="AT32" s="82"/>
      <c r="AU32" s="165"/>
      <c r="AV32" s="168"/>
      <c r="AW32" s="164"/>
      <c r="AX32" s="165"/>
      <c r="AY32" s="223"/>
      <c r="AZ32" s="158"/>
      <c r="BA32" s="158"/>
      <c r="BB32" s="223"/>
      <c r="BC32" s="169"/>
      <c r="BD32" s="169"/>
      <c r="BE32" s="101"/>
      <c r="BF32" s="219"/>
      <c r="BG32" s="101"/>
      <c r="BH32" s="101"/>
      <c r="BI32" s="220"/>
      <c r="BJ32" s="241"/>
      <c r="BK32" s="162"/>
      <c r="BL32" s="97" t="e">
        <f t="shared" si="9"/>
        <v>#DIV/0!</v>
      </c>
      <c r="BM32" s="98"/>
      <c r="BN32" s="82"/>
      <c r="BO32" s="82"/>
      <c r="BP32" s="82"/>
      <c r="BQ32" s="101"/>
      <c r="BR32" s="101"/>
      <c r="BS32" s="101"/>
      <c r="BT32" s="101"/>
      <c r="BU32" s="221"/>
      <c r="BV32" s="68"/>
    </row>
    <row r="33" spans="1:74" ht="57">
      <c r="A33" s="72">
        <v>15060306</v>
      </c>
      <c r="B33" s="73" t="s">
        <v>68</v>
      </c>
      <c r="C33" s="73" t="s">
        <v>47</v>
      </c>
      <c r="D33" s="73" t="s">
        <v>86</v>
      </c>
      <c r="E33" s="73" t="s">
        <v>87</v>
      </c>
      <c r="F33" s="74">
        <v>5646012</v>
      </c>
      <c r="G33" s="74">
        <v>2</v>
      </c>
      <c r="H33" s="74">
        <v>2</v>
      </c>
      <c r="I33" s="74">
        <v>0</v>
      </c>
      <c r="J33" s="74">
        <v>0</v>
      </c>
      <c r="K33" s="74">
        <v>0</v>
      </c>
      <c r="L33" s="74">
        <v>0</v>
      </c>
      <c r="M33" s="74">
        <v>2</v>
      </c>
      <c r="N33" s="74">
        <v>1.1</v>
      </c>
      <c r="O33" s="74">
        <v>1</v>
      </c>
      <c r="P33" s="175" t="s">
        <v>291</v>
      </c>
      <c r="Q33" s="76">
        <v>169000</v>
      </c>
      <c r="R33" s="76">
        <v>195000</v>
      </c>
      <c r="S33" s="76">
        <v>0</v>
      </c>
      <c r="T33" s="76">
        <v>0</v>
      </c>
      <c r="U33" s="76">
        <v>0</v>
      </c>
      <c r="V33" s="76">
        <v>0</v>
      </c>
      <c r="W33" s="76">
        <v>39000</v>
      </c>
      <c r="X33" s="76">
        <v>80000</v>
      </c>
      <c r="Y33" s="76">
        <v>836</v>
      </c>
      <c r="Z33" s="76">
        <v>20000</v>
      </c>
      <c r="AA33" s="76">
        <v>0</v>
      </c>
      <c r="AB33" s="76">
        <v>0</v>
      </c>
      <c r="AC33" s="76">
        <v>4600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4198</v>
      </c>
      <c r="AJ33" s="76">
        <v>3500</v>
      </c>
      <c r="AK33" s="76">
        <v>217734</v>
      </c>
      <c r="AL33" s="76">
        <v>217734</v>
      </c>
      <c r="AM33" s="77">
        <v>298500</v>
      </c>
      <c r="AN33" s="78"/>
      <c r="AO33" s="342">
        <v>54500</v>
      </c>
      <c r="AP33" s="222">
        <f>AO33/R33</f>
        <v>0.2794871794871795</v>
      </c>
      <c r="AQ33" s="81">
        <f>-1+AO33/Q33</f>
        <v>-0.6775147928994083</v>
      </c>
      <c r="AR33" s="82"/>
      <c r="AS33" s="176">
        <f aca="true" t="shared" si="25" ref="AS33:AS73">T33+V33+Z33+AB33+AD33+AF33+AH33+AJ33+AO33</f>
        <v>78000</v>
      </c>
      <c r="AT33" s="177">
        <f aca="true" t="shared" si="26" ref="AT33:AT73">AS33/(Q33+S33+U33+W33+Y33+AA33+AC33+AE33+AG33+AI33)</f>
        <v>0.35839988237132064</v>
      </c>
      <c r="AU33" s="85">
        <f aca="true" t="shared" si="27" ref="AU33:AU73">IF(AT33&gt;=100%,0,(Q33+S33+U33+W33+Y33+AA33+AC33+AE33+AG33+AI33)-(T33+V33+Z33+AB33+AD33+AF33+AH33+AJ33+AO33))</f>
        <v>139634</v>
      </c>
      <c r="AV33" s="86">
        <f aca="true" t="shared" si="28" ref="AV33:AV73">AS33/AM33</f>
        <v>0.2613065326633166</v>
      </c>
      <c r="AW33" s="87">
        <f aca="true" t="shared" si="29" ref="AW33:AW73">IF(AS33&lt;AM33,AM33-AS33,0)</f>
        <v>220500</v>
      </c>
      <c r="AX33" s="85">
        <f>IF(W33&gt;AU33,0,AU33-W33)</f>
        <v>100634</v>
      </c>
      <c r="AY33" s="88"/>
      <c r="AZ33" s="89">
        <f aca="true" t="shared" si="30" ref="AZ33:BA37">$AO33/N33</f>
        <v>49545.454545454544</v>
      </c>
      <c r="BA33" s="90">
        <f t="shared" si="30"/>
        <v>54500</v>
      </c>
      <c r="BB33" s="88"/>
      <c r="BC33" s="179">
        <v>52920</v>
      </c>
      <c r="BD33" s="224">
        <f t="shared" si="8"/>
        <v>121380.00000000003</v>
      </c>
      <c r="BE33" s="225">
        <f t="shared" si="13"/>
        <v>27080</v>
      </c>
      <c r="BF33" s="226">
        <f t="shared" si="14"/>
        <v>0.6466346153846154</v>
      </c>
      <c r="BG33" s="225">
        <f>IF(BF33&lt;$BG$3,(0.7*(Q33+W33))-(AO33+BC33),0)</f>
        <v>38180</v>
      </c>
      <c r="BH33" s="100">
        <v>38180</v>
      </c>
      <c r="BI33" s="180">
        <v>37080</v>
      </c>
      <c r="BJ33" s="95" t="s">
        <v>88</v>
      </c>
      <c r="BK33" s="182" t="s">
        <v>56</v>
      </c>
      <c r="BL33" s="97">
        <f t="shared" si="9"/>
        <v>0.7</v>
      </c>
      <c r="BM33" s="98">
        <f>(0.9*(Q33+S33+W33))-(T33+AO33+BC33+BH33)</f>
        <v>41600</v>
      </c>
      <c r="BN33" s="99">
        <f>($BI33+$BC33+$AO33+$AJ33+$AH33+$AF33+$AD33+$AB33+$Z33+$V33+$T33)/$AL33</f>
        <v>0.7715836754939513</v>
      </c>
      <c r="BO33" s="177">
        <f t="shared" si="10"/>
        <v>0.5628140703517588</v>
      </c>
      <c r="BP33" s="82"/>
      <c r="BQ33" s="100">
        <f t="shared" si="11"/>
        <v>90000</v>
      </c>
      <c r="BR33" s="101"/>
      <c r="BS33" s="100">
        <f aca="true" t="shared" si="31" ref="BS33:BS38">Q33+W33</f>
        <v>208000</v>
      </c>
      <c r="BT33" s="100">
        <f aca="true" t="shared" si="32" ref="BT33:BT38">AO33+BQ33</f>
        <v>144500</v>
      </c>
      <c r="BU33" s="102">
        <f t="shared" si="12"/>
        <v>-0.30528846153846156</v>
      </c>
      <c r="BV33" s="64" t="s">
        <v>320</v>
      </c>
    </row>
    <row r="34" spans="1:74" ht="57">
      <c r="A34" s="103">
        <v>15060306</v>
      </c>
      <c r="B34" s="104" t="s">
        <v>68</v>
      </c>
      <c r="C34" s="104" t="s">
        <v>47</v>
      </c>
      <c r="D34" s="104" t="s">
        <v>86</v>
      </c>
      <c r="E34" s="104" t="s">
        <v>89</v>
      </c>
      <c r="F34" s="105">
        <v>9737086</v>
      </c>
      <c r="G34" s="105">
        <v>2</v>
      </c>
      <c r="H34" s="105">
        <v>3</v>
      </c>
      <c r="I34" s="105">
        <v>0</v>
      </c>
      <c r="J34" s="105">
        <v>0</v>
      </c>
      <c r="K34" s="105">
        <v>0</v>
      </c>
      <c r="L34" s="105">
        <v>0</v>
      </c>
      <c r="M34" s="105">
        <v>3</v>
      </c>
      <c r="N34" s="105">
        <v>1</v>
      </c>
      <c r="O34" s="105">
        <v>0.8</v>
      </c>
      <c r="P34" s="184" t="s">
        <v>282</v>
      </c>
      <c r="Q34" s="108">
        <v>105700</v>
      </c>
      <c r="R34" s="108">
        <v>185000</v>
      </c>
      <c r="S34" s="108">
        <v>0</v>
      </c>
      <c r="T34" s="108">
        <v>0</v>
      </c>
      <c r="U34" s="108">
        <v>0</v>
      </c>
      <c r="V34" s="108">
        <v>0</v>
      </c>
      <c r="W34" s="108">
        <v>37537</v>
      </c>
      <c r="X34" s="108">
        <v>130000</v>
      </c>
      <c r="Y34" s="108">
        <v>17965</v>
      </c>
      <c r="Z34" s="108">
        <v>15000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8000</v>
      </c>
      <c r="AK34" s="108">
        <v>164538</v>
      </c>
      <c r="AL34" s="108">
        <v>164538</v>
      </c>
      <c r="AM34" s="109">
        <v>338000</v>
      </c>
      <c r="AN34" s="78"/>
      <c r="AO34" s="348">
        <v>49000</v>
      </c>
      <c r="AP34" s="192">
        <f>AO34/R34</f>
        <v>0.2648648648648649</v>
      </c>
      <c r="AQ34" s="112">
        <f>-1+AO34/Q34</f>
        <v>-0.5364238410596027</v>
      </c>
      <c r="AR34" s="82"/>
      <c r="AS34" s="113">
        <f t="shared" si="25"/>
        <v>72000</v>
      </c>
      <c r="AT34" s="114">
        <f t="shared" si="26"/>
        <v>0.4466445825734172</v>
      </c>
      <c r="AU34" s="115">
        <f t="shared" si="27"/>
        <v>89202</v>
      </c>
      <c r="AV34" s="86">
        <f t="shared" si="28"/>
        <v>0.21301775147928995</v>
      </c>
      <c r="AW34" s="116">
        <f t="shared" si="29"/>
        <v>266000</v>
      </c>
      <c r="AX34" s="186">
        <f>IF(W34&gt;AU34,0,AU34-W34)</f>
        <v>51665</v>
      </c>
      <c r="AY34" s="88"/>
      <c r="AZ34" s="117">
        <f t="shared" si="30"/>
        <v>49000</v>
      </c>
      <c r="BA34" s="118">
        <f t="shared" si="30"/>
        <v>61250</v>
      </c>
      <c r="BB34" s="88"/>
      <c r="BC34" s="187">
        <v>78601</v>
      </c>
      <c r="BD34" s="91">
        <f t="shared" si="8"/>
        <v>29959.70000000001</v>
      </c>
      <c r="BE34" s="92">
        <f t="shared" si="13"/>
        <v>29959.70000000001</v>
      </c>
      <c r="BF34" s="93">
        <f t="shared" si="14"/>
        <v>1.1</v>
      </c>
      <c r="BG34" s="92"/>
      <c r="BH34" s="123">
        <v>29960</v>
      </c>
      <c r="BI34" s="188">
        <v>0</v>
      </c>
      <c r="BJ34" s="120" t="s">
        <v>88</v>
      </c>
      <c r="BK34" s="121" t="s">
        <v>56</v>
      </c>
      <c r="BL34" s="97">
        <f t="shared" si="9"/>
        <v>1.1000020944309081</v>
      </c>
      <c r="BM34" s="98"/>
      <c r="BN34" s="122">
        <f>($BI34+$BC34+$AO34+$AJ34+$AH34+$AF34+$AD34+$AB34+$Z34+$V34+$T34)/$AL34</f>
        <v>0.9152961625885814</v>
      </c>
      <c r="BO34" s="114">
        <f t="shared" si="10"/>
        <v>0.4455650887573965</v>
      </c>
      <c r="BP34" s="82"/>
      <c r="BQ34" s="123">
        <f t="shared" si="11"/>
        <v>78601</v>
      </c>
      <c r="BR34" s="101"/>
      <c r="BS34" s="123">
        <f t="shared" si="31"/>
        <v>143237</v>
      </c>
      <c r="BT34" s="123">
        <f t="shared" si="32"/>
        <v>127601</v>
      </c>
      <c r="BU34" s="124">
        <f t="shared" si="12"/>
        <v>-0.10916173893616876</v>
      </c>
      <c r="BV34" s="65" t="s">
        <v>325</v>
      </c>
    </row>
    <row r="35" spans="1:74" ht="85.5">
      <c r="A35" s="103">
        <v>28555597</v>
      </c>
      <c r="B35" s="104" t="s">
        <v>90</v>
      </c>
      <c r="C35" s="104" t="s">
        <v>47</v>
      </c>
      <c r="D35" s="104" t="s">
        <v>86</v>
      </c>
      <c r="E35" s="104" t="s">
        <v>91</v>
      </c>
      <c r="F35" s="106"/>
      <c r="G35" s="105">
        <v>15</v>
      </c>
      <c r="H35" s="105">
        <v>15</v>
      </c>
      <c r="I35" s="105">
        <v>0</v>
      </c>
      <c r="J35" s="105">
        <v>0</v>
      </c>
      <c r="K35" s="105">
        <v>0</v>
      </c>
      <c r="L35" s="105">
        <v>0</v>
      </c>
      <c r="M35" s="105">
        <v>15</v>
      </c>
      <c r="N35" s="105">
        <v>4</v>
      </c>
      <c r="O35" s="105">
        <v>4</v>
      </c>
      <c r="P35" s="184" t="s">
        <v>292</v>
      </c>
      <c r="Q35" s="108">
        <v>0</v>
      </c>
      <c r="R35" s="108">
        <v>1300820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>
        <v>0</v>
      </c>
      <c r="AD35" s="108">
        <v>810000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/>
      <c r="AL35" s="108">
        <v>0</v>
      </c>
      <c r="AM35" s="109">
        <v>2110820</v>
      </c>
      <c r="AN35" s="78"/>
      <c r="AO35" s="348">
        <v>819000</v>
      </c>
      <c r="AP35" s="192">
        <f>AO35/R35</f>
        <v>0.6296028658845959</v>
      </c>
      <c r="AQ35" s="112"/>
      <c r="AR35" s="82"/>
      <c r="AS35" s="113">
        <f t="shared" si="25"/>
        <v>1629000</v>
      </c>
      <c r="AT35" s="114"/>
      <c r="AU35" s="115"/>
      <c r="AV35" s="86">
        <f t="shared" si="28"/>
        <v>0.7717379975554524</v>
      </c>
      <c r="AW35" s="116">
        <f t="shared" si="29"/>
        <v>481820</v>
      </c>
      <c r="AX35" s="186">
        <f>IF(W35&gt;AU35,0,AU35-W35)</f>
        <v>0</v>
      </c>
      <c r="AY35" s="88"/>
      <c r="AZ35" s="117">
        <f t="shared" si="30"/>
        <v>204750</v>
      </c>
      <c r="BA35" s="118">
        <f t="shared" si="30"/>
        <v>204750</v>
      </c>
      <c r="BB35" s="88"/>
      <c r="BC35" s="187">
        <v>0</v>
      </c>
      <c r="BD35" s="91"/>
      <c r="BE35" s="92">
        <f t="shared" si="13"/>
        <v>0</v>
      </c>
      <c r="BF35" s="93"/>
      <c r="BG35" s="92"/>
      <c r="BH35" s="123">
        <v>0</v>
      </c>
      <c r="BI35" s="188">
        <v>0</v>
      </c>
      <c r="BJ35" s="120" t="s">
        <v>88</v>
      </c>
      <c r="BK35" s="96" t="s">
        <v>56</v>
      </c>
      <c r="BL35" s="97" t="e">
        <f t="shared" si="9"/>
        <v>#DIV/0!</v>
      </c>
      <c r="BM35" s="98"/>
      <c r="BN35" s="122" t="e">
        <f>($BI35+$BC35+$AO35+$AJ35+$AH35+$AF35+$AD35+$AB35+$Z35+$V35+$T35)/$AL35</f>
        <v>#DIV/0!</v>
      </c>
      <c r="BO35" s="114">
        <f t="shared" si="10"/>
        <v>0.7717379975554524</v>
      </c>
      <c r="BP35" s="82"/>
      <c r="BQ35" s="123">
        <f t="shared" si="11"/>
        <v>0</v>
      </c>
      <c r="BR35" s="101"/>
      <c r="BS35" s="123">
        <f t="shared" si="31"/>
        <v>0</v>
      </c>
      <c r="BT35" s="123">
        <f t="shared" si="32"/>
        <v>819000</v>
      </c>
      <c r="BU35" s="124"/>
      <c r="BV35" s="65" t="s">
        <v>321</v>
      </c>
    </row>
    <row r="36" spans="1:74" ht="57">
      <c r="A36" s="103">
        <v>60128640</v>
      </c>
      <c r="B36" s="104" t="s">
        <v>80</v>
      </c>
      <c r="C36" s="104" t="s">
        <v>47</v>
      </c>
      <c r="D36" s="104" t="s">
        <v>86</v>
      </c>
      <c r="E36" s="104" t="s">
        <v>91</v>
      </c>
      <c r="F36" s="105">
        <v>4640855</v>
      </c>
      <c r="G36" s="105">
        <v>2</v>
      </c>
      <c r="H36" s="105">
        <v>2</v>
      </c>
      <c r="I36" s="105">
        <v>0</v>
      </c>
      <c r="J36" s="105">
        <v>0</v>
      </c>
      <c r="K36" s="105">
        <v>2</v>
      </c>
      <c r="L36" s="105">
        <v>0</v>
      </c>
      <c r="M36" s="105">
        <v>0</v>
      </c>
      <c r="N36" s="105">
        <v>0.5</v>
      </c>
      <c r="O36" s="105">
        <v>0.5</v>
      </c>
      <c r="P36" s="184" t="s">
        <v>282</v>
      </c>
      <c r="Q36" s="108">
        <v>48000</v>
      </c>
      <c r="R36" s="108">
        <v>90720</v>
      </c>
      <c r="S36" s="108">
        <v>0</v>
      </c>
      <c r="T36" s="108">
        <v>0</v>
      </c>
      <c r="U36" s="108">
        <v>0</v>
      </c>
      <c r="V36" s="108">
        <v>0</v>
      </c>
      <c r="W36" s="108">
        <v>27000</v>
      </c>
      <c r="X36" s="108">
        <v>0</v>
      </c>
      <c r="Y36" s="108">
        <v>0</v>
      </c>
      <c r="Z36" s="108">
        <v>20000</v>
      </c>
      <c r="AA36" s="108">
        <v>0</v>
      </c>
      <c r="AB36" s="108">
        <v>0</v>
      </c>
      <c r="AC36" s="108">
        <v>27000</v>
      </c>
      <c r="AD36" s="108">
        <v>27000</v>
      </c>
      <c r="AE36" s="108">
        <v>0</v>
      </c>
      <c r="AF36" s="108">
        <v>0</v>
      </c>
      <c r="AG36" s="108">
        <v>0</v>
      </c>
      <c r="AH36" s="108">
        <v>0</v>
      </c>
      <c r="AI36" s="108">
        <v>15000</v>
      </c>
      <c r="AJ36" s="108">
        <v>0</v>
      </c>
      <c r="AK36" s="108"/>
      <c r="AL36" s="108">
        <v>117000</v>
      </c>
      <c r="AM36" s="109">
        <v>137720</v>
      </c>
      <c r="AN36" s="78"/>
      <c r="AO36" s="348">
        <v>48000</v>
      </c>
      <c r="AP36" s="192">
        <f>AO36/R36</f>
        <v>0.5291005291005291</v>
      </c>
      <c r="AQ36" s="112">
        <f>-1+AO36/Q36</f>
        <v>0</v>
      </c>
      <c r="AR36" s="82"/>
      <c r="AS36" s="132">
        <f t="shared" si="25"/>
        <v>95000</v>
      </c>
      <c r="AT36" s="337">
        <f t="shared" si="26"/>
        <v>0.811965811965812</v>
      </c>
      <c r="AU36" s="134">
        <f t="shared" si="27"/>
        <v>22000</v>
      </c>
      <c r="AV36" s="82">
        <f t="shared" si="28"/>
        <v>0.6898054022654662</v>
      </c>
      <c r="AW36" s="136">
        <f t="shared" si="29"/>
        <v>42720</v>
      </c>
      <c r="AX36" s="352">
        <f>IF(W36&gt;AU36,0,AU36-W36)</f>
        <v>0</v>
      </c>
      <c r="AY36" s="88"/>
      <c r="AZ36" s="117">
        <f t="shared" si="30"/>
        <v>96000</v>
      </c>
      <c r="BA36" s="118">
        <f t="shared" si="30"/>
        <v>96000</v>
      </c>
      <c r="BB36" s="88"/>
      <c r="BC36" s="187">
        <v>18900</v>
      </c>
      <c r="BD36" s="91">
        <f t="shared" si="8"/>
        <v>15600</v>
      </c>
      <c r="BE36" s="92"/>
      <c r="BF36" s="93">
        <f t="shared" si="14"/>
        <v>0.892</v>
      </c>
      <c r="BG36" s="92"/>
      <c r="BH36" s="123">
        <v>0</v>
      </c>
      <c r="BI36" s="188">
        <v>0</v>
      </c>
      <c r="BJ36" s="120" t="s">
        <v>88</v>
      </c>
      <c r="BK36" s="121" t="s">
        <v>56</v>
      </c>
      <c r="BL36" s="97">
        <f t="shared" si="9"/>
        <v>0.892</v>
      </c>
      <c r="BM36" s="98"/>
      <c r="BN36" s="122">
        <f>($BI36+$BC36+$AO36+$AJ36+$AH36+$AF36+$AD36+$AB36+$Z36+$V36+$T36)/$AL36</f>
        <v>0.9735042735042735</v>
      </c>
      <c r="BO36" s="114">
        <f t="shared" si="10"/>
        <v>0.8270403717688063</v>
      </c>
      <c r="BP36" s="82"/>
      <c r="BQ36" s="123">
        <f t="shared" si="11"/>
        <v>18900</v>
      </c>
      <c r="BR36" s="101"/>
      <c r="BS36" s="123">
        <f t="shared" si="31"/>
        <v>75000</v>
      </c>
      <c r="BT36" s="123">
        <f t="shared" si="32"/>
        <v>66900</v>
      </c>
      <c r="BU36" s="124">
        <f t="shared" si="12"/>
        <v>-0.10799999999999998</v>
      </c>
      <c r="BV36" s="65" t="s">
        <v>326</v>
      </c>
    </row>
    <row r="37" spans="1:74" ht="86.25" thickBot="1">
      <c r="A37" s="125">
        <v>65761979</v>
      </c>
      <c r="B37" s="126" t="s">
        <v>57</v>
      </c>
      <c r="C37" s="126" t="s">
        <v>47</v>
      </c>
      <c r="D37" s="126" t="s">
        <v>86</v>
      </c>
      <c r="E37" s="126" t="s">
        <v>91</v>
      </c>
      <c r="F37" s="127">
        <v>2328357</v>
      </c>
      <c r="G37" s="127">
        <v>3</v>
      </c>
      <c r="H37" s="127">
        <v>5</v>
      </c>
      <c r="I37" s="127">
        <v>0</v>
      </c>
      <c r="J37" s="127">
        <v>0</v>
      </c>
      <c r="K37" s="127">
        <v>0</v>
      </c>
      <c r="L37" s="127">
        <v>0</v>
      </c>
      <c r="M37" s="127">
        <v>5</v>
      </c>
      <c r="N37" s="127">
        <v>1</v>
      </c>
      <c r="O37" s="127">
        <v>0.8</v>
      </c>
      <c r="P37" s="242" t="s">
        <v>280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230932</v>
      </c>
      <c r="Y37" s="129">
        <v>0</v>
      </c>
      <c r="Z37" s="129">
        <v>31065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683506</v>
      </c>
      <c r="AH37" s="129">
        <v>246627</v>
      </c>
      <c r="AI37" s="129">
        <v>40000</v>
      </c>
      <c r="AJ37" s="129">
        <v>43200</v>
      </c>
      <c r="AK37" s="129"/>
      <c r="AL37" s="129">
        <v>723506</v>
      </c>
      <c r="AM37" s="130">
        <v>551824</v>
      </c>
      <c r="AN37" s="78"/>
      <c r="AO37" s="348">
        <v>0</v>
      </c>
      <c r="AP37" s="192"/>
      <c r="AQ37" s="350"/>
      <c r="AR37" s="82"/>
      <c r="AS37" s="339">
        <f t="shared" si="25"/>
        <v>320892</v>
      </c>
      <c r="AT37" s="82">
        <f t="shared" si="26"/>
        <v>0.44352361970736937</v>
      </c>
      <c r="AU37" s="339">
        <f t="shared" si="27"/>
        <v>402614</v>
      </c>
      <c r="AV37" s="82">
        <f t="shared" si="28"/>
        <v>0.5815114964191481</v>
      </c>
      <c r="AW37" s="339">
        <f t="shared" si="29"/>
        <v>230932</v>
      </c>
      <c r="AX37" s="339">
        <f>IF(W37&gt;AU37,0,AU37-W37)</f>
        <v>402614</v>
      </c>
      <c r="AY37" s="223"/>
      <c r="AZ37" s="351">
        <f t="shared" si="30"/>
        <v>0</v>
      </c>
      <c r="BA37" s="118">
        <f t="shared" si="30"/>
        <v>0</v>
      </c>
      <c r="BB37" s="88"/>
      <c r="BC37" s="187">
        <v>0</v>
      </c>
      <c r="BD37" s="91">
        <f t="shared" si="8"/>
        <v>0</v>
      </c>
      <c r="BE37" s="92">
        <f t="shared" si="13"/>
        <v>0</v>
      </c>
      <c r="BF37" s="93"/>
      <c r="BG37" s="92"/>
      <c r="BH37" s="123">
        <v>0</v>
      </c>
      <c r="BI37" s="188">
        <v>0</v>
      </c>
      <c r="BJ37" s="120" t="s">
        <v>252</v>
      </c>
      <c r="BK37" s="121" t="s">
        <v>56</v>
      </c>
      <c r="BL37" s="97" t="e">
        <f t="shared" si="9"/>
        <v>#DIV/0!</v>
      </c>
      <c r="BM37" s="98"/>
      <c r="BN37" s="122">
        <f>($BI37+$BC37+$AO37+$AJ37+$AH37+$AF37+$AD37+$AB37+$Z37+$V37+$T37)/$AL37</f>
        <v>0.44352361970736937</v>
      </c>
      <c r="BO37" s="114">
        <f t="shared" si="10"/>
        <v>0.5815114964191481</v>
      </c>
      <c r="BP37" s="82"/>
      <c r="BQ37" s="123">
        <f t="shared" si="11"/>
        <v>0</v>
      </c>
      <c r="BR37" s="101"/>
      <c r="BS37" s="123">
        <f t="shared" si="31"/>
        <v>0</v>
      </c>
      <c r="BT37" s="123">
        <f t="shared" si="32"/>
        <v>0</v>
      </c>
      <c r="BU37" s="124"/>
      <c r="BV37" s="66" t="s">
        <v>321</v>
      </c>
    </row>
    <row r="38" spans="1:74" ht="15" thickBot="1">
      <c r="A38" s="167" t="s">
        <v>61</v>
      </c>
      <c r="B38" s="71"/>
      <c r="C38" s="71"/>
      <c r="D38" s="71"/>
      <c r="E38" s="7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2">
        <f aca="true" t="shared" si="33" ref="Q38:AJ38">SUM(Q33:Q37)</f>
        <v>322700</v>
      </c>
      <c r="R38" s="152">
        <f t="shared" si="33"/>
        <v>1771540</v>
      </c>
      <c r="S38" s="152">
        <f t="shared" si="33"/>
        <v>0</v>
      </c>
      <c r="T38" s="152">
        <f t="shared" si="33"/>
        <v>0</v>
      </c>
      <c r="U38" s="152">
        <f t="shared" si="33"/>
        <v>0</v>
      </c>
      <c r="V38" s="152">
        <f t="shared" si="33"/>
        <v>0</v>
      </c>
      <c r="W38" s="152">
        <f t="shared" si="33"/>
        <v>103537</v>
      </c>
      <c r="X38" s="152">
        <f t="shared" si="33"/>
        <v>440932</v>
      </c>
      <c r="Y38" s="152">
        <f t="shared" si="33"/>
        <v>18801</v>
      </c>
      <c r="Z38" s="152">
        <f t="shared" si="33"/>
        <v>86065</v>
      </c>
      <c r="AA38" s="152">
        <f t="shared" si="33"/>
        <v>0</v>
      </c>
      <c r="AB38" s="152">
        <f t="shared" si="33"/>
        <v>0</v>
      </c>
      <c r="AC38" s="152">
        <f t="shared" si="33"/>
        <v>31600</v>
      </c>
      <c r="AD38" s="152">
        <f t="shared" si="33"/>
        <v>837000</v>
      </c>
      <c r="AE38" s="152">
        <f t="shared" si="33"/>
        <v>0</v>
      </c>
      <c r="AF38" s="152">
        <f t="shared" si="33"/>
        <v>0</v>
      </c>
      <c r="AG38" s="152">
        <f t="shared" si="33"/>
        <v>683506</v>
      </c>
      <c r="AH38" s="152">
        <f t="shared" si="33"/>
        <v>246627</v>
      </c>
      <c r="AI38" s="152">
        <f t="shared" si="33"/>
        <v>59198</v>
      </c>
      <c r="AJ38" s="152">
        <f t="shared" si="33"/>
        <v>54700</v>
      </c>
      <c r="AK38" s="152"/>
      <c r="AL38" s="152">
        <f>SUM(AL33:AL37)</f>
        <v>1222778</v>
      </c>
      <c r="AM38" s="243">
        <f>SUM(AM33:AM37)</f>
        <v>3436864</v>
      </c>
      <c r="AN38" s="153"/>
      <c r="AO38" s="154">
        <f>SUM(AO33:AO37)</f>
        <v>970500</v>
      </c>
      <c r="AP38" s="41">
        <f>AO38/R38</f>
        <v>0.5478284430495501</v>
      </c>
      <c r="AQ38" s="236">
        <f>-1+AO38/Q38</f>
        <v>2.0074372482181593</v>
      </c>
      <c r="AR38" s="1"/>
      <c r="AS38" s="339">
        <f t="shared" si="25"/>
        <v>2194892</v>
      </c>
      <c r="AT38" s="82">
        <f t="shared" si="26"/>
        <v>1.8000626567443752</v>
      </c>
      <c r="AU38" s="339">
        <f>SUM(AU36:AU37)</f>
        <v>424614</v>
      </c>
      <c r="AV38" s="82">
        <f t="shared" si="28"/>
        <v>0.638632194931193</v>
      </c>
      <c r="AW38" s="339">
        <f>SUM(AW33:AW37)</f>
        <v>1241972</v>
      </c>
      <c r="AX38" s="339">
        <f>SUM(AX36:AX37)</f>
        <v>402614</v>
      </c>
      <c r="AY38" s="223"/>
      <c r="AZ38" s="245"/>
      <c r="BA38" s="245"/>
      <c r="BB38" s="244"/>
      <c r="BC38" s="160">
        <f>SUM(BC33:BC37)</f>
        <v>150421</v>
      </c>
      <c r="BD38" s="160">
        <f>SUM(BD33:BD37)</f>
        <v>166939.70000000004</v>
      </c>
      <c r="BE38" s="161">
        <f>SUM(BE33:BE37)</f>
        <v>57039.70000000001</v>
      </c>
      <c r="BF38" s="160"/>
      <c r="BG38" s="161">
        <f>SUM(BG33:BG37)</f>
        <v>38180</v>
      </c>
      <c r="BH38" s="161">
        <f>SUM(BH33:BH37)</f>
        <v>68140</v>
      </c>
      <c r="BI38" s="57">
        <f>SUM(BI33:BI37)</f>
        <v>37080</v>
      </c>
      <c r="BJ38" s="162"/>
      <c r="BK38" s="162"/>
      <c r="BL38" s="97">
        <f t="shared" si="9"/>
        <v>2.78967100462888</v>
      </c>
      <c r="BM38" s="98"/>
      <c r="BN38" s="82"/>
      <c r="BO38" s="82"/>
      <c r="BP38" s="82"/>
      <c r="BQ38" s="161">
        <f>SUM(BQ33:BQ37)</f>
        <v>187501</v>
      </c>
      <c r="BR38" s="101"/>
      <c r="BS38" s="161">
        <f t="shared" si="31"/>
        <v>426237</v>
      </c>
      <c r="BT38" s="161">
        <f t="shared" si="32"/>
        <v>1158001</v>
      </c>
      <c r="BU38" s="163">
        <f t="shared" si="12"/>
        <v>1.7168007470022548</v>
      </c>
      <c r="BV38" s="67"/>
    </row>
    <row r="39" spans="1:74" ht="7.5" customHeight="1" thickBot="1">
      <c r="A39" s="149"/>
      <c r="B39" s="150"/>
      <c r="C39" s="150"/>
      <c r="D39" s="150"/>
      <c r="E39" s="150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97"/>
      <c r="AQ39" s="97"/>
      <c r="AR39" s="97"/>
      <c r="AS39" s="164"/>
      <c r="AT39" s="82"/>
      <c r="AU39" s="165"/>
      <c r="AV39" s="168"/>
      <c r="AW39" s="164"/>
      <c r="AX39" s="165"/>
      <c r="AY39" s="88"/>
      <c r="AZ39" s="158"/>
      <c r="BA39" s="158"/>
      <c r="BB39" s="88"/>
      <c r="BC39" s="169"/>
      <c r="BD39" s="169"/>
      <c r="BE39" s="101"/>
      <c r="BF39" s="219"/>
      <c r="BG39" s="101"/>
      <c r="BH39" s="101"/>
      <c r="BI39" s="220"/>
      <c r="BJ39" s="162"/>
      <c r="BK39" s="162"/>
      <c r="BL39" s="97" t="e">
        <f t="shared" si="9"/>
        <v>#DIV/0!</v>
      </c>
      <c r="BM39" s="98"/>
      <c r="BN39" s="82"/>
      <c r="BO39" s="82"/>
      <c r="BP39" s="82"/>
      <c r="BQ39" s="101"/>
      <c r="BR39" s="101"/>
      <c r="BS39" s="101"/>
      <c r="BT39" s="101"/>
      <c r="BU39" s="221"/>
      <c r="BV39" s="67"/>
    </row>
    <row r="40" spans="1:74" ht="57">
      <c r="A40" s="72">
        <v>43379729</v>
      </c>
      <c r="B40" s="73" t="s">
        <v>93</v>
      </c>
      <c r="C40" s="73" t="s">
        <v>47</v>
      </c>
      <c r="D40" s="73" t="s">
        <v>94</v>
      </c>
      <c r="E40" s="73" t="s">
        <v>95</v>
      </c>
      <c r="F40" s="74">
        <v>2496890</v>
      </c>
      <c r="G40" s="246"/>
      <c r="H40" s="74">
        <v>60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5.6</v>
      </c>
      <c r="O40" s="74">
        <v>4.5</v>
      </c>
      <c r="P40" s="175" t="s">
        <v>287</v>
      </c>
      <c r="Q40" s="76">
        <v>393000</v>
      </c>
      <c r="R40" s="76">
        <v>500000</v>
      </c>
      <c r="S40" s="76">
        <v>478000</v>
      </c>
      <c r="T40" s="76">
        <v>240000</v>
      </c>
      <c r="U40" s="76">
        <v>0</v>
      </c>
      <c r="V40" s="76">
        <v>0</v>
      </c>
      <c r="W40" s="76">
        <v>419074</v>
      </c>
      <c r="X40" s="76">
        <v>678255</v>
      </c>
      <c r="Y40" s="76">
        <v>100000</v>
      </c>
      <c r="Z40" s="76">
        <v>125000</v>
      </c>
      <c r="AA40" s="76">
        <v>0</v>
      </c>
      <c r="AB40" s="76">
        <v>0</v>
      </c>
      <c r="AC40" s="76">
        <v>0</v>
      </c>
      <c r="AD40" s="76">
        <v>70000</v>
      </c>
      <c r="AE40" s="76">
        <v>0</v>
      </c>
      <c r="AF40" s="76">
        <v>0</v>
      </c>
      <c r="AG40" s="76">
        <v>366784</v>
      </c>
      <c r="AH40" s="76">
        <v>87500</v>
      </c>
      <c r="AI40" s="76">
        <v>75214</v>
      </c>
      <c r="AJ40" s="76">
        <v>0</v>
      </c>
      <c r="AK40" s="76">
        <v>1832072</v>
      </c>
      <c r="AL40" s="76">
        <v>1832072</v>
      </c>
      <c r="AM40" s="77">
        <v>2666755</v>
      </c>
      <c r="AN40" s="78"/>
      <c r="AO40" s="342">
        <v>425000</v>
      </c>
      <c r="AP40" s="222">
        <f>AO40/R40</f>
        <v>0.85</v>
      </c>
      <c r="AQ40" s="81">
        <f>-1+AO40/Q40</f>
        <v>0.08142493638676851</v>
      </c>
      <c r="AR40" s="82"/>
      <c r="AS40" s="176">
        <f t="shared" si="25"/>
        <v>947500</v>
      </c>
      <c r="AT40" s="177">
        <f t="shared" si="26"/>
        <v>0.5171739975284814</v>
      </c>
      <c r="AU40" s="85">
        <f t="shared" si="27"/>
        <v>884572</v>
      </c>
      <c r="AV40" s="86">
        <f t="shared" si="28"/>
        <v>0.35530073066329676</v>
      </c>
      <c r="AW40" s="178">
        <f t="shared" si="29"/>
        <v>1719255</v>
      </c>
      <c r="AX40" s="85">
        <f>IF(W40&gt;AU40,0,AU40-W40)</f>
        <v>465498</v>
      </c>
      <c r="AY40" s="88"/>
      <c r="AZ40" s="89">
        <f aca="true" t="shared" si="34" ref="AZ40:BA42">$AO40/N40</f>
        <v>75892.85714285714</v>
      </c>
      <c r="BA40" s="90">
        <f t="shared" si="34"/>
        <v>94444.44444444444</v>
      </c>
      <c r="BB40" s="88"/>
      <c r="BC40" s="224">
        <v>0</v>
      </c>
      <c r="BD40" s="224">
        <f t="shared" si="8"/>
        <v>468281.4</v>
      </c>
      <c r="BE40" s="225">
        <v>678255</v>
      </c>
      <c r="BF40" s="226">
        <f t="shared" si="14"/>
        <v>1.3585646135696994</v>
      </c>
      <c r="BG40" s="225">
        <v>0</v>
      </c>
      <c r="BH40" s="100">
        <v>678255</v>
      </c>
      <c r="BI40" s="180">
        <v>678255</v>
      </c>
      <c r="BJ40" s="227" t="s">
        <v>97</v>
      </c>
      <c r="BK40" s="121" t="s">
        <v>56</v>
      </c>
      <c r="BL40" s="97">
        <f t="shared" si="9"/>
        <v>1.0412232166526882</v>
      </c>
      <c r="BM40" s="98"/>
      <c r="BN40" s="99">
        <f>($BI40+$BC40+$AO40+$AJ40+$AH40+$AF40+$AD40+$AB40+$Z40+$V40+$T40)/$AL40</f>
        <v>0.8873859760970093</v>
      </c>
      <c r="BO40" s="177">
        <f t="shared" si="10"/>
        <v>0.6096379307435441</v>
      </c>
      <c r="BP40" s="82"/>
      <c r="BQ40" s="100">
        <f t="shared" si="11"/>
        <v>678255</v>
      </c>
      <c r="BR40" s="101"/>
      <c r="BS40" s="100">
        <f>Q40+W40</f>
        <v>812074</v>
      </c>
      <c r="BT40" s="100">
        <f>AO40+BQ40</f>
        <v>1103255</v>
      </c>
      <c r="BU40" s="102">
        <f t="shared" si="12"/>
        <v>0.3585646135696994</v>
      </c>
      <c r="BV40" s="64" t="s">
        <v>327</v>
      </c>
    </row>
    <row r="41" spans="1:74" ht="57">
      <c r="A41" s="103">
        <v>44990260</v>
      </c>
      <c r="B41" s="104" t="s">
        <v>76</v>
      </c>
      <c r="C41" s="104" t="s">
        <v>47</v>
      </c>
      <c r="D41" s="104" t="s">
        <v>94</v>
      </c>
      <c r="E41" s="104" t="s">
        <v>96</v>
      </c>
      <c r="F41" s="105">
        <v>7117099</v>
      </c>
      <c r="G41" s="105">
        <v>0</v>
      </c>
      <c r="H41" s="105">
        <v>260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6.1</v>
      </c>
      <c r="O41" s="105">
        <v>4.9</v>
      </c>
      <c r="P41" s="184" t="s">
        <v>280</v>
      </c>
      <c r="Q41" s="108">
        <v>584000</v>
      </c>
      <c r="R41" s="108">
        <v>700000</v>
      </c>
      <c r="S41" s="108">
        <v>576000</v>
      </c>
      <c r="T41" s="108">
        <v>510000</v>
      </c>
      <c r="U41" s="108">
        <v>186534</v>
      </c>
      <c r="V41" s="108">
        <v>190000</v>
      </c>
      <c r="W41" s="108">
        <v>426937</v>
      </c>
      <c r="X41" s="108">
        <v>580000</v>
      </c>
      <c r="Y41" s="108">
        <v>175000</v>
      </c>
      <c r="Z41" s="108">
        <v>180000</v>
      </c>
      <c r="AA41" s="108">
        <v>0</v>
      </c>
      <c r="AB41" s="108">
        <v>0</v>
      </c>
      <c r="AC41" s="108">
        <v>14562</v>
      </c>
      <c r="AD41" s="108">
        <v>0</v>
      </c>
      <c r="AE41" s="191"/>
      <c r="AF41" s="108">
        <v>0</v>
      </c>
      <c r="AG41" s="191"/>
      <c r="AH41" s="191"/>
      <c r="AI41" s="108">
        <v>418151</v>
      </c>
      <c r="AJ41" s="108">
        <v>132100</v>
      </c>
      <c r="AK41" s="108"/>
      <c r="AL41" s="108">
        <v>2381183</v>
      </c>
      <c r="AM41" s="109">
        <v>2552100</v>
      </c>
      <c r="AN41" s="78"/>
      <c r="AO41" s="348">
        <v>600000</v>
      </c>
      <c r="AP41" s="192">
        <f>AO41/R41</f>
        <v>0.8571428571428571</v>
      </c>
      <c r="AQ41" s="112">
        <f>-1+AO41/Q41</f>
        <v>0.027397260273972712</v>
      </c>
      <c r="AR41" s="82"/>
      <c r="AS41" s="113">
        <f t="shared" si="25"/>
        <v>1612100</v>
      </c>
      <c r="AT41" s="114">
        <f t="shared" si="26"/>
        <v>0.6770161398699135</v>
      </c>
      <c r="AU41" s="115">
        <f t="shared" si="27"/>
        <v>769084</v>
      </c>
      <c r="AV41" s="86">
        <f t="shared" si="28"/>
        <v>0.6316758747697975</v>
      </c>
      <c r="AW41" s="185">
        <f t="shared" si="29"/>
        <v>940000</v>
      </c>
      <c r="AX41" s="186">
        <f>IF(W41&gt;AU41,0,AU41-W41)</f>
        <v>342147</v>
      </c>
      <c r="AY41" s="88"/>
      <c r="AZ41" s="117">
        <f t="shared" si="34"/>
        <v>98360.65573770492</v>
      </c>
      <c r="BA41" s="118">
        <f t="shared" si="34"/>
        <v>122448.97959183673</v>
      </c>
      <c r="BB41" s="88"/>
      <c r="BC41" s="119">
        <v>228100</v>
      </c>
      <c r="BD41" s="91">
        <f t="shared" si="8"/>
        <v>283930.7000000002</v>
      </c>
      <c r="BE41" s="92">
        <v>349931</v>
      </c>
      <c r="BF41" s="93">
        <f t="shared" si="14"/>
        <v>1.1652862641292188</v>
      </c>
      <c r="BG41" s="92">
        <v>0</v>
      </c>
      <c r="BH41" s="123">
        <v>349931</v>
      </c>
      <c r="BI41" s="188">
        <v>349931</v>
      </c>
      <c r="BJ41" s="120" t="s">
        <v>97</v>
      </c>
      <c r="BK41" s="121" t="s">
        <v>51</v>
      </c>
      <c r="BL41" s="97">
        <f t="shared" si="9"/>
        <v>1.0637038521377975</v>
      </c>
      <c r="BM41" s="98"/>
      <c r="BN41" s="122">
        <f>($BI41+$BC41+$AO41+$AJ41+$AH41+$AF41+$AD41+$AB41+$Z41+$V41+$T41)/$AL41</f>
        <v>0.9197659314718777</v>
      </c>
      <c r="BO41" s="114">
        <f t="shared" si="10"/>
        <v>0.8581681752282434</v>
      </c>
      <c r="BP41" s="82"/>
      <c r="BQ41" s="123">
        <f t="shared" si="11"/>
        <v>578031</v>
      </c>
      <c r="BR41" s="101"/>
      <c r="BS41" s="123">
        <f>Q41+W41</f>
        <v>1010937</v>
      </c>
      <c r="BT41" s="123">
        <f>AO41+BQ41</f>
        <v>1178031</v>
      </c>
      <c r="BU41" s="124">
        <f t="shared" si="12"/>
        <v>0.16528626412921876</v>
      </c>
      <c r="BV41" s="65" t="s">
        <v>327</v>
      </c>
    </row>
    <row r="42" spans="1:74" ht="51" customHeight="1" thickBot="1">
      <c r="A42" s="125">
        <v>44990260</v>
      </c>
      <c r="B42" s="126" t="s">
        <v>76</v>
      </c>
      <c r="C42" s="126" t="s">
        <v>47</v>
      </c>
      <c r="D42" s="126" t="s">
        <v>94</v>
      </c>
      <c r="E42" s="126" t="s">
        <v>98</v>
      </c>
      <c r="F42" s="127">
        <v>7736193</v>
      </c>
      <c r="G42" s="127">
        <v>0</v>
      </c>
      <c r="H42" s="127">
        <v>150</v>
      </c>
      <c r="I42" s="127">
        <v>0</v>
      </c>
      <c r="J42" s="127">
        <v>0</v>
      </c>
      <c r="K42" s="127">
        <v>0</v>
      </c>
      <c r="L42" s="127">
        <v>0</v>
      </c>
      <c r="M42" s="127">
        <v>0</v>
      </c>
      <c r="N42" s="127">
        <v>4.4</v>
      </c>
      <c r="O42" s="127">
        <v>3.3</v>
      </c>
      <c r="P42" s="242" t="s">
        <v>289</v>
      </c>
      <c r="Q42" s="129">
        <v>797000</v>
      </c>
      <c r="R42" s="129">
        <v>899200</v>
      </c>
      <c r="S42" s="129">
        <v>496000</v>
      </c>
      <c r="T42" s="129">
        <v>470000</v>
      </c>
      <c r="U42" s="247"/>
      <c r="V42" s="129">
        <v>0</v>
      </c>
      <c r="W42" s="129">
        <v>406191</v>
      </c>
      <c r="X42" s="129">
        <v>359000</v>
      </c>
      <c r="Y42" s="129">
        <v>365847</v>
      </c>
      <c r="Z42" s="129">
        <v>270000</v>
      </c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84153</v>
      </c>
      <c r="AJ42" s="129">
        <v>13300</v>
      </c>
      <c r="AK42" s="129">
        <v>2179191</v>
      </c>
      <c r="AL42" s="129">
        <v>2179303</v>
      </c>
      <c r="AM42" s="130">
        <v>2141000</v>
      </c>
      <c r="AN42" s="78"/>
      <c r="AO42" s="349">
        <v>600000</v>
      </c>
      <c r="AP42" s="135">
        <f>AO42/R42</f>
        <v>0.6672597864768683</v>
      </c>
      <c r="AQ42" s="131">
        <f>-1+AO42/Q42</f>
        <v>-0.2471769134253451</v>
      </c>
      <c r="AR42" s="82"/>
      <c r="AS42" s="132">
        <f t="shared" si="25"/>
        <v>1353300</v>
      </c>
      <c r="AT42" s="133">
        <f t="shared" si="26"/>
        <v>0.6296787954165078</v>
      </c>
      <c r="AU42" s="134">
        <f t="shared" si="27"/>
        <v>795891</v>
      </c>
      <c r="AV42" s="135">
        <f t="shared" si="28"/>
        <v>0.6320878094348436</v>
      </c>
      <c r="AW42" s="248">
        <f t="shared" si="29"/>
        <v>787700</v>
      </c>
      <c r="AX42" s="249">
        <f>IF(W42&gt;AU42,0,AU42-W42)</f>
        <v>389700</v>
      </c>
      <c r="AY42" s="88"/>
      <c r="AZ42" s="137">
        <f t="shared" si="34"/>
        <v>136363.63636363635</v>
      </c>
      <c r="BA42" s="138">
        <f t="shared" si="34"/>
        <v>181818.18181818182</v>
      </c>
      <c r="BB42" s="88"/>
      <c r="BC42" s="139">
        <v>284340</v>
      </c>
      <c r="BD42" s="159">
        <f t="shared" si="8"/>
        <v>439170.1000000001</v>
      </c>
      <c r="BE42" s="230">
        <f t="shared" si="13"/>
        <v>74660</v>
      </c>
      <c r="BF42" s="231">
        <f t="shared" si="14"/>
        <v>0.797047185359598</v>
      </c>
      <c r="BG42" s="230"/>
      <c r="BH42" s="147">
        <v>180000</v>
      </c>
      <c r="BI42" s="232">
        <v>180000</v>
      </c>
      <c r="BJ42" s="144" t="s">
        <v>97</v>
      </c>
      <c r="BK42" s="145" t="s">
        <v>51</v>
      </c>
      <c r="BL42" s="97">
        <f t="shared" si="9"/>
        <v>0.902982654686848</v>
      </c>
      <c r="BM42" s="98"/>
      <c r="BN42" s="146">
        <f>($BI42+$BC42+$AO42+$AJ42+$AH42+$AF42+$AD42+$AB42+$Z42+$V42+$T42)/$AL42</f>
        <v>0.8340464818338708</v>
      </c>
      <c r="BO42" s="133">
        <f t="shared" si="10"/>
        <v>0.8489677720691265</v>
      </c>
      <c r="BP42" s="82"/>
      <c r="BQ42" s="147">
        <f t="shared" si="11"/>
        <v>464340</v>
      </c>
      <c r="BR42" s="101"/>
      <c r="BS42" s="147">
        <f>Q42+W42</f>
        <v>1203191</v>
      </c>
      <c r="BT42" s="147">
        <f>AO42+BQ42</f>
        <v>1064340</v>
      </c>
      <c r="BU42" s="235">
        <f t="shared" si="12"/>
        <v>-0.11540229273656466</v>
      </c>
      <c r="BV42" s="66" t="s">
        <v>328</v>
      </c>
    </row>
    <row r="43" spans="1:74" ht="15" thickBot="1">
      <c r="A43" s="167" t="s">
        <v>61</v>
      </c>
      <c r="B43" s="71"/>
      <c r="C43" s="71"/>
      <c r="D43" s="71"/>
      <c r="E43" s="7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2">
        <f>SUM(Q40:Q42)</f>
        <v>1774000</v>
      </c>
      <c r="R43" s="152">
        <f aca="true" t="shared" si="35" ref="R43:AM43">SUM(R40:R42)</f>
        <v>2099200</v>
      </c>
      <c r="S43" s="152">
        <f t="shared" si="35"/>
        <v>1550000</v>
      </c>
      <c r="T43" s="152">
        <f t="shared" si="35"/>
        <v>1220000</v>
      </c>
      <c r="U43" s="152">
        <f t="shared" si="35"/>
        <v>186534</v>
      </c>
      <c r="V43" s="152">
        <f t="shared" si="35"/>
        <v>190000</v>
      </c>
      <c r="W43" s="152">
        <f t="shared" si="35"/>
        <v>1252202</v>
      </c>
      <c r="X43" s="152">
        <f t="shared" si="35"/>
        <v>1617255</v>
      </c>
      <c r="Y43" s="152">
        <f t="shared" si="35"/>
        <v>640847</v>
      </c>
      <c r="Z43" s="152">
        <f t="shared" si="35"/>
        <v>575000</v>
      </c>
      <c r="AA43" s="152">
        <f t="shared" si="35"/>
        <v>0</v>
      </c>
      <c r="AB43" s="152">
        <f t="shared" si="35"/>
        <v>0</v>
      </c>
      <c r="AC43" s="152">
        <f t="shared" si="35"/>
        <v>14562</v>
      </c>
      <c r="AD43" s="152">
        <f t="shared" si="35"/>
        <v>70000</v>
      </c>
      <c r="AE43" s="152">
        <f t="shared" si="35"/>
        <v>0</v>
      </c>
      <c r="AF43" s="152">
        <f t="shared" si="35"/>
        <v>0</v>
      </c>
      <c r="AG43" s="152">
        <f t="shared" si="35"/>
        <v>366784</v>
      </c>
      <c r="AH43" s="152">
        <f t="shared" si="35"/>
        <v>87500</v>
      </c>
      <c r="AI43" s="152">
        <f t="shared" si="35"/>
        <v>577518</v>
      </c>
      <c r="AJ43" s="152">
        <f t="shared" si="35"/>
        <v>145400</v>
      </c>
      <c r="AK43" s="152"/>
      <c r="AL43" s="152">
        <f t="shared" si="35"/>
        <v>6392558</v>
      </c>
      <c r="AM43" s="154">
        <f t="shared" si="35"/>
        <v>7359855</v>
      </c>
      <c r="AN43" s="153"/>
      <c r="AO43" s="152">
        <f>SUM(AO40:AO42)</f>
        <v>1625000</v>
      </c>
      <c r="AP43" s="40">
        <f>AO43/R43</f>
        <v>0.7741044207317073</v>
      </c>
      <c r="AQ43" s="250">
        <f>-1+AO43/Q43</f>
        <v>-0.08399098083427281</v>
      </c>
      <c r="AR43" s="1"/>
      <c r="AS43" s="155">
        <f t="shared" si="25"/>
        <v>3912900</v>
      </c>
      <c r="AT43" s="207">
        <f t="shared" si="26"/>
        <v>0.6149992290701989</v>
      </c>
      <c r="AU43" s="156">
        <f>SUM(AU40:AU42)</f>
        <v>2449547</v>
      </c>
      <c r="AV43" s="215">
        <f t="shared" si="28"/>
        <v>0.5316544959105852</v>
      </c>
      <c r="AW43" s="216">
        <f>SUM(AW40:AW42)</f>
        <v>3446955</v>
      </c>
      <c r="AX43" s="210">
        <f>SUM(AX40:AX42)</f>
        <v>1197345</v>
      </c>
      <c r="AY43" s="88"/>
      <c r="AZ43" s="158"/>
      <c r="BA43" s="158"/>
      <c r="BB43" s="88"/>
      <c r="BC43" s="159">
        <f>SUM(BC40:BC42)</f>
        <v>512440</v>
      </c>
      <c r="BD43" s="159">
        <f>SUM(BD40:BD42)</f>
        <v>1191382.2000000002</v>
      </c>
      <c r="BE43" s="147">
        <f>SUM(BE40:BE42)</f>
        <v>1102846</v>
      </c>
      <c r="BF43" s="159"/>
      <c r="BG43" s="147">
        <f>SUM(BG40:BG42)</f>
        <v>0</v>
      </c>
      <c r="BH43" s="147">
        <f>SUM(BH40:BH42)</f>
        <v>1208186</v>
      </c>
      <c r="BI43" s="57">
        <f>SUM(BI40:BI42)</f>
        <v>1208186</v>
      </c>
      <c r="BJ43" s="162"/>
      <c r="BK43" s="162"/>
      <c r="BL43" s="97">
        <f t="shared" si="9"/>
        <v>0.9976889132079397</v>
      </c>
      <c r="BM43" s="98"/>
      <c r="BN43" s="82"/>
      <c r="BO43" s="82"/>
      <c r="BP43" s="82"/>
      <c r="BQ43" s="161">
        <f>SUM(BQ40:BQ42)</f>
        <v>1720626</v>
      </c>
      <c r="BR43" s="101"/>
      <c r="BS43" s="161">
        <f>Q43+W43</f>
        <v>3026202</v>
      </c>
      <c r="BT43" s="161">
        <f>AO43+BQ43</f>
        <v>3345626</v>
      </c>
      <c r="BU43" s="163">
        <f t="shared" si="12"/>
        <v>0.10555276878410624</v>
      </c>
      <c r="BV43" s="67"/>
    </row>
    <row r="44" spans="1:74" ht="9" customHeight="1" thickBot="1">
      <c r="A44" s="149"/>
      <c r="B44" s="150"/>
      <c r="C44" s="150"/>
      <c r="D44" s="150"/>
      <c r="E44" s="150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97"/>
      <c r="AQ44" s="97"/>
      <c r="AR44" s="97"/>
      <c r="AS44" s="164"/>
      <c r="AT44" s="82"/>
      <c r="AU44" s="165"/>
      <c r="AV44" s="215"/>
      <c r="AW44" s="164"/>
      <c r="AX44" s="165"/>
      <c r="AY44" s="88"/>
      <c r="AZ44" s="158"/>
      <c r="BA44" s="158"/>
      <c r="BB44" s="88"/>
      <c r="BC44" s="169"/>
      <c r="BD44" s="169"/>
      <c r="BE44" s="101"/>
      <c r="BF44" s="219"/>
      <c r="BG44" s="101"/>
      <c r="BH44" s="101"/>
      <c r="BI44" s="220"/>
      <c r="BJ44" s="162"/>
      <c r="BK44" s="162"/>
      <c r="BL44" s="97" t="e">
        <f t="shared" si="9"/>
        <v>#DIV/0!</v>
      </c>
      <c r="BM44" s="98"/>
      <c r="BN44" s="82"/>
      <c r="BO44" s="82"/>
      <c r="BP44" s="82"/>
      <c r="BQ44" s="101"/>
      <c r="BR44" s="101"/>
      <c r="BS44" s="101"/>
      <c r="BT44" s="101"/>
      <c r="BU44" s="221"/>
      <c r="BV44" s="67"/>
    </row>
    <row r="45" spans="1:74" ht="7.5" customHeight="1" thickBot="1">
      <c r="A45" s="251"/>
      <c r="B45" s="251"/>
      <c r="C45" s="251"/>
      <c r="D45" s="251"/>
      <c r="E45" s="251"/>
      <c r="F45" s="151"/>
      <c r="G45" s="88"/>
      <c r="H45" s="151"/>
      <c r="I45" s="151"/>
      <c r="J45" s="151"/>
      <c r="K45" s="151"/>
      <c r="L45" s="151"/>
      <c r="M45" s="151"/>
      <c r="N45" s="151"/>
      <c r="O45" s="151"/>
      <c r="P45" s="151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97"/>
      <c r="AQ45" s="97"/>
      <c r="AR45" s="97"/>
      <c r="AS45" s="164"/>
      <c r="AT45" s="82"/>
      <c r="AU45" s="165"/>
      <c r="AV45" s="215"/>
      <c r="AW45" s="164"/>
      <c r="AX45" s="165"/>
      <c r="AY45" s="88"/>
      <c r="AZ45" s="158"/>
      <c r="BA45" s="158"/>
      <c r="BB45" s="88"/>
      <c r="BC45" s="169"/>
      <c r="BD45" s="170"/>
      <c r="BE45" s="171"/>
      <c r="BF45" s="172"/>
      <c r="BG45" s="171"/>
      <c r="BH45" s="171"/>
      <c r="BI45" s="285"/>
      <c r="BJ45" s="241"/>
      <c r="BK45" s="162"/>
      <c r="BL45" s="97" t="e">
        <f t="shared" si="9"/>
        <v>#DIV/0!</v>
      </c>
      <c r="BM45" s="98"/>
      <c r="BN45" s="82"/>
      <c r="BO45" s="82"/>
      <c r="BP45" s="82"/>
      <c r="BQ45" s="283"/>
      <c r="BR45" s="101"/>
      <c r="BS45" s="283"/>
      <c r="BT45" s="283"/>
      <c r="BU45" s="286"/>
      <c r="BV45" s="67"/>
    </row>
    <row r="46" spans="1:74" ht="85.5">
      <c r="A46" s="72">
        <v>15060233</v>
      </c>
      <c r="B46" s="73" t="s">
        <v>46</v>
      </c>
      <c r="C46" s="73" t="s">
        <v>47</v>
      </c>
      <c r="D46" s="73" t="s">
        <v>99</v>
      </c>
      <c r="E46" s="73" t="s">
        <v>100</v>
      </c>
      <c r="F46" s="74">
        <v>1758665</v>
      </c>
      <c r="G46" s="74">
        <v>0</v>
      </c>
      <c r="H46" s="74">
        <v>130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4.6</v>
      </c>
      <c r="O46" s="74">
        <v>3.5</v>
      </c>
      <c r="P46" s="175" t="s">
        <v>282</v>
      </c>
      <c r="Q46" s="76">
        <v>575000</v>
      </c>
      <c r="R46" s="76">
        <v>1180000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69228</v>
      </c>
      <c r="Y46" s="76">
        <v>350000</v>
      </c>
      <c r="Z46" s="76">
        <v>350000</v>
      </c>
      <c r="AA46" s="76">
        <v>0</v>
      </c>
      <c r="AB46" s="76">
        <v>0</v>
      </c>
      <c r="AC46" s="76">
        <v>1800</v>
      </c>
      <c r="AD46" s="76">
        <v>0</v>
      </c>
      <c r="AE46" s="76">
        <v>0</v>
      </c>
      <c r="AF46" s="76">
        <v>0</v>
      </c>
      <c r="AG46" s="76">
        <v>0</v>
      </c>
      <c r="AH46" s="76">
        <v>0</v>
      </c>
      <c r="AI46" s="76">
        <v>0</v>
      </c>
      <c r="AJ46" s="76">
        <v>0</v>
      </c>
      <c r="AK46" s="76"/>
      <c r="AL46" s="76">
        <v>826800</v>
      </c>
      <c r="AM46" s="77">
        <v>1599228</v>
      </c>
      <c r="AN46" s="78"/>
      <c r="AO46" s="342">
        <v>900000</v>
      </c>
      <c r="AP46" s="222">
        <f aca="true" t="shared" si="36" ref="AP46:AP58">AO46/R46</f>
        <v>0.7627118644067796</v>
      </c>
      <c r="AQ46" s="81">
        <f>-1+AO46/Q46</f>
        <v>0.5652173913043479</v>
      </c>
      <c r="AR46" s="82"/>
      <c r="AS46" s="176">
        <f t="shared" si="25"/>
        <v>1250000</v>
      </c>
      <c r="AT46" s="177">
        <f t="shared" si="26"/>
        <v>1.3487268018990073</v>
      </c>
      <c r="AU46" s="85">
        <f>IF(AT46&gt;=100%,0,(Q46+S46+U46+W46+Y46+AA46+AC46+AE46+AG46+AI46)-(T46+V46+Z46+AB46+AD46+AF46+AH46+AJ46+AO46))</f>
        <v>0</v>
      </c>
      <c r="AV46" s="86">
        <f t="shared" si="28"/>
        <v>0.7816271350926822</v>
      </c>
      <c r="AW46" s="178">
        <f t="shared" si="29"/>
        <v>349228</v>
      </c>
      <c r="AX46" s="85">
        <f aca="true" t="shared" si="37" ref="AX46:AX57">IF(W46&gt;AU46,0,AU46-W46)</f>
        <v>0</v>
      </c>
      <c r="AY46" s="88"/>
      <c r="AZ46" s="89">
        <f aca="true" t="shared" si="38" ref="AZ46:AZ57">$AO46/N46</f>
        <v>195652.1739130435</v>
      </c>
      <c r="BA46" s="90">
        <f aca="true" t="shared" si="39" ref="BA46:BA57">$AO46/O46</f>
        <v>257142.85714285713</v>
      </c>
      <c r="BB46" s="88"/>
      <c r="BC46" s="179">
        <v>0</v>
      </c>
      <c r="BD46" s="91"/>
      <c r="BE46" s="92">
        <f t="shared" si="13"/>
        <v>0</v>
      </c>
      <c r="BF46" s="93">
        <f t="shared" si="14"/>
        <v>1.565217391304348</v>
      </c>
      <c r="BG46" s="92"/>
      <c r="BH46" s="92">
        <v>0</v>
      </c>
      <c r="BI46" s="94">
        <v>0</v>
      </c>
      <c r="BJ46" s="95" t="s">
        <v>104</v>
      </c>
      <c r="BK46" s="182" t="s">
        <v>51</v>
      </c>
      <c r="BL46" s="97">
        <f t="shared" si="9"/>
        <v>1.565217391304348</v>
      </c>
      <c r="BM46" s="98"/>
      <c r="BN46" s="99">
        <f aca="true" t="shared" si="40" ref="BN46:BN57">($BI46+$BC46+$AO46+$AJ46+$AH46+$AF46+$AD46+$AB46+$Z46+$V46+$T46)/$AL46</f>
        <v>1.5118529269472665</v>
      </c>
      <c r="BO46" s="99">
        <f t="shared" si="10"/>
        <v>0.7816271350926822</v>
      </c>
      <c r="BP46" s="82"/>
      <c r="BQ46" s="100">
        <f t="shared" si="11"/>
        <v>0</v>
      </c>
      <c r="BR46" s="101"/>
      <c r="BS46" s="92">
        <f aca="true" t="shared" si="41" ref="BS46:BS58">Q46+W46</f>
        <v>575000</v>
      </c>
      <c r="BT46" s="92">
        <f aca="true" t="shared" si="42" ref="BT46:BT58">AO46+BQ46</f>
        <v>900000</v>
      </c>
      <c r="BU46" s="102">
        <f t="shared" si="12"/>
        <v>0.5652173913043479</v>
      </c>
      <c r="BV46" s="64" t="s">
        <v>321</v>
      </c>
    </row>
    <row r="47" spans="1:74" ht="85.5">
      <c r="A47" s="103">
        <v>15060233</v>
      </c>
      <c r="B47" s="104" t="s">
        <v>46</v>
      </c>
      <c r="C47" s="104" t="s">
        <v>47</v>
      </c>
      <c r="D47" s="104" t="s">
        <v>99</v>
      </c>
      <c r="E47" s="104" t="s">
        <v>101</v>
      </c>
      <c r="F47" s="106"/>
      <c r="G47" s="105">
        <v>0</v>
      </c>
      <c r="H47" s="105">
        <v>310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5.1</v>
      </c>
      <c r="O47" s="105">
        <v>4.5</v>
      </c>
      <c r="P47" s="344" t="s">
        <v>282</v>
      </c>
      <c r="Q47" s="108">
        <v>0</v>
      </c>
      <c r="R47" s="108">
        <v>1170750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  <c r="X47" s="108">
        <v>69800</v>
      </c>
      <c r="Y47" s="108">
        <v>0</v>
      </c>
      <c r="Z47" s="108">
        <v>400000</v>
      </c>
      <c r="AA47" s="108">
        <v>0</v>
      </c>
      <c r="AB47" s="108">
        <v>0</v>
      </c>
      <c r="AC47" s="108">
        <v>0</v>
      </c>
      <c r="AD47" s="108">
        <v>0</v>
      </c>
      <c r="AE47" s="108">
        <v>0</v>
      </c>
      <c r="AF47" s="108">
        <v>0</v>
      </c>
      <c r="AG47" s="108">
        <v>0</v>
      </c>
      <c r="AH47" s="108">
        <v>0</v>
      </c>
      <c r="AI47" s="108">
        <v>0</v>
      </c>
      <c r="AJ47" s="108">
        <v>0</v>
      </c>
      <c r="AK47" s="108"/>
      <c r="AL47" s="108">
        <v>0</v>
      </c>
      <c r="AM47" s="109">
        <v>1640550</v>
      </c>
      <c r="AN47" s="78"/>
      <c r="AO47" s="348">
        <v>936600</v>
      </c>
      <c r="AP47" s="192">
        <f t="shared" si="36"/>
        <v>0.8</v>
      </c>
      <c r="AQ47" s="112"/>
      <c r="AR47" s="82"/>
      <c r="AS47" s="113">
        <f t="shared" si="25"/>
        <v>1336600</v>
      </c>
      <c r="AT47" s="114"/>
      <c r="AU47" s="115"/>
      <c r="AV47" s="86">
        <f t="shared" si="28"/>
        <v>0.8147267684617964</v>
      </c>
      <c r="AW47" s="185">
        <f t="shared" si="29"/>
        <v>303950</v>
      </c>
      <c r="AX47" s="186">
        <f t="shared" si="37"/>
        <v>0</v>
      </c>
      <c r="AY47" s="88"/>
      <c r="AZ47" s="117">
        <f t="shared" si="38"/>
        <v>183647.05882352943</v>
      </c>
      <c r="BA47" s="118">
        <f t="shared" si="39"/>
        <v>208133.33333333334</v>
      </c>
      <c r="BB47" s="88"/>
      <c r="BC47" s="187">
        <v>0</v>
      </c>
      <c r="BD47" s="91"/>
      <c r="BE47" s="92">
        <f t="shared" si="13"/>
        <v>0</v>
      </c>
      <c r="BF47" s="93"/>
      <c r="BG47" s="92"/>
      <c r="BH47" s="92">
        <v>0</v>
      </c>
      <c r="BI47" s="94">
        <v>0</v>
      </c>
      <c r="BJ47" s="120" t="s">
        <v>104</v>
      </c>
      <c r="BK47" s="96" t="s">
        <v>51</v>
      </c>
      <c r="BL47" s="97" t="e">
        <f t="shared" si="9"/>
        <v>#DIV/0!</v>
      </c>
      <c r="BM47" s="98"/>
      <c r="BN47" s="122" t="e">
        <f t="shared" si="40"/>
        <v>#DIV/0!</v>
      </c>
      <c r="BO47" s="122">
        <f t="shared" si="10"/>
        <v>0.8147267684617964</v>
      </c>
      <c r="BP47" s="82"/>
      <c r="BQ47" s="123">
        <f t="shared" si="11"/>
        <v>0</v>
      </c>
      <c r="BR47" s="101"/>
      <c r="BS47" s="92">
        <f t="shared" si="41"/>
        <v>0</v>
      </c>
      <c r="BT47" s="92">
        <f t="shared" si="42"/>
        <v>936600</v>
      </c>
      <c r="BU47" s="124"/>
      <c r="BV47" s="65" t="s">
        <v>321</v>
      </c>
    </row>
    <row r="48" spans="1:74" ht="57">
      <c r="A48" s="103">
        <v>43379168</v>
      </c>
      <c r="B48" s="104" t="s">
        <v>74</v>
      </c>
      <c r="C48" s="104" t="s">
        <v>59</v>
      </c>
      <c r="D48" s="104" t="s">
        <v>99</v>
      </c>
      <c r="E48" s="104" t="s">
        <v>102</v>
      </c>
      <c r="F48" s="105">
        <v>7029718</v>
      </c>
      <c r="G48" s="106"/>
      <c r="H48" s="105">
        <v>30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3.7</v>
      </c>
      <c r="O48" s="105">
        <v>3.3</v>
      </c>
      <c r="P48" s="184" t="s">
        <v>287</v>
      </c>
      <c r="Q48" s="108">
        <v>0</v>
      </c>
      <c r="R48" s="108">
        <v>100000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613000</v>
      </c>
      <c r="AB48" s="108">
        <v>876000</v>
      </c>
      <c r="AC48" s="108">
        <v>0</v>
      </c>
      <c r="AD48" s="108">
        <v>0</v>
      </c>
      <c r="AE48" s="108">
        <v>0</v>
      </c>
      <c r="AF48" s="108">
        <v>0</v>
      </c>
      <c r="AG48" s="108">
        <v>1300000</v>
      </c>
      <c r="AH48" s="108">
        <v>600000</v>
      </c>
      <c r="AI48" s="108">
        <v>15000</v>
      </c>
      <c r="AJ48" s="108">
        <v>10000</v>
      </c>
      <c r="AK48" s="108"/>
      <c r="AL48" s="108">
        <v>1928000</v>
      </c>
      <c r="AM48" s="109">
        <v>1586000</v>
      </c>
      <c r="AN48" s="78"/>
      <c r="AO48" s="348">
        <v>90000</v>
      </c>
      <c r="AP48" s="192">
        <f t="shared" si="36"/>
        <v>0.9</v>
      </c>
      <c r="AQ48" s="112"/>
      <c r="AR48" s="82"/>
      <c r="AS48" s="113">
        <f t="shared" si="25"/>
        <v>1576000</v>
      </c>
      <c r="AT48" s="114">
        <f t="shared" si="26"/>
        <v>0.8174273858921162</v>
      </c>
      <c r="AU48" s="115">
        <f t="shared" si="27"/>
        <v>352000</v>
      </c>
      <c r="AV48" s="86">
        <f t="shared" si="28"/>
        <v>0.9936948297604036</v>
      </c>
      <c r="AW48" s="185">
        <f t="shared" si="29"/>
        <v>10000</v>
      </c>
      <c r="AX48" s="186">
        <f t="shared" si="37"/>
        <v>352000</v>
      </c>
      <c r="AY48" s="88"/>
      <c r="AZ48" s="117">
        <f t="shared" si="38"/>
        <v>24324.324324324323</v>
      </c>
      <c r="BA48" s="118">
        <f t="shared" si="39"/>
        <v>27272.727272727276</v>
      </c>
      <c r="BB48" s="88"/>
      <c r="BC48" s="187">
        <v>0</v>
      </c>
      <c r="BD48" s="91"/>
      <c r="BE48" s="92">
        <f t="shared" si="13"/>
        <v>0</v>
      </c>
      <c r="BF48" s="93"/>
      <c r="BG48" s="92"/>
      <c r="BH48" s="92">
        <v>0</v>
      </c>
      <c r="BI48" s="94">
        <v>0</v>
      </c>
      <c r="BJ48" s="120" t="s">
        <v>104</v>
      </c>
      <c r="BK48" s="121" t="s">
        <v>60</v>
      </c>
      <c r="BL48" s="97" t="e">
        <f t="shared" si="9"/>
        <v>#DIV/0!</v>
      </c>
      <c r="BM48" s="98"/>
      <c r="BN48" s="122">
        <f t="shared" si="40"/>
        <v>0.8174273858921162</v>
      </c>
      <c r="BO48" s="122">
        <f t="shared" si="10"/>
        <v>0.9936948297604036</v>
      </c>
      <c r="BP48" s="82"/>
      <c r="BQ48" s="123">
        <f t="shared" si="11"/>
        <v>0</v>
      </c>
      <c r="BR48" s="101"/>
      <c r="BS48" s="92">
        <f t="shared" si="41"/>
        <v>0</v>
      </c>
      <c r="BT48" s="92">
        <f t="shared" si="42"/>
        <v>90000</v>
      </c>
      <c r="BU48" s="124"/>
      <c r="BV48" s="65" t="s">
        <v>329</v>
      </c>
    </row>
    <row r="49" spans="1:74" ht="57">
      <c r="A49" s="103">
        <v>44990260</v>
      </c>
      <c r="B49" s="252" t="s">
        <v>76</v>
      </c>
      <c r="C49" s="252" t="s">
        <v>47</v>
      </c>
      <c r="D49" s="252" t="s">
        <v>99</v>
      </c>
      <c r="E49" s="252" t="s">
        <v>103</v>
      </c>
      <c r="F49" s="253">
        <v>7732889</v>
      </c>
      <c r="G49" s="254"/>
      <c r="H49" s="253">
        <v>180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2.6</v>
      </c>
      <c r="O49" s="253">
        <v>2.2</v>
      </c>
      <c r="P49" s="345" t="s">
        <v>287</v>
      </c>
      <c r="Q49" s="255">
        <v>866000</v>
      </c>
      <c r="R49" s="255">
        <v>890000</v>
      </c>
      <c r="S49" s="255">
        <v>57000</v>
      </c>
      <c r="T49" s="255">
        <v>130000</v>
      </c>
      <c r="U49" s="255">
        <v>0</v>
      </c>
      <c r="V49" s="255">
        <v>0</v>
      </c>
      <c r="W49" s="255">
        <v>112329</v>
      </c>
      <c r="X49" s="255">
        <v>200000</v>
      </c>
      <c r="Y49" s="255">
        <v>260000</v>
      </c>
      <c r="Z49" s="255">
        <v>160000</v>
      </c>
      <c r="AA49" s="255">
        <v>0</v>
      </c>
      <c r="AB49" s="255">
        <v>0</v>
      </c>
      <c r="AC49" s="255">
        <v>0</v>
      </c>
      <c r="AD49" s="255">
        <v>0</v>
      </c>
      <c r="AE49" s="255">
        <v>0</v>
      </c>
      <c r="AF49" s="255">
        <v>0</v>
      </c>
      <c r="AG49" s="255">
        <v>0</v>
      </c>
      <c r="AH49" s="255">
        <v>0</v>
      </c>
      <c r="AI49" s="255">
        <v>352115</v>
      </c>
      <c r="AJ49" s="255">
        <v>25900</v>
      </c>
      <c r="AK49" s="255">
        <v>1797444</v>
      </c>
      <c r="AL49" s="255">
        <v>1801516</v>
      </c>
      <c r="AM49" s="256">
        <v>1257900</v>
      </c>
      <c r="AN49" s="257"/>
      <c r="AO49" s="354">
        <v>800000</v>
      </c>
      <c r="AP49" s="353">
        <f t="shared" si="36"/>
        <v>0.898876404494382</v>
      </c>
      <c r="AQ49" s="258">
        <f aca="true" t="shared" si="43" ref="AQ49:AQ58">-1+AO49/Q49</f>
        <v>-0.07621247113163976</v>
      </c>
      <c r="AR49" s="259"/>
      <c r="AS49" s="260">
        <f t="shared" si="25"/>
        <v>1115900</v>
      </c>
      <c r="AT49" s="261">
        <f t="shared" si="26"/>
        <v>0.6773523106096474</v>
      </c>
      <c r="AU49" s="262">
        <f t="shared" si="27"/>
        <v>531544</v>
      </c>
      <c r="AV49" s="263">
        <f t="shared" si="28"/>
        <v>0.8871134430399873</v>
      </c>
      <c r="AW49" s="264">
        <f t="shared" si="29"/>
        <v>142000</v>
      </c>
      <c r="AX49" s="265">
        <f t="shared" si="37"/>
        <v>419215</v>
      </c>
      <c r="AY49" s="266"/>
      <c r="AZ49" s="267">
        <f t="shared" si="38"/>
        <v>307692.3076923077</v>
      </c>
      <c r="BA49" s="268">
        <f t="shared" si="39"/>
        <v>363636.3636363636</v>
      </c>
      <c r="BB49" s="266"/>
      <c r="BC49" s="269">
        <v>105000</v>
      </c>
      <c r="BD49" s="270">
        <f t="shared" si="8"/>
        <v>171161.90000000014</v>
      </c>
      <c r="BE49" s="271">
        <f t="shared" si="13"/>
        <v>95000</v>
      </c>
      <c r="BF49" s="272">
        <f t="shared" si="14"/>
        <v>1.0221510350812457</v>
      </c>
      <c r="BG49" s="271"/>
      <c r="BH49" s="271">
        <v>95000</v>
      </c>
      <c r="BI49" s="94">
        <v>37000</v>
      </c>
      <c r="BJ49" s="273" t="s">
        <v>104</v>
      </c>
      <c r="BK49" s="274" t="s">
        <v>51</v>
      </c>
      <c r="BL49" s="275">
        <f t="shared" si="9"/>
        <v>1.0914404986241089</v>
      </c>
      <c r="BM49" s="276"/>
      <c r="BN49" s="277">
        <f t="shared" si="40"/>
        <v>0.6982452556624532</v>
      </c>
      <c r="BO49" s="277">
        <f t="shared" si="10"/>
        <v>1</v>
      </c>
      <c r="BP49" s="259"/>
      <c r="BQ49" s="278">
        <f t="shared" si="11"/>
        <v>142000</v>
      </c>
      <c r="BR49" s="279"/>
      <c r="BS49" s="271">
        <f t="shared" si="41"/>
        <v>978329</v>
      </c>
      <c r="BT49" s="271">
        <f t="shared" si="42"/>
        <v>942000</v>
      </c>
      <c r="BU49" s="280">
        <f t="shared" si="12"/>
        <v>-0.03713372495346656</v>
      </c>
      <c r="BV49" s="69" t="s">
        <v>330</v>
      </c>
    </row>
    <row r="50" spans="1:74" ht="57">
      <c r="A50" s="103">
        <v>44990260</v>
      </c>
      <c r="B50" s="104" t="s">
        <v>76</v>
      </c>
      <c r="C50" s="104" t="s">
        <v>47</v>
      </c>
      <c r="D50" s="104" t="s">
        <v>99</v>
      </c>
      <c r="E50" s="104" t="s">
        <v>105</v>
      </c>
      <c r="F50" s="105">
        <v>7018288</v>
      </c>
      <c r="G50" s="106"/>
      <c r="H50" s="105">
        <v>140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6.8</v>
      </c>
      <c r="O50" s="105">
        <v>5.5</v>
      </c>
      <c r="P50" s="184" t="s">
        <v>280</v>
      </c>
      <c r="Q50" s="108">
        <v>924000</v>
      </c>
      <c r="R50" s="108">
        <v>900000</v>
      </c>
      <c r="S50" s="108">
        <v>150000</v>
      </c>
      <c r="T50" s="108">
        <v>600000</v>
      </c>
      <c r="U50" s="108">
        <v>269517</v>
      </c>
      <c r="V50" s="108">
        <v>138800</v>
      </c>
      <c r="W50" s="108">
        <v>581523</v>
      </c>
      <c r="X50" s="108">
        <v>320000</v>
      </c>
      <c r="Y50" s="108">
        <v>175000</v>
      </c>
      <c r="Z50" s="108">
        <v>180000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446396</v>
      </c>
      <c r="AJ50" s="108">
        <v>508800</v>
      </c>
      <c r="AK50" s="108"/>
      <c r="AL50" s="108">
        <v>2546435</v>
      </c>
      <c r="AM50" s="109">
        <v>2647600</v>
      </c>
      <c r="AN50" s="78"/>
      <c r="AO50" s="348">
        <v>700000</v>
      </c>
      <c r="AP50" s="192">
        <f t="shared" si="36"/>
        <v>0.7777777777777778</v>
      </c>
      <c r="AQ50" s="112">
        <f t="shared" si="43"/>
        <v>-0.24242424242424243</v>
      </c>
      <c r="AR50" s="82"/>
      <c r="AS50" s="113">
        <f t="shared" si="25"/>
        <v>2127600</v>
      </c>
      <c r="AT50" s="114">
        <f t="shared" si="26"/>
        <v>0.8355207042313256</v>
      </c>
      <c r="AU50" s="115">
        <f t="shared" si="27"/>
        <v>418836</v>
      </c>
      <c r="AV50" s="86">
        <f t="shared" si="28"/>
        <v>0.8035957093216498</v>
      </c>
      <c r="AW50" s="185">
        <f t="shared" si="29"/>
        <v>520000</v>
      </c>
      <c r="AX50" s="186">
        <f t="shared" si="37"/>
        <v>0</v>
      </c>
      <c r="AY50" s="88"/>
      <c r="AZ50" s="117">
        <f t="shared" si="38"/>
        <v>102941.17647058824</v>
      </c>
      <c r="BA50" s="118">
        <f t="shared" si="39"/>
        <v>127272.72727272728</v>
      </c>
      <c r="BB50" s="88"/>
      <c r="BC50" s="187">
        <v>407066</v>
      </c>
      <c r="BD50" s="91">
        <f t="shared" si="8"/>
        <v>549009.3</v>
      </c>
      <c r="BE50" s="92"/>
      <c r="BF50" s="93">
        <f t="shared" si="14"/>
        <v>0.7353364910399908</v>
      </c>
      <c r="BG50" s="92"/>
      <c r="BH50" s="92">
        <v>0</v>
      </c>
      <c r="BI50" s="94">
        <v>0</v>
      </c>
      <c r="BJ50" s="120" t="s">
        <v>104</v>
      </c>
      <c r="BK50" s="121" t="s">
        <v>51</v>
      </c>
      <c r="BL50" s="97">
        <f t="shared" si="9"/>
        <v>1.0311339679364164</v>
      </c>
      <c r="BM50" s="98"/>
      <c r="BN50" s="122">
        <f t="shared" si="40"/>
        <v>0.9953782444869003</v>
      </c>
      <c r="BO50" s="122">
        <f t="shared" si="10"/>
        <v>0.9573447650702523</v>
      </c>
      <c r="BP50" s="82"/>
      <c r="BQ50" s="123">
        <f t="shared" si="11"/>
        <v>407066</v>
      </c>
      <c r="BR50" s="101"/>
      <c r="BS50" s="92">
        <f t="shared" si="41"/>
        <v>1505523</v>
      </c>
      <c r="BT50" s="92">
        <f t="shared" si="42"/>
        <v>1107066</v>
      </c>
      <c r="BU50" s="124">
        <f t="shared" si="12"/>
        <v>-0.26466350896000923</v>
      </c>
      <c r="BV50" s="65" t="s">
        <v>331</v>
      </c>
    </row>
    <row r="51" spans="1:74" ht="42.75">
      <c r="A51" s="103">
        <v>44990260</v>
      </c>
      <c r="B51" s="104" t="s">
        <v>76</v>
      </c>
      <c r="C51" s="104" t="s">
        <v>47</v>
      </c>
      <c r="D51" s="104" t="s">
        <v>99</v>
      </c>
      <c r="E51" s="104" t="s">
        <v>106</v>
      </c>
      <c r="F51" s="105">
        <v>1817641</v>
      </c>
      <c r="G51" s="105">
        <v>0</v>
      </c>
      <c r="H51" s="105">
        <v>100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3.9</v>
      </c>
      <c r="O51" s="105">
        <v>3.3</v>
      </c>
      <c r="P51" s="184" t="s">
        <v>280</v>
      </c>
      <c r="Q51" s="108">
        <v>861000</v>
      </c>
      <c r="R51" s="108">
        <v>870000</v>
      </c>
      <c r="S51" s="108">
        <v>613000</v>
      </c>
      <c r="T51" s="108">
        <v>380000</v>
      </c>
      <c r="U51" s="108">
        <v>6000</v>
      </c>
      <c r="V51" s="108">
        <v>0</v>
      </c>
      <c r="W51" s="108">
        <v>470554</v>
      </c>
      <c r="X51" s="108">
        <v>235000</v>
      </c>
      <c r="Y51" s="108">
        <v>175000</v>
      </c>
      <c r="Z51" s="108">
        <v>90000</v>
      </c>
      <c r="AA51" s="108">
        <v>0</v>
      </c>
      <c r="AB51" s="108">
        <v>0</v>
      </c>
      <c r="AC51" s="108">
        <v>168260</v>
      </c>
      <c r="AD51" s="108">
        <v>0</v>
      </c>
      <c r="AE51" s="191">
        <v>0</v>
      </c>
      <c r="AF51" s="108">
        <v>0</v>
      </c>
      <c r="AG51" s="191"/>
      <c r="AH51" s="191"/>
      <c r="AI51" s="108">
        <v>357199</v>
      </c>
      <c r="AJ51" s="108">
        <v>139000</v>
      </c>
      <c r="AK51" s="108"/>
      <c r="AL51" s="108">
        <v>2651013</v>
      </c>
      <c r="AM51" s="109">
        <v>1413000</v>
      </c>
      <c r="AN51" s="78"/>
      <c r="AO51" s="348">
        <v>422000</v>
      </c>
      <c r="AP51" s="192">
        <f t="shared" si="36"/>
        <v>0.4850574712643678</v>
      </c>
      <c r="AQ51" s="112">
        <f t="shared" si="43"/>
        <v>-0.5098722415795587</v>
      </c>
      <c r="AR51" s="82"/>
      <c r="AS51" s="113">
        <f t="shared" si="25"/>
        <v>1031000</v>
      </c>
      <c r="AT51" s="114">
        <f t="shared" si="26"/>
        <v>0.3889079382107896</v>
      </c>
      <c r="AU51" s="115">
        <f t="shared" si="27"/>
        <v>1620013</v>
      </c>
      <c r="AV51" s="86">
        <f t="shared" si="28"/>
        <v>0.72965322009908</v>
      </c>
      <c r="AW51" s="185">
        <f t="shared" si="29"/>
        <v>382000</v>
      </c>
      <c r="AX51" s="186">
        <f t="shared" si="37"/>
        <v>1149459</v>
      </c>
      <c r="AY51" s="88"/>
      <c r="AZ51" s="117">
        <f t="shared" si="38"/>
        <v>108205.1282051282</v>
      </c>
      <c r="BA51" s="118">
        <f t="shared" si="39"/>
        <v>127878.78787878789</v>
      </c>
      <c r="BB51" s="88"/>
      <c r="BC51" s="187">
        <v>329388</v>
      </c>
      <c r="BD51" s="91">
        <f t="shared" si="8"/>
        <v>713321.4000000001</v>
      </c>
      <c r="BE51" s="92"/>
      <c r="BF51" s="93">
        <f t="shared" si="14"/>
        <v>0.5642940504102725</v>
      </c>
      <c r="BG51" s="92">
        <f>IF(BF51&lt;$BG$3,(0.7*(Q51+W51))-(AO51+BC51),0)</f>
        <v>180699.79999999993</v>
      </c>
      <c r="BH51" s="92">
        <v>180700</v>
      </c>
      <c r="BI51" s="94">
        <v>53000</v>
      </c>
      <c r="BJ51" s="120" t="s">
        <v>104</v>
      </c>
      <c r="BK51" s="121" t="s">
        <v>51</v>
      </c>
      <c r="BL51" s="97">
        <f t="shared" si="9"/>
        <v>0.6747500969373954</v>
      </c>
      <c r="BM51" s="98">
        <f>(0.9*(Q51+S51+W51))-(T51+AO51+BC51+BH51)</f>
        <v>438010.6000000001</v>
      </c>
      <c r="BN51" s="122">
        <f t="shared" si="40"/>
        <v>0.5331501580716503</v>
      </c>
      <c r="BO51" s="122">
        <f t="shared" si="10"/>
        <v>1.000274593064402</v>
      </c>
      <c r="BP51" s="82"/>
      <c r="BQ51" s="123">
        <f t="shared" si="11"/>
        <v>382388</v>
      </c>
      <c r="BR51" s="101"/>
      <c r="BS51" s="92">
        <f t="shared" si="41"/>
        <v>1331554</v>
      </c>
      <c r="BT51" s="92">
        <f t="shared" si="42"/>
        <v>804388</v>
      </c>
      <c r="BU51" s="124">
        <f t="shared" si="12"/>
        <v>-0.395902832329744</v>
      </c>
      <c r="BV51" s="65" t="s">
        <v>328</v>
      </c>
    </row>
    <row r="52" spans="1:74" ht="57">
      <c r="A52" s="103">
        <v>44990260</v>
      </c>
      <c r="B52" s="104" t="s">
        <v>76</v>
      </c>
      <c r="C52" s="104" t="s">
        <v>47</v>
      </c>
      <c r="D52" s="104" t="s">
        <v>99</v>
      </c>
      <c r="E52" s="104" t="s">
        <v>107</v>
      </c>
      <c r="F52" s="105">
        <v>5434121</v>
      </c>
      <c r="G52" s="105">
        <v>0</v>
      </c>
      <c r="H52" s="105">
        <v>170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2.2</v>
      </c>
      <c r="O52" s="105">
        <v>1.9</v>
      </c>
      <c r="P52" s="184" t="s">
        <v>293</v>
      </c>
      <c r="Q52" s="108">
        <v>359000</v>
      </c>
      <c r="R52" s="108">
        <v>617000</v>
      </c>
      <c r="S52" s="108">
        <v>124000</v>
      </c>
      <c r="T52" s="108">
        <v>110000</v>
      </c>
      <c r="U52" s="108">
        <v>0</v>
      </c>
      <c r="V52" s="108">
        <v>0</v>
      </c>
      <c r="W52" s="108">
        <v>263804</v>
      </c>
      <c r="X52" s="108">
        <v>212500</v>
      </c>
      <c r="Y52" s="108">
        <v>350000</v>
      </c>
      <c r="Z52" s="108">
        <v>130000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0</v>
      </c>
      <c r="AG52" s="108">
        <v>0</v>
      </c>
      <c r="AH52" s="191"/>
      <c r="AI52" s="108">
        <v>528563</v>
      </c>
      <c r="AJ52" s="108">
        <v>0</v>
      </c>
      <c r="AK52" s="108">
        <v>1625367</v>
      </c>
      <c r="AL52" s="108">
        <v>1625925</v>
      </c>
      <c r="AM52" s="109">
        <v>959500</v>
      </c>
      <c r="AN52" s="78"/>
      <c r="AO52" s="348">
        <v>450000</v>
      </c>
      <c r="AP52" s="192">
        <f t="shared" si="36"/>
        <v>0.7293354943273906</v>
      </c>
      <c r="AQ52" s="112">
        <f t="shared" si="43"/>
        <v>0.2534818941504178</v>
      </c>
      <c r="AR52" s="82"/>
      <c r="AS52" s="113">
        <f t="shared" si="25"/>
        <v>690000</v>
      </c>
      <c r="AT52" s="114">
        <f t="shared" si="26"/>
        <v>0.42451950851715337</v>
      </c>
      <c r="AU52" s="115">
        <f t="shared" si="27"/>
        <v>935367</v>
      </c>
      <c r="AV52" s="86">
        <f t="shared" si="28"/>
        <v>0.7191245440333507</v>
      </c>
      <c r="AW52" s="185">
        <f t="shared" si="29"/>
        <v>269500</v>
      </c>
      <c r="AX52" s="186">
        <f t="shared" si="37"/>
        <v>671563</v>
      </c>
      <c r="AY52" s="88"/>
      <c r="AZ52" s="117">
        <f t="shared" si="38"/>
        <v>204545.45454545453</v>
      </c>
      <c r="BA52" s="118">
        <f t="shared" si="39"/>
        <v>236842.1052631579</v>
      </c>
      <c r="BB52" s="88"/>
      <c r="BC52" s="187">
        <v>184554</v>
      </c>
      <c r="BD52" s="91">
        <f t="shared" si="8"/>
        <v>50530.40000000002</v>
      </c>
      <c r="BE52" s="92">
        <f t="shared" si="13"/>
        <v>27946</v>
      </c>
      <c r="BF52" s="93">
        <f t="shared" si="14"/>
        <v>1.0637375482495295</v>
      </c>
      <c r="BG52" s="92"/>
      <c r="BH52" s="92">
        <v>27946</v>
      </c>
      <c r="BI52" s="94">
        <v>27946</v>
      </c>
      <c r="BJ52" s="120" t="s">
        <v>104</v>
      </c>
      <c r="BK52" s="121" t="s">
        <v>51</v>
      </c>
      <c r="BL52" s="97">
        <f t="shared" si="9"/>
        <v>1.034407957107889</v>
      </c>
      <c r="BM52" s="98"/>
      <c r="BN52" s="122">
        <f t="shared" si="40"/>
        <v>0.5550686532281625</v>
      </c>
      <c r="BO52" s="122">
        <f t="shared" si="10"/>
        <v>0.9405940594059405</v>
      </c>
      <c r="BP52" s="82"/>
      <c r="BQ52" s="123">
        <f t="shared" si="11"/>
        <v>212500</v>
      </c>
      <c r="BR52" s="101"/>
      <c r="BS52" s="92">
        <f t="shared" si="41"/>
        <v>622804</v>
      </c>
      <c r="BT52" s="92">
        <f t="shared" si="42"/>
        <v>662500</v>
      </c>
      <c r="BU52" s="124">
        <f t="shared" si="12"/>
        <v>0.06373754824952949</v>
      </c>
      <c r="BV52" s="65" t="s">
        <v>332</v>
      </c>
    </row>
    <row r="53" spans="1:74" ht="57">
      <c r="A53" s="103">
        <v>44990260</v>
      </c>
      <c r="B53" s="104" t="s">
        <v>76</v>
      </c>
      <c r="C53" s="104" t="s">
        <v>47</v>
      </c>
      <c r="D53" s="104" t="s">
        <v>99</v>
      </c>
      <c r="E53" s="104" t="s">
        <v>108</v>
      </c>
      <c r="F53" s="105">
        <v>1824210</v>
      </c>
      <c r="G53" s="105">
        <v>0</v>
      </c>
      <c r="H53" s="105">
        <v>180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6.5</v>
      </c>
      <c r="O53" s="105">
        <v>5</v>
      </c>
      <c r="P53" s="184" t="s">
        <v>289</v>
      </c>
      <c r="Q53" s="108">
        <v>1473000</v>
      </c>
      <c r="R53" s="108">
        <v>1833000</v>
      </c>
      <c r="S53" s="108">
        <v>140000</v>
      </c>
      <c r="T53" s="108">
        <v>120000</v>
      </c>
      <c r="U53" s="191"/>
      <c r="V53" s="108">
        <v>0</v>
      </c>
      <c r="W53" s="108">
        <v>441231</v>
      </c>
      <c r="X53" s="108">
        <v>341000</v>
      </c>
      <c r="Y53" s="108">
        <v>845100</v>
      </c>
      <c r="Z53" s="108">
        <v>412000</v>
      </c>
      <c r="AA53" s="108">
        <v>0</v>
      </c>
      <c r="AB53" s="108">
        <v>0</v>
      </c>
      <c r="AC53" s="108">
        <v>46091</v>
      </c>
      <c r="AD53" s="108">
        <v>42000</v>
      </c>
      <c r="AE53" s="108">
        <v>0</v>
      </c>
      <c r="AF53" s="108">
        <v>0</v>
      </c>
      <c r="AG53" s="108">
        <v>0</v>
      </c>
      <c r="AH53" s="108">
        <v>0</v>
      </c>
      <c r="AI53" s="108">
        <v>413431</v>
      </c>
      <c r="AJ53" s="108">
        <v>43800</v>
      </c>
      <c r="AK53" s="108">
        <v>3358852</v>
      </c>
      <c r="AL53" s="108">
        <v>3358889</v>
      </c>
      <c r="AM53" s="109">
        <v>2671800</v>
      </c>
      <c r="AN53" s="78"/>
      <c r="AO53" s="348">
        <v>1491000</v>
      </c>
      <c r="AP53" s="192">
        <f t="shared" si="36"/>
        <v>0.8134206219312602</v>
      </c>
      <c r="AQ53" s="112">
        <f t="shared" si="43"/>
        <v>0.012219959266802416</v>
      </c>
      <c r="AR53" s="82"/>
      <c r="AS53" s="113">
        <f t="shared" si="25"/>
        <v>2108800</v>
      </c>
      <c r="AT53" s="114">
        <f t="shared" si="26"/>
        <v>0.6278333704987983</v>
      </c>
      <c r="AU53" s="115">
        <f t="shared" si="27"/>
        <v>1250053</v>
      </c>
      <c r="AV53" s="86">
        <f t="shared" si="28"/>
        <v>0.7892806347780522</v>
      </c>
      <c r="AW53" s="185">
        <f t="shared" si="29"/>
        <v>563000</v>
      </c>
      <c r="AX53" s="186">
        <f t="shared" si="37"/>
        <v>808822</v>
      </c>
      <c r="AY53" s="88"/>
      <c r="AZ53" s="117">
        <f t="shared" si="38"/>
        <v>229384.61538461538</v>
      </c>
      <c r="BA53" s="118">
        <f t="shared" si="39"/>
        <v>298200</v>
      </c>
      <c r="BB53" s="88"/>
      <c r="BC53" s="187">
        <v>308864</v>
      </c>
      <c r="BD53" s="91">
        <f t="shared" si="8"/>
        <v>305790.1000000001</v>
      </c>
      <c r="BE53" s="92">
        <f t="shared" si="13"/>
        <v>32136</v>
      </c>
      <c r="BF53" s="93">
        <f t="shared" si="14"/>
        <v>0.9570422796412763</v>
      </c>
      <c r="BG53" s="92"/>
      <c r="BH53" s="92">
        <v>32136</v>
      </c>
      <c r="BI53" s="94">
        <v>32136</v>
      </c>
      <c r="BJ53" s="120" t="s">
        <v>104</v>
      </c>
      <c r="BK53" s="121" t="s">
        <v>51</v>
      </c>
      <c r="BL53" s="97">
        <f t="shared" si="9"/>
        <v>0.950233931821689</v>
      </c>
      <c r="BM53" s="98"/>
      <c r="BN53" s="122">
        <f t="shared" si="40"/>
        <v>0.7293483053473931</v>
      </c>
      <c r="BO53" s="122">
        <f t="shared" si="10"/>
        <v>0.9169099483494274</v>
      </c>
      <c r="BP53" s="82"/>
      <c r="BQ53" s="123">
        <f t="shared" si="11"/>
        <v>341000</v>
      </c>
      <c r="BR53" s="101"/>
      <c r="BS53" s="92">
        <f t="shared" si="41"/>
        <v>1914231</v>
      </c>
      <c r="BT53" s="92">
        <f t="shared" si="42"/>
        <v>1832000</v>
      </c>
      <c r="BU53" s="124">
        <f t="shared" si="12"/>
        <v>-0.042957720358723694</v>
      </c>
      <c r="BV53" s="65" t="s">
        <v>332</v>
      </c>
    </row>
    <row r="54" spans="1:74" ht="42.75">
      <c r="A54" s="103">
        <v>44990260</v>
      </c>
      <c r="B54" s="104" t="s">
        <v>76</v>
      </c>
      <c r="C54" s="104" t="s">
        <v>47</v>
      </c>
      <c r="D54" s="104" t="s">
        <v>99</v>
      </c>
      <c r="E54" s="104" t="s">
        <v>109</v>
      </c>
      <c r="F54" s="105">
        <v>6521044</v>
      </c>
      <c r="G54" s="105">
        <v>0</v>
      </c>
      <c r="H54" s="105">
        <v>80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4.6</v>
      </c>
      <c r="O54" s="105">
        <v>3.8</v>
      </c>
      <c r="P54" s="184" t="s">
        <v>289</v>
      </c>
      <c r="Q54" s="108">
        <v>643000</v>
      </c>
      <c r="R54" s="108">
        <v>891000</v>
      </c>
      <c r="S54" s="108">
        <v>160000</v>
      </c>
      <c r="T54" s="108">
        <v>250000</v>
      </c>
      <c r="U54" s="191"/>
      <c r="V54" s="108">
        <v>0</v>
      </c>
      <c r="W54" s="108">
        <v>169766</v>
      </c>
      <c r="X54" s="108">
        <v>130000</v>
      </c>
      <c r="Y54" s="108">
        <v>417000</v>
      </c>
      <c r="Z54" s="108">
        <v>416000</v>
      </c>
      <c r="AA54" s="108">
        <v>0</v>
      </c>
      <c r="AB54" s="108">
        <v>0</v>
      </c>
      <c r="AC54" s="108">
        <v>2130</v>
      </c>
      <c r="AD54" s="108">
        <v>2000</v>
      </c>
      <c r="AE54" s="108">
        <v>0</v>
      </c>
      <c r="AF54" s="108">
        <v>0</v>
      </c>
      <c r="AG54" s="108">
        <v>0</v>
      </c>
      <c r="AH54" s="108">
        <v>0</v>
      </c>
      <c r="AI54" s="108">
        <v>40062</v>
      </c>
      <c r="AJ54" s="108">
        <v>3600</v>
      </c>
      <c r="AK54" s="108">
        <v>1431958</v>
      </c>
      <c r="AL54" s="108">
        <v>1432487</v>
      </c>
      <c r="AM54" s="109">
        <v>1692600</v>
      </c>
      <c r="AN54" s="78"/>
      <c r="AO54" s="348">
        <v>422000</v>
      </c>
      <c r="AP54" s="192">
        <f t="shared" si="36"/>
        <v>0.47362514029180697</v>
      </c>
      <c r="AQ54" s="112">
        <f t="shared" si="43"/>
        <v>-0.34370139968895796</v>
      </c>
      <c r="AR54" s="82"/>
      <c r="AS54" s="113">
        <f t="shared" si="25"/>
        <v>1093600</v>
      </c>
      <c r="AT54" s="114">
        <f t="shared" si="26"/>
        <v>0.7637095501404371</v>
      </c>
      <c r="AU54" s="115">
        <f t="shared" si="27"/>
        <v>338358</v>
      </c>
      <c r="AV54" s="86">
        <f t="shared" si="28"/>
        <v>0.6461065815904525</v>
      </c>
      <c r="AW54" s="185">
        <f t="shared" si="29"/>
        <v>599000</v>
      </c>
      <c r="AX54" s="186">
        <f t="shared" si="37"/>
        <v>168592</v>
      </c>
      <c r="AY54" s="88"/>
      <c r="AZ54" s="117">
        <f t="shared" si="38"/>
        <v>91739.13043478262</v>
      </c>
      <c r="BA54" s="118">
        <f t="shared" si="39"/>
        <v>111052.63157894737</v>
      </c>
      <c r="BB54" s="88"/>
      <c r="BC54" s="187">
        <v>118860</v>
      </c>
      <c r="BD54" s="91">
        <f t="shared" si="8"/>
        <v>353182.6000000001</v>
      </c>
      <c r="BE54" s="92">
        <f t="shared" si="13"/>
        <v>11140</v>
      </c>
      <c r="BF54" s="93">
        <f t="shared" si="14"/>
        <v>0.6791622681066876</v>
      </c>
      <c r="BG54" s="92">
        <f>IF(BF54&lt;$BG$3,(0.7*(Q54+W54))-(AO54+BC54),0)</f>
        <v>28076.199999999953</v>
      </c>
      <c r="BH54" s="92">
        <v>200000</v>
      </c>
      <c r="BI54" s="94">
        <v>200000</v>
      </c>
      <c r="BJ54" s="120" t="s">
        <v>104</v>
      </c>
      <c r="BK54" s="121" t="s">
        <v>51</v>
      </c>
      <c r="BL54" s="97">
        <f t="shared" si="9"/>
        <v>1.018600567865242</v>
      </c>
      <c r="BM54" s="98"/>
      <c r="BN54" s="122">
        <f t="shared" si="40"/>
        <v>0.9860194193734393</v>
      </c>
      <c r="BO54" s="122">
        <f t="shared" si="10"/>
        <v>0.8344913151364765</v>
      </c>
      <c r="BP54" s="82"/>
      <c r="BQ54" s="123">
        <f t="shared" si="11"/>
        <v>318860</v>
      </c>
      <c r="BR54" s="101"/>
      <c r="BS54" s="92">
        <f t="shared" si="41"/>
        <v>812766</v>
      </c>
      <c r="BT54" s="92">
        <f t="shared" si="42"/>
        <v>740860</v>
      </c>
      <c r="BU54" s="124">
        <f t="shared" si="12"/>
        <v>-0.08847072835231784</v>
      </c>
      <c r="BV54" s="65" t="s">
        <v>328</v>
      </c>
    </row>
    <row r="55" spans="1:74" ht="71.25">
      <c r="A55" s="103">
        <v>45659028</v>
      </c>
      <c r="B55" s="104" t="s">
        <v>110</v>
      </c>
      <c r="C55" s="104" t="s">
        <v>47</v>
      </c>
      <c r="D55" s="104" t="s">
        <v>99</v>
      </c>
      <c r="E55" s="104" t="s">
        <v>111</v>
      </c>
      <c r="F55" s="105">
        <v>9401897</v>
      </c>
      <c r="G55" s="106"/>
      <c r="H55" s="105">
        <v>645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5.1</v>
      </c>
      <c r="O55" s="105">
        <v>4.4</v>
      </c>
      <c r="P55" s="184" t="s">
        <v>286</v>
      </c>
      <c r="Q55" s="108">
        <v>843000</v>
      </c>
      <c r="R55" s="108">
        <v>1387000</v>
      </c>
      <c r="S55" s="108">
        <v>0</v>
      </c>
      <c r="T55" s="108">
        <v>0</v>
      </c>
      <c r="U55" s="108">
        <v>99180</v>
      </c>
      <c r="V55" s="108">
        <v>10000</v>
      </c>
      <c r="W55" s="108">
        <v>171321</v>
      </c>
      <c r="X55" s="108">
        <v>118132</v>
      </c>
      <c r="Y55" s="108">
        <v>136000</v>
      </c>
      <c r="Z55" s="108">
        <v>80000</v>
      </c>
      <c r="AA55" s="108">
        <v>0</v>
      </c>
      <c r="AB55" s="108">
        <v>0</v>
      </c>
      <c r="AC55" s="108">
        <v>8870</v>
      </c>
      <c r="AD55" s="108">
        <v>0</v>
      </c>
      <c r="AE55" s="108">
        <v>0</v>
      </c>
      <c r="AF55" s="108">
        <v>0</v>
      </c>
      <c r="AG55" s="108">
        <v>0</v>
      </c>
      <c r="AH55" s="108">
        <v>0</v>
      </c>
      <c r="AI55" s="108">
        <v>106880</v>
      </c>
      <c r="AJ55" s="108">
        <v>255000</v>
      </c>
      <c r="AK55" s="108">
        <v>1653128</v>
      </c>
      <c r="AL55" s="108">
        <v>1653128</v>
      </c>
      <c r="AM55" s="109">
        <v>1850132</v>
      </c>
      <c r="AN55" s="78"/>
      <c r="AO55" s="348">
        <v>1000000</v>
      </c>
      <c r="AP55" s="192">
        <f t="shared" si="36"/>
        <v>0.7209805335255948</v>
      </c>
      <c r="AQ55" s="112">
        <f t="shared" si="43"/>
        <v>0.18623962040332143</v>
      </c>
      <c r="AR55" s="82"/>
      <c r="AS55" s="113">
        <f t="shared" si="25"/>
        <v>1345000</v>
      </c>
      <c r="AT55" s="114">
        <f t="shared" si="26"/>
        <v>0.9851668301286723</v>
      </c>
      <c r="AU55" s="115">
        <f t="shared" si="27"/>
        <v>20251</v>
      </c>
      <c r="AV55" s="86">
        <f t="shared" si="28"/>
        <v>0.7269751563672213</v>
      </c>
      <c r="AW55" s="185">
        <f t="shared" si="29"/>
        <v>505132</v>
      </c>
      <c r="AX55" s="186">
        <f t="shared" si="37"/>
        <v>0</v>
      </c>
      <c r="AY55" s="88"/>
      <c r="AZ55" s="117">
        <f t="shared" si="38"/>
        <v>196078.43137254904</v>
      </c>
      <c r="BA55" s="118">
        <f t="shared" si="39"/>
        <v>227272.72727272726</v>
      </c>
      <c r="BB55" s="88"/>
      <c r="BC55" s="187">
        <v>153749</v>
      </c>
      <c r="BD55" s="91"/>
      <c r="BE55" s="92"/>
      <c r="BF55" s="93">
        <f t="shared" si="14"/>
        <v>1.1374594433123242</v>
      </c>
      <c r="BG55" s="92"/>
      <c r="BH55" s="92">
        <v>0</v>
      </c>
      <c r="BI55" s="94">
        <v>0</v>
      </c>
      <c r="BJ55" s="120" t="s">
        <v>104</v>
      </c>
      <c r="BK55" s="121" t="s">
        <v>56</v>
      </c>
      <c r="BL55" s="97">
        <f t="shared" si="9"/>
        <v>1.1374594433123242</v>
      </c>
      <c r="BM55" s="98"/>
      <c r="BN55" s="122">
        <f t="shared" si="40"/>
        <v>0.906614006900857</v>
      </c>
      <c r="BO55" s="122">
        <f t="shared" si="10"/>
        <v>0.8100767945206072</v>
      </c>
      <c r="BP55" s="82"/>
      <c r="BQ55" s="123">
        <f t="shared" si="11"/>
        <v>153749</v>
      </c>
      <c r="BR55" s="101"/>
      <c r="BS55" s="92">
        <f t="shared" si="41"/>
        <v>1014321</v>
      </c>
      <c r="BT55" s="92">
        <f t="shared" si="42"/>
        <v>1153749</v>
      </c>
      <c r="BU55" s="124">
        <f t="shared" si="12"/>
        <v>0.13745944331232418</v>
      </c>
      <c r="BV55" s="65" t="s">
        <v>333</v>
      </c>
    </row>
    <row r="56" spans="1:74" ht="57">
      <c r="A56" s="103">
        <v>47224444</v>
      </c>
      <c r="B56" s="104" t="s">
        <v>112</v>
      </c>
      <c r="C56" s="104" t="s">
        <v>47</v>
      </c>
      <c r="D56" s="104" t="s">
        <v>99</v>
      </c>
      <c r="E56" s="104" t="s">
        <v>113</v>
      </c>
      <c r="F56" s="105">
        <v>3940857</v>
      </c>
      <c r="G56" s="106"/>
      <c r="H56" s="105">
        <v>130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3</v>
      </c>
      <c r="O56" s="105">
        <v>2.5</v>
      </c>
      <c r="P56" s="184" t="s">
        <v>281</v>
      </c>
      <c r="Q56" s="108">
        <v>537000</v>
      </c>
      <c r="R56" s="108">
        <v>630000</v>
      </c>
      <c r="S56" s="108">
        <v>100000</v>
      </c>
      <c r="T56" s="108">
        <v>50000</v>
      </c>
      <c r="U56" s="108">
        <v>0</v>
      </c>
      <c r="V56" s="108">
        <v>0</v>
      </c>
      <c r="W56" s="108">
        <v>44546</v>
      </c>
      <c r="X56" s="108">
        <v>50000</v>
      </c>
      <c r="Y56" s="108">
        <v>0</v>
      </c>
      <c r="Z56" s="108">
        <v>34000</v>
      </c>
      <c r="AA56" s="108">
        <v>0</v>
      </c>
      <c r="AB56" s="108">
        <v>0</v>
      </c>
      <c r="AC56" s="108">
        <v>76700</v>
      </c>
      <c r="AD56" s="108">
        <v>0</v>
      </c>
      <c r="AE56" s="108">
        <v>0</v>
      </c>
      <c r="AF56" s="108">
        <v>0</v>
      </c>
      <c r="AG56" s="108">
        <v>0</v>
      </c>
      <c r="AH56" s="108">
        <v>0</v>
      </c>
      <c r="AI56" s="108">
        <v>188464</v>
      </c>
      <c r="AJ56" s="108">
        <v>140000</v>
      </c>
      <c r="AK56" s="108">
        <v>946710</v>
      </c>
      <c r="AL56" s="108">
        <v>948435</v>
      </c>
      <c r="AM56" s="109">
        <v>904000</v>
      </c>
      <c r="AN56" s="78"/>
      <c r="AO56" s="348">
        <v>537000</v>
      </c>
      <c r="AP56" s="192">
        <f t="shared" si="36"/>
        <v>0.8523809523809524</v>
      </c>
      <c r="AQ56" s="112">
        <f t="shared" si="43"/>
        <v>0</v>
      </c>
      <c r="AR56" s="82"/>
      <c r="AS56" s="113">
        <f t="shared" si="25"/>
        <v>761000</v>
      </c>
      <c r="AT56" s="114">
        <f t="shared" si="26"/>
        <v>0.8038364441064317</v>
      </c>
      <c r="AU56" s="115">
        <f t="shared" si="27"/>
        <v>185710</v>
      </c>
      <c r="AV56" s="86">
        <f t="shared" si="28"/>
        <v>0.8418141592920354</v>
      </c>
      <c r="AW56" s="185">
        <f t="shared" si="29"/>
        <v>143000</v>
      </c>
      <c r="AX56" s="186">
        <f t="shared" si="37"/>
        <v>141164</v>
      </c>
      <c r="AY56" s="88"/>
      <c r="AZ56" s="117">
        <f t="shared" si="38"/>
        <v>179000</v>
      </c>
      <c r="BA56" s="118">
        <f t="shared" si="39"/>
        <v>214800</v>
      </c>
      <c r="BB56" s="88"/>
      <c r="BC56" s="187">
        <v>31161</v>
      </c>
      <c r="BD56" s="91">
        <f t="shared" si="8"/>
        <v>71539.6000000001</v>
      </c>
      <c r="BE56" s="92">
        <f t="shared" si="13"/>
        <v>18839</v>
      </c>
      <c r="BF56" s="93">
        <f t="shared" si="14"/>
        <v>1.0093784498560734</v>
      </c>
      <c r="BG56" s="92"/>
      <c r="BH56" s="92">
        <v>18839</v>
      </c>
      <c r="BI56" s="94">
        <v>18839</v>
      </c>
      <c r="BJ56" s="120" t="s">
        <v>104</v>
      </c>
      <c r="BK56" s="121" t="s">
        <v>51</v>
      </c>
      <c r="BL56" s="97">
        <f t="shared" si="9"/>
        <v>0.9346397748647927</v>
      </c>
      <c r="BM56" s="98"/>
      <c r="BN56" s="122">
        <f t="shared" si="40"/>
        <v>0.8550928635067242</v>
      </c>
      <c r="BO56" s="122">
        <f t="shared" si="10"/>
        <v>0.8971238938053098</v>
      </c>
      <c r="BP56" s="82"/>
      <c r="BQ56" s="123">
        <f t="shared" si="11"/>
        <v>50000</v>
      </c>
      <c r="BR56" s="101"/>
      <c r="BS56" s="92">
        <f t="shared" si="41"/>
        <v>581546</v>
      </c>
      <c r="BT56" s="92">
        <f t="shared" si="42"/>
        <v>587000</v>
      </c>
      <c r="BU56" s="124">
        <f t="shared" si="12"/>
        <v>0.00937844985607339</v>
      </c>
      <c r="BV56" s="65" t="s">
        <v>332</v>
      </c>
    </row>
    <row r="57" spans="1:74" ht="100.5" thickBot="1">
      <c r="A57" s="125">
        <v>70870896</v>
      </c>
      <c r="B57" s="126" t="s">
        <v>114</v>
      </c>
      <c r="C57" s="126" t="s">
        <v>47</v>
      </c>
      <c r="D57" s="126" t="s">
        <v>99</v>
      </c>
      <c r="E57" s="126" t="s">
        <v>115</v>
      </c>
      <c r="F57" s="127">
        <v>9671151</v>
      </c>
      <c r="G57" s="281"/>
      <c r="H57" s="127">
        <v>400</v>
      </c>
      <c r="I57" s="127">
        <v>0</v>
      </c>
      <c r="J57" s="127">
        <v>0</v>
      </c>
      <c r="K57" s="127">
        <v>0</v>
      </c>
      <c r="L57" s="127">
        <v>0</v>
      </c>
      <c r="M57" s="127">
        <v>0</v>
      </c>
      <c r="N57" s="127">
        <v>4.7</v>
      </c>
      <c r="O57" s="127">
        <v>3</v>
      </c>
      <c r="P57" s="242" t="s">
        <v>283</v>
      </c>
      <c r="Q57" s="129">
        <v>495000</v>
      </c>
      <c r="R57" s="129">
        <v>1135000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50000</v>
      </c>
      <c r="Y57" s="129">
        <v>200000</v>
      </c>
      <c r="Z57" s="129">
        <v>200000</v>
      </c>
      <c r="AA57" s="129">
        <v>0</v>
      </c>
      <c r="AB57" s="129">
        <v>0</v>
      </c>
      <c r="AC57" s="129">
        <v>0</v>
      </c>
      <c r="AD57" s="129">
        <v>0</v>
      </c>
      <c r="AE57" s="129">
        <v>600000</v>
      </c>
      <c r="AF57" s="129">
        <v>210680</v>
      </c>
      <c r="AG57" s="129">
        <v>50000</v>
      </c>
      <c r="AH57" s="129">
        <v>0</v>
      </c>
      <c r="AI57" s="129">
        <v>400000</v>
      </c>
      <c r="AJ57" s="129">
        <v>132400</v>
      </c>
      <c r="AK57" s="129"/>
      <c r="AL57" s="129">
        <v>1695000</v>
      </c>
      <c r="AM57" s="130">
        <v>1728080</v>
      </c>
      <c r="AN57" s="78"/>
      <c r="AO57" s="349">
        <v>422000</v>
      </c>
      <c r="AP57" s="135">
        <f t="shared" si="36"/>
        <v>0.37180616740088107</v>
      </c>
      <c r="AQ57" s="131">
        <f t="shared" si="43"/>
        <v>-0.14747474747474743</v>
      </c>
      <c r="AR57" s="82"/>
      <c r="AS57" s="132">
        <f t="shared" si="25"/>
        <v>965080</v>
      </c>
      <c r="AT57" s="133">
        <f t="shared" si="26"/>
        <v>0.553054441260745</v>
      </c>
      <c r="AU57" s="134">
        <f t="shared" si="27"/>
        <v>779920</v>
      </c>
      <c r="AV57" s="135">
        <f t="shared" si="28"/>
        <v>0.5584695153002176</v>
      </c>
      <c r="AW57" s="248">
        <f t="shared" si="29"/>
        <v>763000</v>
      </c>
      <c r="AX57" s="249">
        <f t="shared" si="37"/>
        <v>779920</v>
      </c>
      <c r="AY57" s="88"/>
      <c r="AZ57" s="137">
        <f t="shared" si="38"/>
        <v>89787.23404255319</v>
      </c>
      <c r="BA57" s="138">
        <f t="shared" si="39"/>
        <v>140666.66666666666</v>
      </c>
      <c r="BB57" s="88"/>
      <c r="BC57" s="229">
        <v>0</v>
      </c>
      <c r="BD57" s="140">
        <f t="shared" si="8"/>
        <v>122500</v>
      </c>
      <c r="BE57" s="141">
        <f t="shared" si="13"/>
        <v>50000</v>
      </c>
      <c r="BF57" s="142">
        <f t="shared" si="14"/>
        <v>0.9535353535353536</v>
      </c>
      <c r="BG57" s="141"/>
      <c r="BH57" s="141">
        <v>50000</v>
      </c>
      <c r="BI57" s="143">
        <v>50000</v>
      </c>
      <c r="BJ57" s="144" t="s">
        <v>104</v>
      </c>
      <c r="BK57" s="145" t="s">
        <v>56</v>
      </c>
      <c r="BL57" s="97">
        <f t="shared" si="9"/>
        <v>0.9535353535353536</v>
      </c>
      <c r="BM57" s="98"/>
      <c r="BN57" s="146">
        <f t="shared" si="40"/>
        <v>0.5988672566371681</v>
      </c>
      <c r="BO57" s="146">
        <f t="shared" si="10"/>
        <v>0.5874033609555113</v>
      </c>
      <c r="BP57" s="82"/>
      <c r="BQ57" s="147">
        <f t="shared" si="11"/>
        <v>50000</v>
      </c>
      <c r="BR57" s="101"/>
      <c r="BS57" s="141">
        <f t="shared" si="41"/>
        <v>495000</v>
      </c>
      <c r="BT57" s="141">
        <f t="shared" si="42"/>
        <v>472000</v>
      </c>
      <c r="BU57" s="148">
        <f t="shared" si="12"/>
        <v>-0.04646464646464643</v>
      </c>
      <c r="BV57" s="66" t="s">
        <v>334</v>
      </c>
    </row>
    <row r="58" spans="1:74" ht="15" thickBot="1">
      <c r="A58" s="167" t="s">
        <v>61</v>
      </c>
      <c r="B58" s="71"/>
      <c r="C58" s="71"/>
      <c r="D58" s="71"/>
      <c r="E58" s="7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2">
        <f>SUM(Q46:Q57)</f>
        <v>7576000</v>
      </c>
      <c r="R58" s="152">
        <f aca="true" t="shared" si="44" ref="R58:AM58">SUM(R46:R57)</f>
        <v>11603750</v>
      </c>
      <c r="S58" s="152">
        <f t="shared" si="44"/>
        <v>1344000</v>
      </c>
      <c r="T58" s="152">
        <f t="shared" si="44"/>
        <v>1640000</v>
      </c>
      <c r="U58" s="152">
        <f t="shared" si="44"/>
        <v>374697</v>
      </c>
      <c r="V58" s="152">
        <f t="shared" si="44"/>
        <v>148800</v>
      </c>
      <c r="W58" s="152">
        <f t="shared" si="44"/>
        <v>2255074</v>
      </c>
      <c r="X58" s="152">
        <f t="shared" si="44"/>
        <v>1795660</v>
      </c>
      <c r="Y58" s="152">
        <f t="shared" si="44"/>
        <v>2908100</v>
      </c>
      <c r="Z58" s="152">
        <f t="shared" si="44"/>
        <v>2452000</v>
      </c>
      <c r="AA58" s="152">
        <f t="shared" si="44"/>
        <v>613000</v>
      </c>
      <c r="AB58" s="152">
        <f t="shared" si="44"/>
        <v>876000</v>
      </c>
      <c r="AC58" s="152">
        <f t="shared" si="44"/>
        <v>303851</v>
      </c>
      <c r="AD58" s="152">
        <f t="shared" si="44"/>
        <v>44000</v>
      </c>
      <c r="AE58" s="152">
        <f t="shared" si="44"/>
        <v>600000</v>
      </c>
      <c r="AF58" s="152">
        <f t="shared" si="44"/>
        <v>210680</v>
      </c>
      <c r="AG58" s="152">
        <f t="shared" si="44"/>
        <v>1350000</v>
      </c>
      <c r="AH58" s="152">
        <f t="shared" si="44"/>
        <v>600000</v>
      </c>
      <c r="AI58" s="152">
        <f t="shared" si="44"/>
        <v>2848110</v>
      </c>
      <c r="AJ58" s="152">
        <f t="shared" si="44"/>
        <v>1258500</v>
      </c>
      <c r="AK58" s="152"/>
      <c r="AL58" s="152">
        <f t="shared" si="44"/>
        <v>20467628</v>
      </c>
      <c r="AM58" s="154">
        <f t="shared" si="44"/>
        <v>19950390</v>
      </c>
      <c r="AN58" s="153"/>
      <c r="AO58" s="154">
        <f>SUM(AO46:AO57)</f>
        <v>8170600</v>
      </c>
      <c r="AP58" s="41">
        <f t="shared" si="36"/>
        <v>0.7041344392976409</v>
      </c>
      <c r="AQ58" s="40">
        <f t="shared" si="43"/>
        <v>0.07848468848996837</v>
      </c>
      <c r="AR58" s="1"/>
      <c r="AS58" s="155">
        <f t="shared" si="25"/>
        <v>15400580</v>
      </c>
      <c r="AT58" s="207">
        <f t="shared" si="26"/>
        <v>0.7634317283760654</v>
      </c>
      <c r="AU58" s="156">
        <f>SUM(AU46:AU57)</f>
        <v>6432052</v>
      </c>
      <c r="AV58" s="215">
        <f t="shared" si="28"/>
        <v>0.7719438066123018</v>
      </c>
      <c r="AW58" s="216">
        <f>SUM(AW46:AW57)</f>
        <v>4549810</v>
      </c>
      <c r="AX58" s="210">
        <f>SUM(AX46:AX57)</f>
        <v>4490735</v>
      </c>
      <c r="AY58" s="88"/>
      <c r="AZ58" s="158"/>
      <c r="BA58" s="158"/>
      <c r="BB58" s="88"/>
      <c r="BC58" s="159">
        <f>SUM(BC46:BC57)</f>
        <v>1638642</v>
      </c>
      <c r="BD58" s="160">
        <f>SUM(BD46:BD57)</f>
        <v>2337035.3000000007</v>
      </c>
      <c r="BE58" s="161">
        <f>SUM(BE46:BE57)</f>
        <v>235061</v>
      </c>
      <c r="BF58" s="160"/>
      <c r="BG58" s="161">
        <f>SUM(BG46:BG57)</f>
        <v>208775.99999999988</v>
      </c>
      <c r="BH58" s="161">
        <f>SUM(BH46:BH57)</f>
        <v>604621</v>
      </c>
      <c r="BI58" s="57">
        <f>SUM(BI46:BI57)</f>
        <v>418921</v>
      </c>
      <c r="BJ58" s="162"/>
      <c r="BK58" s="162"/>
      <c r="BL58" s="97">
        <f t="shared" si="9"/>
        <v>1.0786383159520911</v>
      </c>
      <c r="BM58" s="98"/>
      <c r="BN58" s="82"/>
      <c r="BO58" s="82"/>
      <c r="BP58" s="82"/>
      <c r="BQ58" s="161">
        <f>SUM(BQ46:BQ57)</f>
        <v>2057563</v>
      </c>
      <c r="BR58" s="101"/>
      <c r="BS58" s="161">
        <f t="shared" si="41"/>
        <v>9831074</v>
      </c>
      <c r="BT58" s="161">
        <f t="shared" si="42"/>
        <v>10228163</v>
      </c>
      <c r="BU58" s="163">
        <f t="shared" si="12"/>
        <v>0.04039121259793177</v>
      </c>
      <c r="BV58" s="67"/>
    </row>
    <row r="59" spans="1:74" ht="8.25" customHeight="1" thickBot="1">
      <c r="A59" s="149"/>
      <c r="B59" s="150"/>
      <c r="C59" s="150"/>
      <c r="D59" s="150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97"/>
      <c r="AQ59" s="97"/>
      <c r="AR59" s="97"/>
      <c r="AS59" s="164"/>
      <c r="AT59" s="82"/>
      <c r="AU59" s="165"/>
      <c r="AV59" s="215"/>
      <c r="AW59" s="164"/>
      <c r="AX59" s="165"/>
      <c r="AY59" s="88"/>
      <c r="AZ59" s="158"/>
      <c r="BA59" s="158"/>
      <c r="BB59" s="88"/>
      <c r="BC59" s="169"/>
      <c r="BD59" s="282"/>
      <c r="BE59" s="283"/>
      <c r="BF59" s="284"/>
      <c r="BG59" s="283"/>
      <c r="BH59" s="283"/>
      <c r="BI59" s="285"/>
      <c r="BJ59" s="241"/>
      <c r="BK59" s="162"/>
      <c r="BL59" s="97" t="e">
        <f t="shared" si="9"/>
        <v>#DIV/0!</v>
      </c>
      <c r="BM59" s="98"/>
      <c r="BN59" s="82"/>
      <c r="BO59" s="82"/>
      <c r="BP59" s="82"/>
      <c r="BQ59" s="283"/>
      <c r="BR59" s="101"/>
      <c r="BS59" s="283"/>
      <c r="BT59" s="283"/>
      <c r="BU59" s="286"/>
      <c r="BV59" s="67"/>
    </row>
    <row r="60" spans="1:74" ht="86.25" thickBot="1">
      <c r="A60" s="72">
        <v>394190</v>
      </c>
      <c r="B60" s="73" t="s">
        <v>62</v>
      </c>
      <c r="C60" s="73" t="s">
        <v>47</v>
      </c>
      <c r="D60" s="73" t="s">
        <v>116</v>
      </c>
      <c r="E60" s="73" t="s">
        <v>117</v>
      </c>
      <c r="F60" s="74">
        <v>7526673</v>
      </c>
      <c r="G60" s="74">
        <v>2</v>
      </c>
      <c r="H60" s="74">
        <v>2</v>
      </c>
      <c r="I60" s="74">
        <v>2</v>
      </c>
      <c r="J60" s="74">
        <v>0</v>
      </c>
      <c r="K60" s="74">
        <v>0</v>
      </c>
      <c r="L60" s="74">
        <v>0</v>
      </c>
      <c r="M60" s="74">
        <v>0</v>
      </c>
      <c r="N60" s="74">
        <v>1.2</v>
      </c>
      <c r="O60" s="74">
        <v>0.9</v>
      </c>
      <c r="P60" s="242" t="s">
        <v>283</v>
      </c>
      <c r="Q60" s="76">
        <v>0</v>
      </c>
      <c r="R60" s="76">
        <v>120000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20000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200000</v>
      </c>
      <c r="AE60" s="76">
        <v>0</v>
      </c>
      <c r="AF60" s="76">
        <v>0</v>
      </c>
      <c r="AG60" s="76">
        <v>0</v>
      </c>
      <c r="AH60" s="76">
        <v>0</v>
      </c>
      <c r="AI60" s="76">
        <v>0</v>
      </c>
      <c r="AJ60" s="76">
        <v>21454</v>
      </c>
      <c r="AK60" s="76"/>
      <c r="AL60" s="76">
        <v>0</v>
      </c>
      <c r="AM60" s="77">
        <v>361454</v>
      </c>
      <c r="AN60" s="78"/>
      <c r="AO60" s="342">
        <v>109000</v>
      </c>
      <c r="AP60" s="222">
        <f aca="true" t="shared" si="45" ref="AP60:AP65">AO60/R60</f>
        <v>0.9083333333333333</v>
      </c>
      <c r="AQ60" s="81"/>
      <c r="AR60" s="82"/>
      <c r="AS60" s="176">
        <f t="shared" si="25"/>
        <v>330454</v>
      </c>
      <c r="AT60" s="177"/>
      <c r="AU60" s="85"/>
      <c r="AV60" s="86">
        <f t="shared" si="28"/>
        <v>0.9142352830512319</v>
      </c>
      <c r="AW60" s="178">
        <f t="shared" si="29"/>
        <v>31000</v>
      </c>
      <c r="AX60" s="85">
        <f>IF(W60&gt;AU60,0,AU60-W60)</f>
        <v>0</v>
      </c>
      <c r="AY60" s="88"/>
      <c r="AZ60" s="89">
        <f aca="true" t="shared" si="46" ref="AZ60:BA64">$AO60/N60</f>
        <v>90833.33333333334</v>
      </c>
      <c r="BA60" s="90">
        <f t="shared" si="46"/>
        <v>121111.11111111111</v>
      </c>
      <c r="BB60" s="88"/>
      <c r="BC60" s="179">
        <v>0</v>
      </c>
      <c r="BD60" s="91"/>
      <c r="BE60" s="92">
        <f t="shared" si="13"/>
        <v>0</v>
      </c>
      <c r="BF60" s="93"/>
      <c r="BG60" s="92"/>
      <c r="BH60" s="92">
        <v>0</v>
      </c>
      <c r="BI60" s="94">
        <v>0</v>
      </c>
      <c r="BJ60" s="95" t="s">
        <v>254</v>
      </c>
      <c r="BK60" s="182" t="s">
        <v>51</v>
      </c>
      <c r="BL60" s="97" t="e">
        <f t="shared" si="9"/>
        <v>#DIV/0!</v>
      </c>
      <c r="BM60" s="98"/>
      <c r="BN60" s="99" t="e">
        <f>($BI60+$BC60+$AO60+$AJ60+$AH60+$AF60+$AD60+$AB60+$Z60+$V60+$T60)/$AL60</f>
        <v>#DIV/0!</v>
      </c>
      <c r="BO60" s="99">
        <f t="shared" si="10"/>
        <v>0.9142352830512319</v>
      </c>
      <c r="BP60" s="82"/>
      <c r="BQ60" s="100">
        <f t="shared" si="11"/>
        <v>0</v>
      </c>
      <c r="BR60" s="101"/>
      <c r="BS60" s="92">
        <f>Q60+W60</f>
        <v>0</v>
      </c>
      <c r="BT60" s="92">
        <f>AO60+BQ60</f>
        <v>109000</v>
      </c>
      <c r="BU60" s="102"/>
      <c r="BV60" s="64" t="s">
        <v>321</v>
      </c>
    </row>
    <row r="61" spans="1:74" ht="42.75">
      <c r="A61" s="103">
        <v>839345</v>
      </c>
      <c r="B61" s="104" t="s">
        <v>118</v>
      </c>
      <c r="C61" s="104" t="s">
        <v>47</v>
      </c>
      <c r="D61" s="104" t="s">
        <v>116</v>
      </c>
      <c r="E61" s="104" t="s">
        <v>119</v>
      </c>
      <c r="F61" s="105">
        <v>6380698</v>
      </c>
      <c r="G61" s="105">
        <v>3</v>
      </c>
      <c r="H61" s="105">
        <v>3</v>
      </c>
      <c r="I61" s="105">
        <v>0</v>
      </c>
      <c r="J61" s="105">
        <v>0</v>
      </c>
      <c r="K61" s="105">
        <v>0</v>
      </c>
      <c r="L61" s="105">
        <v>0</v>
      </c>
      <c r="M61" s="105">
        <v>3</v>
      </c>
      <c r="N61" s="105">
        <v>2.6</v>
      </c>
      <c r="O61" s="105">
        <v>1.4</v>
      </c>
      <c r="P61" s="184" t="s">
        <v>294</v>
      </c>
      <c r="Q61" s="108">
        <v>0</v>
      </c>
      <c r="R61" s="108">
        <v>232355</v>
      </c>
      <c r="S61" s="108">
        <v>0</v>
      </c>
      <c r="T61" s="108">
        <v>0</v>
      </c>
      <c r="U61" s="108">
        <v>20000</v>
      </c>
      <c r="V61" s="108">
        <v>0</v>
      </c>
      <c r="W61" s="108">
        <v>312360</v>
      </c>
      <c r="X61" s="108">
        <v>252340</v>
      </c>
      <c r="Y61" s="108">
        <v>1000</v>
      </c>
      <c r="Z61" s="108">
        <v>400</v>
      </c>
      <c r="AA61" s="108">
        <v>0</v>
      </c>
      <c r="AB61" s="108">
        <v>0</v>
      </c>
      <c r="AC61" s="108">
        <v>150000</v>
      </c>
      <c r="AD61" s="108">
        <v>258350</v>
      </c>
      <c r="AE61" s="108">
        <v>41000</v>
      </c>
      <c r="AF61" s="108">
        <v>21600</v>
      </c>
      <c r="AG61" s="108">
        <v>0</v>
      </c>
      <c r="AH61" s="108">
        <v>0</v>
      </c>
      <c r="AI61" s="108">
        <v>2000</v>
      </c>
      <c r="AJ61" s="108">
        <v>8000</v>
      </c>
      <c r="AK61" s="108"/>
      <c r="AL61" s="108">
        <v>526360</v>
      </c>
      <c r="AM61" s="109">
        <v>773045</v>
      </c>
      <c r="AN61" s="78"/>
      <c r="AO61" s="348">
        <v>196000</v>
      </c>
      <c r="AP61" s="192">
        <f t="shared" si="45"/>
        <v>0.8435368294204988</v>
      </c>
      <c r="AQ61" s="112"/>
      <c r="AR61" s="82"/>
      <c r="AS61" s="113">
        <f t="shared" si="25"/>
        <v>484350</v>
      </c>
      <c r="AT61" s="114">
        <f t="shared" si="26"/>
        <v>0.9201877042328445</v>
      </c>
      <c r="AU61" s="115">
        <f t="shared" si="27"/>
        <v>42010</v>
      </c>
      <c r="AV61" s="86">
        <f t="shared" si="28"/>
        <v>0.6265482604505559</v>
      </c>
      <c r="AW61" s="185">
        <f t="shared" si="29"/>
        <v>288695</v>
      </c>
      <c r="AX61" s="186">
        <f>IF(W61&gt;AU61,0,AU61-W61)</f>
        <v>0</v>
      </c>
      <c r="AY61" s="88"/>
      <c r="AZ61" s="117">
        <f t="shared" si="46"/>
        <v>75384.61538461538</v>
      </c>
      <c r="BA61" s="118">
        <f t="shared" si="46"/>
        <v>140000</v>
      </c>
      <c r="BB61" s="88"/>
      <c r="BC61" s="187">
        <v>42010</v>
      </c>
      <c r="BD61" s="91">
        <f t="shared" si="8"/>
        <v>105586</v>
      </c>
      <c r="BE61" s="92">
        <f t="shared" si="13"/>
        <v>105586</v>
      </c>
      <c r="BF61" s="93">
        <f t="shared" si="14"/>
        <v>1.1</v>
      </c>
      <c r="BG61" s="92"/>
      <c r="BH61" s="92">
        <v>105586</v>
      </c>
      <c r="BI61" s="94">
        <v>105586</v>
      </c>
      <c r="BJ61" s="120" t="s">
        <v>254</v>
      </c>
      <c r="BK61" s="121" t="s">
        <v>51</v>
      </c>
      <c r="BL61" s="97">
        <f t="shared" si="9"/>
        <v>1.1</v>
      </c>
      <c r="BM61" s="98"/>
      <c r="BN61" s="122">
        <f>($BI61+$BC61+$AO61+$AJ61+$AH61+$AF61+$AD61+$AB61+$Z61+$V61+$T61)/$AL61</f>
        <v>1.2005965498898092</v>
      </c>
      <c r="BO61" s="122">
        <f t="shared" si="10"/>
        <v>0.8174763435505048</v>
      </c>
      <c r="BP61" s="82"/>
      <c r="BQ61" s="123">
        <f t="shared" si="11"/>
        <v>147596</v>
      </c>
      <c r="BR61" s="101"/>
      <c r="BS61" s="92">
        <f>Q61+W61</f>
        <v>312360</v>
      </c>
      <c r="BT61" s="92">
        <f>AO61+BQ61</f>
        <v>343596</v>
      </c>
      <c r="BU61" s="124">
        <f t="shared" si="12"/>
        <v>0.10000000000000009</v>
      </c>
      <c r="BV61" s="65" t="s">
        <v>335</v>
      </c>
    </row>
    <row r="62" spans="1:74" ht="90.75" customHeight="1">
      <c r="A62" s="103">
        <v>26652935</v>
      </c>
      <c r="B62" s="104" t="s">
        <v>71</v>
      </c>
      <c r="C62" s="104" t="s">
        <v>47</v>
      </c>
      <c r="D62" s="104" t="s">
        <v>116</v>
      </c>
      <c r="E62" s="104" t="s">
        <v>72</v>
      </c>
      <c r="F62" s="106"/>
      <c r="G62" s="105">
        <v>4</v>
      </c>
      <c r="H62" s="105">
        <v>20</v>
      </c>
      <c r="I62" s="105">
        <v>0</v>
      </c>
      <c r="J62" s="105">
        <v>1</v>
      </c>
      <c r="K62" s="105">
        <v>1</v>
      </c>
      <c r="L62" s="105">
        <v>1</v>
      </c>
      <c r="M62" s="105">
        <v>17</v>
      </c>
      <c r="N62" s="105">
        <v>2.2</v>
      </c>
      <c r="O62" s="105">
        <v>2.2</v>
      </c>
      <c r="P62" s="184" t="s">
        <v>280</v>
      </c>
      <c r="Q62" s="108">
        <v>0</v>
      </c>
      <c r="R62" s="108">
        <v>504856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24000</v>
      </c>
      <c r="AD62" s="108">
        <v>100000</v>
      </c>
      <c r="AE62" s="108">
        <v>0</v>
      </c>
      <c r="AF62" s="108">
        <v>0</v>
      </c>
      <c r="AG62" s="108">
        <v>304000</v>
      </c>
      <c r="AH62" s="108">
        <v>183327</v>
      </c>
      <c r="AI62" s="108">
        <v>0</v>
      </c>
      <c r="AJ62" s="108">
        <v>0</v>
      </c>
      <c r="AK62" s="108"/>
      <c r="AL62" s="108">
        <v>328000</v>
      </c>
      <c r="AM62" s="109">
        <v>788183</v>
      </c>
      <c r="AN62" s="78"/>
      <c r="AO62" s="348">
        <v>277000</v>
      </c>
      <c r="AP62" s="192">
        <f t="shared" si="45"/>
        <v>0.5486713042927092</v>
      </c>
      <c r="AQ62" s="112"/>
      <c r="AR62" s="82"/>
      <c r="AS62" s="113">
        <f t="shared" si="25"/>
        <v>560327</v>
      </c>
      <c r="AT62" s="114">
        <f t="shared" si="26"/>
        <v>1.708314024390244</v>
      </c>
      <c r="AU62" s="115">
        <f t="shared" si="27"/>
        <v>0</v>
      </c>
      <c r="AV62" s="86">
        <f t="shared" si="28"/>
        <v>0.7109097760291709</v>
      </c>
      <c r="AW62" s="185">
        <f t="shared" si="29"/>
        <v>227856</v>
      </c>
      <c r="AX62" s="186">
        <f>IF(W62&gt;AU62,0,AU62-W62)</f>
        <v>0</v>
      </c>
      <c r="AY62" s="88"/>
      <c r="AZ62" s="117">
        <f t="shared" si="46"/>
        <v>125909.0909090909</v>
      </c>
      <c r="BA62" s="118">
        <f t="shared" si="46"/>
        <v>125909.0909090909</v>
      </c>
      <c r="BB62" s="88"/>
      <c r="BC62" s="187">
        <v>0</v>
      </c>
      <c r="BD62" s="91"/>
      <c r="BE62" s="92">
        <f t="shared" si="13"/>
        <v>0</v>
      </c>
      <c r="BF62" s="93"/>
      <c r="BG62" s="92"/>
      <c r="BH62" s="92">
        <v>0</v>
      </c>
      <c r="BI62" s="94">
        <v>0</v>
      </c>
      <c r="BJ62" s="120" t="s">
        <v>254</v>
      </c>
      <c r="BK62" s="121" t="s">
        <v>56</v>
      </c>
      <c r="BL62" s="97" t="e">
        <f t="shared" si="9"/>
        <v>#DIV/0!</v>
      </c>
      <c r="BM62" s="98"/>
      <c r="BN62" s="122">
        <f>($BI62+$BC62+$AO62+$AJ62+$AH62+$AF62+$AD62+$AB62+$Z62+$V62+$T62)/$AL62</f>
        <v>1.708314024390244</v>
      </c>
      <c r="BO62" s="122">
        <f t="shared" si="10"/>
        <v>0.7109097760291709</v>
      </c>
      <c r="BP62" s="82"/>
      <c r="BQ62" s="123">
        <f t="shared" si="11"/>
        <v>0</v>
      </c>
      <c r="BR62" s="101"/>
      <c r="BS62" s="92">
        <f>Q62+W62</f>
        <v>0</v>
      </c>
      <c r="BT62" s="92">
        <f>AO62+BQ62</f>
        <v>277000</v>
      </c>
      <c r="BU62" s="124"/>
      <c r="BV62" s="65" t="s">
        <v>321</v>
      </c>
    </row>
    <row r="63" spans="1:74" ht="57">
      <c r="A63" s="103">
        <v>70188467</v>
      </c>
      <c r="B63" s="104" t="s">
        <v>58</v>
      </c>
      <c r="C63" s="104" t="s">
        <v>59</v>
      </c>
      <c r="D63" s="104" t="s">
        <v>116</v>
      </c>
      <c r="E63" s="104" t="s">
        <v>120</v>
      </c>
      <c r="F63" s="105">
        <v>2759151</v>
      </c>
      <c r="G63" s="105">
        <v>4</v>
      </c>
      <c r="H63" s="105">
        <v>6</v>
      </c>
      <c r="I63" s="105">
        <v>0</v>
      </c>
      <c r="J63" s="105">
        <v>0</v>
      </c>
      <c r="K63" s="105">
        <v>0</v>
      </c>
      <c r="L63" s="105">
        <v>0</v>
      </c>
      <c r="M63" s="105">
        <v>6</v>
      </c>
      <c r="N63" s="105">
        <v>2.4</v>
      </c>
      <c r="O63" s="105">
        <v>1.4</v>
      </c>
      <c r="P63" s="184" t="s">
        <v>282</v>
      </c>
      <c r="Q63" s="108">
        <v>106000</v>
      </c>
      <c r="R63" s="108">
        <v>270000</v>
      </c>
      <c r="S63" s="108">
        <v>0</v>
      </c>
      <c r="T63" s="108">
        <v>0</v>
      </c>
      <c r="U63" s="108">
        <v>0</v>
      </c>
      <c r="V63" s="108">
        <v>0</v>
      </c>
      <c r="W63" s="108">
        <v>0</v>
      </c>
      <c r="X63" s="108">
        <v>40000</v>
      </c>
      <c r="Y63" s="108">
        <v>0</v>
      </c>
      <c r="Z63" s="108">
        <v>0</v>
      </c>
      <c r="AA63" s="108">
        <v>225000</v>
      </c>
      <c r="AB63" s="108">
        <v>329200</v>
      </c>
      <c r="AC63" s="108">
        <v>12000</v>
      </c>
      <c r="AD63" s="108">
        <v>160000</v>
      </c>
      <c r="AE63" s="108">
        <v>0</v>
      </c>
      <c r="AF63" s="108">
        <v>0</v>
      </c>
      <c r="AG63" s="108">
        <v>0</v>
      </c>
      <c r="AH63" s="108">
        <v>0</v>
      </c>
      <c r="AI63" s="108">
        <v>0</v>
      </c>
      <c r="AJ63" s="108">
        <v>0</v>
      </c>
      <c r="AK63" s="108"/>
      <c r="AL63" s="108">
        <v>343000</v>
      </c>
      <c r="AM63" s="109">
        <v>799200</v>
      </c>
      <c r="AN63" s="78"/>
      <c r="AO63" s="348">
        <v>0</v>
      </c>
      <c r="AP63" s="192">
        <f t="shared" si="45"/>
        <v>0</v>
      </c>
      <c r="AQ63" s="112">
        <f>-1+AO63/Q63</f>
        <v>-1</v>
      </c>
      <c r="AR63" s="82"/>
      <c r="AS63" s="113">
        <f t="shared" si="25"/>
        <v>489200</v>
      </c>
      <c r="AT63" s="114">
        <f t="shared" si="26"/>
        <v>1.4262390670553935</v>
      </c>
      <c r="AU63" s="115">
        <f t="shared" si="27"/>
        <v>0</v>
      </c>
      <c r="AV63" s="86">
        <f t="shared" si="28"/>
        <v>0.6121121121121121</v>
      </c>
      <c r="AW63" s="185">
        <f t="shared" si="29"/>
        <v>310000</v>
      </c>
      <c r="AX63" s="186">
        <f>IF(W63&gt;AU63,0,AU63-W63)</f>
        <v>0</v>
      </c>
      <c r="AY63" s="88"/>
      <c r="AZ63" s="117">
        <f t="shared" si="46"/>
        <v>0</v>
      </c>
      <c r="BA63" s="118">
        <f t="shared" si="46"/>
        <v>0</v>
      </c>
      <c r="BB63" s="88"/>
      <c r="BC63" s="187">
        <v>0</v>
      </c>
      <c r="BD63" s="91">
        <f t="shared" si="8"/>
        <v>116600.00000000001</v>
      </c>
      <c r="BE63" s="92">
        <f t="shared" si="13"/>
        <v>40000</v>
      </c>
      <c r="BF63" s="93">
        <f t="shared" si="14"/>
        <v>0.37735849056603776</v>
      </c>
      <c r="BG63" s="92">
        <f>IF(BF63&lt;$BG$3,(0.7*(Q63+W63))-(AO63+BC63),0)</f>
        <v>74200</v>
      </c>
      <c r="BH63" s="92">
        <v>74200</v>
      </c>
      <c r="BI63" s="94">
        <v>40000</v>
      </c>
      <c r="BJ63" s="120" t="s">
        <v>254</v>
      </c>
      <c r="BK63" s="121" t="s">
        <v>60</v>
      </c>
      <c r="BL63" s="97">
        <f t="shared" si="9"/>
        <v>0.7</v>
      </c>
      <c r="BM63" s="98"/>
      <c r="BN63" s="122">
        <f>($BI63+$BC63+$AO63+$AJ63+$AH63+$AF63+$AD63+$AB63+$Z63+$V63+$T63)/$AL63</f>
        <v>1.542857142857143</v>
      </c>
      <c r="BO63" s="122">
        <f t="shared" si="10"/>
        <v>0.6621621621621622</v>
      </c>
      <c r="BP63" s="82"/>
      <c r="BQ63" s="123">
        <f t="shared" si="11"/>
        <v>40000</v>
      </c>
      <c r="BR63" s="101"/>
      <c r="BS63" s="92">
        <f>Q63+W63</f>
        <v>106000</v>
      </c>
      <c r="BT63" s="92">
        <f>AO63+BQ63</f>
        <v>40000</v>
      </c>
      <c r="BU63" s="124">
        <f t="shared" si="12"/>
        <v>-0.6226415094339622</v>
      </c>
      <c r="BV63" s="65" t="s">
        <v>336</v>
      </c>
    </row>
    <row r="64" spans="1:74" ht="72" thickBot="1">
      <c r="A64" s="125">
        <v>70868832</v>
      </c>
      <c r="B64" s="126" t="s">
        <v>122</v>
      </c>
      <c r="C64" s="126" t="s">
        <v>47</v>
      </c>
      <c r="D64" s="126" t="s">
        <v>116</v>
      </c>
      <c r="E64" s="126" t="s">
        <v>123</v>
      </c>
      <c r="F64" s="127">
        <v>2028787</v>
      </c>
      <c r="G64" s="281"/>
      <c r="H64" s="127">
        <v>15</v>
      </c>
      <c r="I64" s="127">
        <v>2</v>
      </c>
      <c r="J64" s="127">
        <v>4</v>
      </c>
      <c r="K64" s="127">
        <v>6</v>
      </c>
      <c r="L64" s="127">
        <v>3</v>
      </c>
      <c r="M64" s="127">
        <v>0</v>
      </c>
      <c r="N64" s="127">
        <v>5.7</v>
      </c>
      <c r="O64" s="127">
        <v>3.8</v>
      </c>
      <c r="P64" s="242" t="s">
        <v>285</v>
      </c>
      <c r="Q64" s="129">
        <v>0</v>
      </c>
      <c r="R64" s="129">
        <v>1521011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29">
        <v>100000</v>
      </c>
      <c r="Y64" s="129">
        <v>5000</v>
      </c>
      <c r="Z64" s="129">
        <v>45000</v>
      </c>
      <c r="AA64" s="129">
        <v>0</v>
      </c>
      <c r="AB64" s="129">
        <v>0</v>
      </c>
      <c r="AC64" s="129">
        <v>0</v>
      </c>
      <c r="AD64" s="129">
        <v>300000</v>
      </c>
      <c r="AE64" s="129">
        <v>0</v>
      </c>
      <c r="AF64" s="129">
        <v>0</v>
      </c>
      <c r="AG64" s="129">
        <v>1742767</v>
      </c>
      <c r="AH64" s="129">
        <v>414733</v>
      </c>
      <c r="AI64" s="129">
        <v>125000</v>
      </c>
      <c r="AJ64" s="129">
        <v>75000</v>
      </c>
      <c r="AK64" s="129"/>
      <c r="AL64" s="129">
        <v>1872767</v>
      </c>
      <c r="AM64" s="130">
        <v>2455744</v>
      </c>
      <c r="AN64" s="78"/>
      <c r="AO64" s="348">
        <v>540000</v>
      </c>
      <c r="AP64" s="192">
        <f t="shared" si="45"/>
        <v>0.3550270182135435</v>
      </c>
      <c r="AQ64" s="112"/>
      <c r="AR64" s="82"/>
      <c r="AS64" s="113">
        <f t="shared" si="25"/>
        <v>1374733</v>
      </c>
      <c r="AT64" s="114">
        <f t="shared" si="26"/>
        <v>0.7340651559964481</v>
      </c>
      <c r="AU64" s="115">
        <f t="shared" si="27"/>
        <v>498034</v>
      </c>
      <c r="AV64" s="86">
        <f t="shared" si="28"/>
        <v>0.5598030576477027</v>
      </c>
      <c r="AW64" s="185">
        <f t="shared" si="29"/>
        <v>1081011</v>
      </c>
      <c r="AX64" s="186">
        <f>IF(W64&gt;AU64,0,AU64-W64)</f>
        <v>498034</v>
      </c>
      <c r="AY64" s="88"/>
      <c r="AZ64" s="117">
        <f t="shared" si="46"/>
        <v>94736.84210526316</v>
      </c>
      <c r="BA64" s="118">
        <f t="shared" si="46"/>
        <v>142105.26315789475</v>
      </c>
      <c r="BB64" s="88"/>
      <c r="BC64" s="287">
        <v>0</v>
      </c>
      <c r="BD64" s="91"/>
      <c r="BE64" s="92">
        <f t="shared" si="13"/>
        <v>0</v>
      </c>
      <c r="BF64" s="93"/>
      <c r="BG64" s="92"/>
      <c r="BH64" s="92">
        <v>0</v>
      </c>
      <c r="BI64" s="94">
        <v>0</v>
      </c>
      <c r="BJ64" s="120" t="s">
        <v>254</v>
      </c>
      <c r="BK64" s="121" t="s">
        <v>56</v>
      </c>
      <c r="BL64" s="97" t="e">
        <f aca="true" t="shared" si="47" ref="BL64:BL125">(BH64+BC64+AO64+T64)/(Q64+S64+W64)</f>
        <v>#DIV/0!</v>
      </c>
      <c r="BM64" s="98"/>
      <c r="BN64" s="122">
        <f>($BI64+$BC64+$AO64+$AJ64+$AH64+$AF64+$AD64+$AB64+$Z64+$V64+$T64)/$AL64</f>
        <v>0.7340651559964481</v>
      </c>
      <c r="BO64" s="122">
        <f aca="true" t="shared" si="48" ref="BO64:BO125">($BI64+$BC64+$AO64+$AJ64+$AH64+$AF64+$AD64+$AB64+$Z64+$V64+$T64)/$AM64</f>
        <v>0.5598030576477027</v>
      </c>
      <c r="BP64" s="82"/>
      <c r="BQ64" s="123">
        <f aca="true" t="shared" si="49" ref="BQ64:BQ125">BC64+BI64</f>
        <v>0</v>
      </c>
      <c r="BR64" s="101"/>
      <c r="BS64" s="92">
        <f aca="true" t="shared" si="50" ref="BS64:BS125">Q64+W64</f>
        <v>0</v>
      </c>
      <c r="BT64" s="92">
        <f aca="true" t="shared" si="51" ref="BT64:BT125">AO64+BQ64</f>
        <v>540000</v>
      </c>
      <c r="BU64" s="124"/>
      <c r="BV64" s="66" t="s">
        <v>337</v>
      </c>
    </row>
    <row r="65" spans="1:74" ht="15" thickBot="1">
      <c r="A65" s="167" t="s">
        <v>61</v>
      </c>
      <c r="B65" s="71"/>
      <c r="C65" s="71"/>
      <c r="D65" s="71"/>
      <c r="E65" s="7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2">
        <f aca="true" t="shared" si="52" ref="Q65:AJ65">SUM(Q60:Q64)</f>
        <v>106000</v>
      </c>
      <c r="R65" s="152">
        <f t="shared" si="52"/>
        <v>2648222</v>
      </c>
      <c r="S65" s="152">
        <f t="shared" si="52"/>
        <v>0</v>
      </c>
      <c r="T65" s="152">
        <f t="shared" si="52"/>
        <v>0</v>
      </c>
      <c r="U65" s="152">
        <f t="shared" si="52"/>
        <v>20000</v>
      </c>
      <c r="V65" s="152">
        <f t="shared" si="52"/>
        <v>0</v>
      </c>
      <c r="W65" s="152">
        <f t="shared" si="52"/>
        <v>312360</v>
      </c>
      <c r="X65" s="152">
        <f t="shared" si="52"/>
        <v>412340</v>
      </c>
      <c r="Y65" s="152">
        <f t="shared" si="52"/>
        <v>6000</v>
      </c>
      <c r="Z65" s="152">
        <f t="shared" si="52"/>
        <v>45400</v>
      </c>
      <c r="AA65" s="152">
        <f t="shared" si="52"/>
        <v>225000</v>
      </c>
      <c r="AB65" s="152">
        <f t="shared" si="52"/>
        <v>329200</v>
      </c>
      <c r="AC65" s="152">
        <f t="shared" si="52"/>
        <v>186000</v>
      </c>
      <c r="AD65" s="152">
        <f t="shared" si="52"/>
        <v>1018350</v>
      </c>
      <c r="AE65" s="152">
        <f t="shared" si="52"/>
        <v>41000</v>
      </c>
      <c r="AF65" s="152">
        <f t="shared" si="52"/>
        <v>21600</v>
      </c>
      <c r="AG65" s="152">
        <f t="shared" si="52"/>
        <v>2046767</v>
      </c>
      <c r="AH65" s="152">
        <f t="shared" si="52"/>
        <v>598060</v>
      </c>
      <c r="AI65" s="152">
        <f t="shared" si="52"/>
        <v>127000</v>
      </c>
      <c r="AJ65" s="152">
        <f t="shared" si="52"/>
        <v>104454</v>
      </c>
      <c r="AK65" s="152"/>
      <c r="AL65" s="152">
        <f>SUM(AL60:AL64)</f>
        <v>3070127</v>
      </c>
      <c r="AM65" s="243">
        <f>SUM(AM60:AM64)</f>
        <v>5177626</v>
      </c>
      <c r="AN65" s="153"/>
      <c r="AO65" s="154">
        <f>SUM(AO60:AO64)</f>
        <v>1122000</v>
      </c>
      <c r="AP65" s="41">
        <f t="shared" si="45"/>
        <v>0.4236804920433408</v>
      </c>
      <c r="AQ65" s="40">
        <f>-1+AO65/Q65</f>
        <v>9.584905660377359</v>
      </c>
      <c r="AR65" s="1"/>
      <c r="AS65" s="155">
        <f t="shared" si="25"/>
        <v>3239064</v>
      </c>
      <c r="AT65" s="207">
        <f t="shared" si="26"/>
        <v>1.0550260624397623</v>
      </c>
      <c r="AU65" s="156">
        <f>SUM(AU60:AU64)</f>
        <v>540044</v>
      </c>
      <c r="AV65" s="215">
        <f t="shared" si="28"/>
        <v>0.6255886384995749</v>
      </c>
      <c r="AW65" s="216">
        <f>SUM(AW60:AW64)</f>
        <v>1938562</v>
      </c>
      <c r="AX65" s="210">
        <f>SUM(AX60:AX64)</f>
        <v>498034</v>
      </c>
      <c r="AY65" s="88"/>
      <c r="AZ65" s="158"/>
      <c r="BA65" s="158"/>
      <c r="BB65" s="88"/>
      <c r="BC65" s="160">
        <f>SUM(BC60:BC64)</f>
        <v>42010</v>
      </c>
      <c r="BD65" s="160">
        <f>SUM(BD60:BD64)</f>
        <v>222186</v>
      </c>
      <c r="BE65" s="161">
        <f>SUM(BE60:BE64)</f>
        <v>145586</v>
      </c>
      <c r="BF65" s="160"/>
      <c r="BG65" s="161">
        <f>SUM(BG60:BG64)</f>
        <v>74200</v>
      </c>
      <c r="BH65" s="161">
        <f>SUM(BH60:BH64)</f>
        <v>179786</v>
      </c>
      <c r="BI65" s="57">
        <f>SUM(BI60:BI64)</f>
        <v>145586</v>
      </c>
      <c r="BJ65" s="162"/>
      <c r="BK65" s="162"/>
      <c r="BL65" s="97">
        <f t="shared" si="47"/>
        <v>3.2120566019695955</v>
      </c>
      <c r="BM65" s="98"/>
      <c r="BN65" s="82"/>
      <c r="BO65" s="82"/>
      <c r="BP65" s="82"/>
      <c r="BQ65" s="161">
        <f>SUM(BQ60:BQ64)</f>
        <v>187596</v>
      </c>
      <c r="BR65" s="101"/>
      <c r="BS65" s="161">
        <f t="shared" si="50"/>
        <v>418360</v>
      </c>
      <c r="BT65" s="161">
        <f t="shared" si="51"/>
        <v>1309596</v>
      </c>
      <c r="BU65" s="163">
        <f aca="true" t="shared" si="53" ref="BU65:BU125">-1+BT65/BS65</f>
        <v>2.1303088249354625</v>
      </c>
      <c r="BV65" s="67"/>
    </row>
    <row r="66" spans="1:74" ht="7.5" customHeight="1" thickBot="1">
      <c r="A66" s="149"/>
      <c r="B66" s="150"/>
      <c r="C66" s="150"/>
      <c r="D66" s="150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97"/>
      <c r="AQ66" s="97"/>
      <c r="AR66" s="97"/>
      <c r="AS66" s="164"/>
      <c r="AT66" s="82"/>
      <c r="AU66" s="165"/>
      <c r="AV66" s="215"/>
      <c r="AW66" s="164"/>
      <c r="AX66" s="165"/>
      <c r="AY66" s="88"/>
      <c r="AZ66" s="158"/>
      <c r="BA66" s="158"/>
      <c r="BB66" s="88"/>
      <c r="BC66" s="169"/>
      <c r="BD66" s="282"/>
      <c r="BE66" s="283"/>
      <c r="BF66" s="284"/>
      <c r="BG66" s="283"/>
      <c r="BH66" s="283"/>
      <c r="BI66" s="285"/>
      <c r="BJ66" s="241"/>
      <c r="BK66" s="162"/>
      <c r="BL66" s="97" t="e">
        <f t="shared" si="47"/>
        <v>#DIV/0!</v>
      </c>
      <c r="BM66" s="98"/>
      <c r="BN66" s="82"/>
      <c r="BO66" s="82"/>
      <c r="BP66" s="82"/>
      <c r="BQ66" s="283"/>
      <c r="BR66" s="101"/>
      <c r="BS66" s="283"/>
      <c r="BT66" s="283"/>
      <c r="BU66" s="286"/>
      <c r="BV66" s="67"/>
    </row>
    <row r="67" spans="1:74" ht="73.5" customHeight="1">
      <c r="A67" s="72">
        <v>15060233</v>
      </c>
      <c r="B67" s="73" t="s">
        <v>46</v>
      </c>
      <c r="C67" s="73" t="s">
        <v>47</v>
      </c>
      <c r="D67" s="73" t="s">
        <v>124</v>
      </c>
      <c r="E67" s="73" t="s">
        <v>125</v>
      </c>
      <c r="F67" s="74">
        <v>6254782</v>
      </c>
      <c r="G67" s="74">
        <v>0</v>
      </c>
      <c r="H67" s="74">
        <v>37</v>
      </c>
      <c r="I67" s="74">
        <v>15</v>
      </c>
      <c r="J67" s="74">
        <v>10</v>
      </c>
      <c r="K67" s="74">
        <v>6</v>
      </c>
      <c r="L67" s="74">
        <v>2</v>
      </c>
      <c r="M67" s="74">
        <v>4</v>
      </c>
      <c r="N67" s="74">
        <v>6</v>
      </c>
      <c r="O67" s="74">
        <v>4.8</v>
      </c>
      <c r="P67" s="184" t="s">
        <v>282</v>
      </c>
      <c r="Q67" s="76">
        <v>675000</v>
      </c>
      <c r="R67" s="76">
        <v>1080000</v>
      </c>
      <c r="S67" s="76">
        <v>0</v>
      </c>
      <c r="T67" s="76">
        <v>0</v>
      </c>
      <c r="U67" s="76">
        <v>21250</v>
      </c>
      <c r="V67" s="76">
        <v>0</v>
      </c>
      <c r="W67" s="76">
        <v>275208</v>
      </c>
      <c r="X67" s="76">
        <v>210000</v>
      </c>
      <c r="Y67" s="76">
        <v>306989</v>
      </c>
      <c r="Z67" s="76">
        <v>250000</v>
      </c>
      <c r="AA67" s="76">
        <v>0</v>
      </c>
      <c r="AB67" s="76">
        <v>0</v>
      </c>
      <c r="AC67" s="76">
        <v>890065</v>
      </c>
      <c r="AD67" s="76">
        <v>890773</v>
      </c>
      <c r="AE67" s="76">
        <v>0</v>
      </c>
      <c r="AF67" s="76">
        <v>0</v>
      </c>
      <c r="AG67" s="76">
        <v>0</v>
      </c>
      <c r="AH67" s="76">
        <v>0</v>
      </c>
      <c r="AI67" s="76">
        <v>26000</v>
      </c>
      <c r="AJ67" s="76">
        <v>0</v>
      </c>
      <c r="AK67" s="76">
        <v>2194512</v>
      </c>
      <c r="AL67" s="76">
        <v>1926825</v>
      </c>
      <c r="AM67" s="77">
        <v>2430773</v>
      </c>
      <c r="AN67" s="78"/>
      <c r="AO67" s="342">
        <v>1080000</v>
      </c>
      <c r="AP67" s="222">
        <f aca="true" t="shared" si="54" ref="AP67:AP76">AO67/R67</f>
        <v>1</v>
      </c>
      <c r="AQ67" s="81">
        <f aca="true" t="shared" si="55" ref="AQ67:AQ73">-1+AO67/Q67</f>
        <v>0.6000000000000001</v>
      </c>
      <c r="AR67" s="82"/>
      <c r="AS67" s="176">
        <f t="shared" si="25"/>
        <v>2220773</v>
      </c>
      <c r="AT67" s="177">
        <f t="shared" si="26"/>
        <v>1.0119666695830325</v>
      </c>
      <c r="AU67" s="85">
        <f t="shared" si="27"/>
        <v>0</v>
      </c>
      <c r="AV67" s="86">
        <f t="shared" si="28"/>
        <v>0.9136077288994077</v>
      </c>
      <c r="AW67" s="178">
        <f t="shared" si="29"/>
        <v>210000</v>
      </c>
      <c r="AX67" s="85">
        <f aca="true" t="shared" si="56" ref="AX67:AX75">IF(W67&gt;AU67,0,AU67-W67)</f>
        <v>0</v>
      </c>
      <c r="AY67" s="88"/>
      <c r="AZ67" s="89">
        <f aca="true" t="shared" si="57" ref="AZ67:AZ75">$AO67/N67</f>
        <v>180000</v>
      </c>
      <c r="BA67" s="90">
        <f aca="true" t="shared" si="58" ref="BA67:BA75">$AO67/O67</f>
        <v>225000</v>
      </c>
      <c r="BB67" s="88"/>
      <c r="BC67" s="179">
        <v>0</v>
      </c>
      <c r="BD67" s="91"/>
      <c r="BE67" s="92">
        <f aca="true" t="shared" si="59" ref="BE67:BE127">IF(BD67+BC67&gt;X67,X67-BC67,BD67)</f>
        <v>0</v>
      </c>
      <c r="BF67" s="93">
        <f t="shared" si="14"/>
        <v>1.1365932511618508</v>
      </c>
      <c r="BG67" s="92"/>
      <c r="BH67" s="92">
        <v>0</v>
      </c>
      <c r="BI67" s="94">
        <v>0</v>
      </c>
      <c r="BJ67" s="95" t="s">
        <v>127</v>
      </c>
      <c r="BK67" s="182" t="s">
        <v>51</v>
      </c>
      <c r="BL67" s="97">
        <f t="shared" si="47"/>
        <v>1.1365932511618508</v>
      </c>
      <c r="BM67" s="98"/>
      <c r="BN67" s="99">
        <f aca="true" t="shared" si="60" ref="BN67:BN75">($BI67+$BC67+$AO67+$AJ67+$AH67+$AF67+$AD67+$AB67+$Z67+$V67+$T67)/$AL67</f>
        <v>1.1525556290789252</v>
      </c>
      <c r="BO67" s="99">
        <f t="shared" si="48"/>
        <v>0.9136077288994077</v>
      </c>
      <c r="BP67" s="82"/>
      <c r="BQ67" s="100">
        <f t="shared" si="49"/>
        <v>0</v>
      </c>
      <c r="BR67" s="101"/>
      <c r="BS67" s="92">
        <f t="shared" si="50"/>
        <v>950208</v>
      </c>
      <c r="BT67" s="92">
        <f t="shared" si="51"/>
        <v>1080000</v>
      </c>
      <c r="BU67" s="102">
        <f t="shared" si="53"/>
        <v>0.13659325116185084</v>
      </c>
      <c r="BV67" s="64" t="s">
        <v>338</v>
      </c>
    </row>
    <row r="68" spans="1:74" ht="82.5" customHeight="1">
      <c r="A68" s="103">
        <v>26304856</v>
      </c>
      <c r="B68" s="104" t="s">
        <v>52</v>
      </c>
      <c r="C68" s="104" t="s">
        <v>47</v>
      </c>
      <c r="D68" s="104" t="s">
        <v>124</v>
      </c>
      <c r="E68" s="104" t="s">
        <v>126</v>
      </c>
      <c r="F68" s="105">
        <v>6379403</v>
      </c>
      <c r="G68" s="105">
        <v>0</v>
      </c>
      <c r="H68" s="105">
        <v>25</v>
      </c>
      <c r="I68" s="105">
        <v>6</v>
      </c>
      <c r="J68" s="105">
        <v>12</v>
      </c>
      <c r="K68" s="105">
        <v>7</v>
      </c>
      <c r="L68" s="105">
        <v>0</v>
      </c>
      <c r="M68" s="105">
        <v>0</v>
      </c>
      <c r="N68" s="105">
        <v>1.4</v>
      </c>
      <c r="O68" s="105">
        <v>1</v>
      </c>
      <c r="P68" s="107" t="s">
        <v>280</v>
      </c>
      <c r="Q68" s="108">
        <v>62000</v>
      </c>
      <c r="R68" s="108">
        <v>326656</v>
      </c>
      <c r="S68" s="108">
        <v>0</v>
      </c>
      <c r="T68" s="108">
        <v>0</v>
      </c>
      <c r="U68" s="108">
        <v>106000</v>
      </c>
      <c r="V68" s="108">
        <v>44000</v>
      </c>
      <c r="W68" s="108">
        <v>96107</v>
      </c>
      <c r="X68" s="108">
        <v>25000</v>
      </c>
      <c r="Y68" s="108">
        <v>2000</v>
      </c>
      <c r="Z68" s="108">
        <v>2000</v>
      </c>
      <c r="AA68" s="108">
        <v>0</v>
      </c>
      <c r="AB68" s="108">
        <v>0</v>
      </c>
      <c r="AC68" s="108">
        <v>30000</v>
      </c>
      <c r="AD68" s="108">
        <v>48000</v>
      </c>
      <c r="AE68" s="108">
        <v>0</v>
      </c>
      <c r="AF68" s="108">
        <v>0</v>
      </c>
      <c r="AG68" s="108">
        <v>0</v>
      </c>
      <c r="AH68" s="108">
        <v>0</v>
      </c>
      <c r="AI68" s="108">
        <v>52998</v>
      </c>
      <c r="AJ68" s="108">
        <v>20994</v>
      </c>
      <c r="AK68" s="108"/>
      <c r="AL68" s="108">
        <v>281800</v>
      </c>
      <c r="AM68" s="109">
        <v>466650</v>
      </c>
      <c r="AN68" s="78"/>
      <c r="AO68" s="348">
        <v>62000</v>
      </c>
      <c r="AP68" s="192">
        <f t="shared" si="54"/>
        <v>0.18980211598746083</v>
      </c>
      <c r="AQ68" s="112">
        <f t="shared" si="55"/>
        <v>0</v>
      </c>
      <c r="AR68" s="82"/>
      <c r="AS68" s="113">
        <f t="shared" si="25"/>
        <v>176994</v>
      </c>
      <c r="AT68" s="114">
        <f t="shared" si="26"/>
        <v>0.5069935979146675</v>
      </c>
      <c r="AU68" s="115">
        <f t="shared" si="27"/>
        <v>172111</v>
      </c>
      <c r="AV68" s="86">
        <f t="shared" si="28"/>
        <v>0.3792864030858245</v>
      </c>
      <c r="AW68" s="185">
        <f t="shared" si="29"/>
        <v>289656</v>
      </c>
      <c r="AX68" s="186">
        <f t="shared" si="56"/>
        <v>76004</v>
      </c>
      <c r="AY68" s="88"/>
      <c r="AZ68" s="117">
        <f t="shared" si="57"/>
        <v>44285.71428571429</v>
      </c>
      <c r="BA68" s="118">
        <f t="shared" si="58"/>
        <v>62000</v>
      </c>
      <c r="BB68" s="88"/>
      <c r="BC68" s="187">
        <v>67275</v>
      </c>
      <c r="BD68" s="91">
        <f>(Q68+W68)*1.1-AO68-BC68</f>
        <v>44642.70000000001</v>
      </c>
      <c r="BE68" s="92"/>
      <c r="BF68" s="93">
        <f aca="true" t="shared" si="61" ref="BF68:BF131">(BE68+BC68+AO68)/(Q68+W68)</f>
        <v>0.8176424826225278</v>
      </c>
      <c r="BG68" s="92"/>
      <c r="BH68" s="92">
        <v>0</v>
      </c>
      <c r="BI68" s="94">
        <v>13000</v>
      </c>
      <c r="BJ68" s="120" t="s">
        <v>127</v>
      </c>
      <c r="BK68" s="121" t="s">
        <v>54</v>
      </c>
      <c r="BL68" s="97">
        <f t="shared" si="47"/>
        <v>0.8176424826225278</v>
      </c>
      <c r="BM68" s="98">
        <f>(0.9*(Q68+S68+W68))-(T68+AO68+BC68+BH68)</f>
        <v>13021.300000000017</v>
      </c>
      <c r="BN68" s="122">
        <f t="shared" si="60"/>
        <v>0.9129488999290277</v>
      </c>
      <c r="BO68" s="122">
        <f t="shared" si="48"/>
        <v>0.551310403942998</v>
      </c>
      <c r="BP68" s="82"/>
      <c r="BQ68" s="123">
        <f t="shared" si="49"/>
        <v>80275</v>
      </c>
      <c r="BR68" s="101"/>
      <c r="BS68" s="92">
        <f t="shared" si="50"/>
        <v>158107</v>
      </c>
      <c r="BT68" s="92">
        <f t="shared" si="51"/>
        <v>142275</v>
      </c>
      <c r="BU68" s="124">
        <f t="shared" si="53"/>
        <v>-0.1001347188929016</v>
      </c>
      <c r="BV68" s="65" t="s">
        <v>339</v>
      </c>
    </row>
    <row r="69" spans="1:74" ht="42.75">
      <c r="A69" s="103">
        <v>44990260</v>
      </c>
      <c r="B69" s="104" t="s">
        <v>76</v>
      </c>
      <c r="C69" s="104" t="s">
        <v>47</v>
      </c>
      <c r="D69" s="104" t="s">
        <v>124</v>
      </c>
      <c r="E69" s="104" t="s">
        <v>128</v>
      </c>
      <c r="F69" s="105">
        <v>5595277</v>
      </c>
      <c r="G69" s="105">
        <v>0</v>
      </c>
      <c r="H69" s="105">
        <v>35</v>
      </c>
      <c r="I69" s="105">
        <v>5</v>
      </c>
      <c r="J69" s="105">
        <v>9</v>
      </c>
      <c r="K69" s="105">
        <v>3</v>
      </c>
      <c r="L69" s="105">
        <v>0</v>
      </c>
      <c r="M69" s="105">
        <v>18</v>
      </c>
      <c r="N69" s="105">
        <v>5.2</v>
      </c>
      <c r="O69" s="105">
        <v>4.3</v>
      </c>
      <c r="P69" s="184" t="s">
        <v>289</v>
      </c>
      <c r="Q69" s="108">
        <v>887000</v>
      </c>
      <c r="R69" s="108">
        <v>1129700</v>
      </c>
      <c r="S69" s="108">
        <v>0</v>
      </c>
      <c r="T69" s="108">
        <v>0</v>
      </c>
      <c r="U69" s="191"/>
      <c r="V69" s="108">
        <v>0</v>
      </c>
      <c r="W69" s="108">
        <v>165915</v>
      </c>
      <c r="X69" s="108">
        <v>200000</v>
      </c>
      <c r="Y69" s="108">
        <v>223137</v>
      </c>
      <c r="Z69" s="108">
        <v>210000</v>
      </c>
      <c r="AA69" s="108">
        <v>0</v>
      </c>
      <c r="AB69" s="108">
        <v>0</v>
      </c>
      <c r="AC69" s="108">
        <v>352942</v>
      </c>
      <c r="AD69" s="108">
        <v>320000</v>
      </c>
      <c r="AE69" s="108">
        <v>0</v>
      </c>
      <c r="AF69" s="108">
        <v>0</v>
      </c>
      <c r="AG69" s="108">
        <v>0</v>
      </c>
      <c r="AH69" s="108">
        <v>0</v>
      </c>
      <c r="AI69" s="108">
        <v>15301</v>
      </c>
      <c r="AJ69" s="108">
        <v>3400</v>
      </c>
      <c r="AK69" s="108">
        <v>1644295</v>
      </c>
      <c r="AL69" s="108">
        <v>1644304</v>
      </c>
      <c r="AM69" s="109">
        <v>1863100</v>
      </c>
      <c r="AN69" s="78"/>
      <c r="AO69" s="348">
        <v>609700</v>
      </c>
      <c r="AP69" s="192">
        <f t="shared" si="54"/>
        <v>0.5397008055235903</v>
      </c>
      <c r="AQ69" s="112">
        <f t="shared" si="55"/>
        <v>-0.3126268320180383</v>
      </c>
      <c r="AR69" s="82"/>
      <c r="AS69" s="113">
        <f t="shared" si="25"/>
        <v>1143100</v>
      </c>
      <c r="AT69" s="114">
        <f t="shared" si="26"/>
        <v>0.6951915562596735</v>
      </c>
      <c r="AU69" s="115">
        <f t="shared" si="27"/>
        <v>501195</v>
      </c>
      <c r="AV69" s="86">
        <f t="shared" si="28"/>
        <v>0.6135473136170898</v>
      </c>
      <c r="AW69" s="185">
        <f t="shared" si="29"/>
        <v>720000</v>
      </c>
      <c r="AX69" s="186">
        <f t="shared" si="56"/>
        <v>335280</v>
      </c>
      <c r="AY69" s="88"/>
      <c r="AZ69" s="117">
        <f t="shared" si="57"/>
        <v>117250</v>
      </c>
      <c r="BA69" s="118">
        <f t="shared" si="58"/>
        <v>141790.69767441862</v>
      </c>
      <c r="BB69" s="88"/>
      <c r="BC69" s="187">
        <v>116130</v>
      </c>
      <c r="BD69" s="91">
        <f>(Q69+W69)*1.1-AO69-BC69</f>
        <v>432376.5</v>
      </c>
      <c r="BE69" s="92">
        <f t="shared" si="59"/>
        <v>83870</v>
      </c>
      <c r="BF69" s="93">
        <f t="shared" si="61"/>
        <v>0.7690079446109135</v>
      </c>
      <c r="BG69" s="92">
        <f>IF(BF69&lt;$BG$3,(0.7*(Q69+W69))-(AO69+BC69),0)</f>
        <v>11210.5</v>
      </c>
      <c r="BH69" s="92">
        <v>83870</v>
      </c>
      <c r="BI69" s="94">
        <v>235000</v>
      </c>
      <c r="BJ69" s="120" t="s">
        <v>127</v>
      </c>
      <c r="BK69" s="121" t="s">
        <v>51</v>
      </c>
      <c r="BL69" s="97">
        <f t="shared" si="47"/>
        <v>0.7690079446109135</v>
      </c>
      <c r="BM69" s="98">
        <f>(0.9*(Q69+S69+W69))-(T69+AO69+BC69+BH69)</f>
        <v>137923.5</v>
      </c>
      <c r="BN69" s="122">
        <f t="shared" si="60"/>
        <v>0.9087309889168913</v>
      </c>
      <c r="BO69" s="122">
        <f t="shared" si="48"/>
        <v>0.8020127744082444</v>
      </c>
      <c r="BP69" s="82"/>
      <c r="BQ69" s="123">
        <f t="shared" si="49"/>
        <v>351130</v>
      </c>
      <c r="BR69" s="101"/>
      <c r="BS69" s="92">
        <f t="shared" si="50"/>
        <v>1052915</v>
      </c>
      <c r="BT69" s="92">
        <f t="shared" si="51"/>
        <v>960830</v>
      </c>
      <c r="BU69" s="124">
        <f t="shared" si="53"/>
        <v>-0.08745720214832153</v>
      </c>
      <c r="BV69" s="65" t="s">
        <v>328</v>
      </c>
    </row>
    <row r="70" spans="1:74" ht="42.75">
      <c r="A70" s="103">
        <v>45659028</v>
      </c>
      <c r="B70" s="104" t="s">
        <v>110</v>
      </c>
      <c r="C70" s="104" t="s">
        <v>47</v>
      </c>
      <c r="D70" s="104" t="s">
        <v>124</v>
      </c>
      <c r="E70" s="104" t="s">
        <v>126</v>
      </c>
      <c r="F70" s="105">
        <v>5078660</v>
      </c>
      <c r="G70" s="106"/>
      <c r="H70" s="105">
        <v>1</v>
      </c>
      <c r="I70" s="105">
        <v>0</v>
      </c>
      <c r="J70" s="105">
        <v>0</v>
      </c>
      <c r="K70" s="105">
        <v>0</v>
      </c>
      <c r="L70" s="105">
        <v>1</v>
      </c>
      <c r="M70" s="105">
        <v>0</v>
      </c>
      <c r="N70" s="105">
        <v>6</v>
      </c>
      <c r="O70" s="105">
        <v>5</v>
      </c>
      <c r="P70" s="184" t="s">
        <v>287</v>
      </c>
      <c r="Q70" s="108">
        <v>602000</v>
      </c>
      <c r="R70" s="108">
        <v>878000</v>
      </c>
      <c r="S70" s="108">
        <v>0</v>
      </c>
      <c r="T70" s="108">
        <v>0</v>
      </c>
      <c r="U70" s="108">
        <v>322588</v>
      </c>
      <c r="V70" s="108">
        <v>180000</v>
      </c>
      <c r="W70" s="108">
        <v>127621</v>
      </c>
      <c r="X70" s="108">
        <v>125126</v>
      </c>
      <c r="Y70" s="108">
        <v>100000</v>
      </c>
      <c r="Z70" s="108">
        <v>100000</v>
      </c>
      <c r="AA70" s="108">
        <v>0</v>
      </c>
      <c r="AB70" s="108">
        <v>0</v>
      </c>
      <c r="AC70" s="108">
        <v>132000</v>
      </c>
      <c r="AD70" s="108">
        <v>132000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08">
        <v>0</v>
      </c>
      <c r="AK70" s="108">
        <v>1284209</v>
      </c>
      <c r="AL70" s="108">
        <v>1284209</v>
      </c>
      <c r="AM70" s="109">
        <v>1415126</v>
      </c>
      <c r="AN70" s="78"/>
      <c r="AO70" s="348">
        <v>0</v>
      </c>
      <c r="AP70" s="192">
        <f t="shared" si="54"/>
        <v>0</v>
      </c>
      <c r="AQ70" s="112">
        <f t="shared" si="55"/>
        <v>-1</v>
      </c>
      <c r="AR70" s="82"/>
      <c r="AS70" s="113">
        <f t="shared" si="25"/>
        <v>412000</v>
      </c>
      <c r="AT70" s="114">
        <f t="shared" si="26"/>
        <v>0.32082005343367004</v>
      </c>
      <c r="AU70" s="115">
        <f t="shared" si="27"/>
        <v>872209</v>
      </c>
      <c r="AV70" s="86">
        <f t="shared" si="28"/>
        <v>0.29114015289097933</v>
      </c>
      <c r="AW70" s="185">
        <f t="shared" si="29"/>
        <v>1003126</v>
      </c>
      <c r="AX70" s="186">
        <f t="shared" si="56"/>
        <v>744588</v>
      </c>
      <c r="AY70" s="88"/>
      <c r="AZ70" s="117">
        <f t="shared" si="57"/>
        <v>0</v>
      </c>
      <c r="BA70" s="118">
        <f t="shared" si="58"/>
        <v>0</v>
      </c>
      <c r="BB70" s="88"/>
      <c r="BC70" s="187">
        <v>89335</v>
      </c>
      <c r="BD70" s="91">
        <f>(Q70+W70)*1.1-AO70-BC70</f>
        <v>713248.1000000001</v>
      </c>
      <c r="BE70" s="92">
        <f t="shared" si="59"/>
        <v>35791</v>
      </c>
      <c r="BF70" s="93">
        <f t="shared" si="61"/>
        <v>0.17149451564579418</v>
      </c>
      <c r="BG70" s="92">
        <f>IF(BF70&lt;$BG$3,(0.7*(Q70+W70))-(AO70+BC70),0)</f>
        <v>421399.69999999995</v>
      </c>
      <c r="BH70" s="92">
        <v>421400</v>
      </c>
      <c r="BI70" s="94">
        <v>567300</v>
      </c>
      <c r="BJ70" s="120" t="s">
        <v>127</v>
      </c>
      <c r="BK70" s="121" t="s">
        <v>56</v>
      </c>
      <c r="BL70" s="97">
        <f t="shared" si="47"/>
        <v>0.7000004111723758</v>
      </c>
      <c r="BM70" s="98">
        <f>(0.9*(Q70+S70+W70))-(T70+AO70+BC70+BH70)</f>
        <v>145923.90000000002</v>
      </c>
      <c r="BN70" s="122">
        <f t="shared" si="60"/>
        <v>0.8321348004880825</v>
      </c>
      <c r="BO70" s="122">
        <f t="shared" si="48"/>
        <v>0.7551518380695429</v>
      </c>
      <c r="BP70" s="82"/>
      <c r="BQ70" s="123">
        <f t="shared" si="49"/>
        <v>656635</v>
      </c>
      <c r="BR70" s="101"/>
      <c r="BS70" s="92">
        <f t="shared" si="50"/>
        <v>729621</v>
      </c>
      <c r="BT70" s="92">
        <f t="shared" si="51"/>
        <v>656635</v>
      </c>
      <c r="BU70" s="124">
        <f t="shared" si="53"/>
        <v>-0.10003275673260503</v>
      </c>
      <c r="BV70" s="65" t="s">
        <v>328</v>
      </c>
    </row>
    <row r="71" spans="1:74" ht="42.75">
      <c r="A71" s="103">
        <v>47224541</v>
      </c>
      <c r="B71" s="104" t="s">
        <v>129</v>
      </c>
      <c r="C71" s="104" t="s">
        <v>47</v>
      </c>
      <c r="D71" s="104" t="s">
        <v>124</v>
      </c>
      <c r="E71" s="104" t="s">
        <v>130</v>
      </c>
      <c r="F71" s="105">
        <v>4632272</v>
      </c>
      <c r="G71" s="106"/>
      <c r="H71" s="105">
        <v>18</v>
      </c>
      <c r="I71" s="105">
        <v>10</v>
      </c>
      <c r="J71" s="105">
        <v>1</v>
      </c>
      <c r="K71" s="105">
        <v>1</v>
      </c>
      <c r="L71" s="105">
        <v>0</v>
      </c>
      <c r="M71" s="105">
        <v>6</v>
      </c>
      <c r="N71" s="105">
        <v>4.8</v>
      </c>
      <c r="O71" s="105">
        <v>4.5</v>
      </c>
      <c r="P71" s="184" t="s">
        <v>291</v>
      </c>
      <c r="Q71" s="108">
        <v>618000</v>
      </c>
      <c r="R71" s="108">
        <v>850000</v>
      </c>
      <c r="S71" s="108">
        <v>0</v>
      </c>
      <c r="T71" s="108">
        <v>0</v>
      </c>
      <c r="U71" s="108">
        <v>0</v>
      </c>
      <c r="V71" s="108">
        <v>0</v>
      </c>
      <c r="W71" s="108">
        <v>61357</v>
      </c>
      <c r="X71" s="108">
        <v>100000</v>
      </c>
      <c r="Y71" s="108">
        <v>200000</v>
      </c>
      <c r="Z71" s="108">
        <v>200000</v>
      </c>
      <c r="AA71" s="108">
        <v>0</v>
      </c>
      <c r="AB71" s="108">
        <v>0</v>
      </c>
      <c r="AC71" s="108">
        <v>83247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9102</v>
      </c>
      <c r="AJ71" s="108">
        <v>184929</v>
      </c>
      <c r="AK71" s="108">
        <v>971706</v>
      </c>
      <c r="AL71" s="108">
        <v>971706</v>
      </c>
      <c r="AM71" s="109">
        <v>1334929</v>
      </c>
      <c r="AN71" s="78"/>
      <c r="AO71" s="348">
        <v>418000</v>
      </c>
      <c r="AP71" s="192">
        <f t="shared" si="54"/>
        <v>0.49176470588235294</v>
      </c>
      <c r="AQ71" s="112">
        <f t="shared" si="55"/>
        <v>-0.3236245954692557</v>
      </c>
      <c r="AR71" s="82"/>
      <c r="AS71" s="113">
        <f t="shared" si="25"/>
        <v>802929</v>
      </c>
      <c r="AT71" s="114">
        <f t="shared" si="26"/>
        <v>0.8263085748158394</v>
      </c>
      <c r="AU71" s="115">
        <f t="shared" si="27"/>
        <v>168777</v>
      </c>
      <c r="AV71" s="86">
        <f t="shared" si="28"/>
        <v>0.6014769324810533</v>
      </c>
      <c r="AW71" s="185">
        <f t="shared" si="29"/>
        <v>532000</v>
      </c>
      <c r="AX71" s="186">
        <f t="shared" si="56"/>
        <v>107420</v>
      </c>
      <c r="AY71" s="88"/>
      <c r="AZ71" s="117">
        <f t="shared" si="57"/>
        <v>87083.33333333334</v>
      </c>
      <c r="BA71" s="118">
        <f t="shared" si="58"/>
        <v>92888.88888888889</v>
      </c>
      <c r="BB71" s="88"/>
      <c r="BC71" s="187">
        <v>77950</v>
      </c>
      <c r="BD71" s="91">
        <f>(Q71+W71)*1.1-AO71-BC71</f>
        <v>251342.70000000007</v>
      </c>
      <c r="BE71" s="92">
        <f t="shared" si="59"/>
        <v>22050</v>
      </c>
      <c r="BF71" s="93">
        <f t="shared" si="61"/>
        <v>0.7624857033930614</v>
      </c>
      <c r="BG71" s="92"/>
      <c r="BH71" s="92">
        <v>122050</v>
      </c>
      <c r="BI71" s="94">
        <v>122050</v>
      </c>
      <c r="BJ71" s="120" t="s">
        <v>127</v>
      </c>
      <c r="BK71" s="121" t="s">
        <v>51</v>
      </c>
      <c r="BL71" s="97">
        <f t="shared" si="47"/>
        <v>0.9096837156311042</v>
      </c>
      <c r="BM71" s="98"/>
      <c r="BN71" s="122">
        <f t="shared" si="60"/>
        <v>1.0321321469662634</v>
      </c>
      <c r="BO71" s="122">
        <f t="shared" si="48"/>
        <v>0.7512976345558453</v>
      </c>
      <c r="BP71" s="82"/>
      <c r="BQ71" s="123">
        <f t="shared" si="49"/>
        <v>200000</v>
      </c>
      <c r="BR71" s="101"/>
      <c r="BS71" s="92">
        <f t="shared" si="50"/>
        <v>679357</v>
      </c>
      <c r="BT71" s="92">
        <f t="shared" si="51"/>
        <v>618000</v>
      </c>
      <c r="BU71" s="124">
        <f t="shared" si="53"/>
        <v>-0.09031628436889583</v>
      </c>
      <c r="BV71" s="65" t="s">
        <v>328</v>
      </c>
    </row>
    <row r="72" spans="1:74" ht="99.75">
      <c r="A72" s="103">
        <v>62797549</v>
      </c>
      <c r="B72" s="104" t="s">
        <v>131</v>
      </c>
      <c r="C72" s="104" t="s">
        <v>47</v>
      </c>
      <c r="D72" s="104" t="s">
        <v>124</v>
      </c>
      <c r="E72" s="104" t="s">
        <v>126</v>
      </c>
      <c r="F72" s="105">
        <v>4753623</v>
      </c>
      <c r="G72" s="106"/>
      <c r="H72" s="105">
        <v>44</v>
      </c>
      <c r="I72" s="105">
        <v>4</v>
      </c>
      <c r="J72" s="105">
        <v>9</v>
      </c>
      <c r="K72" s="105">
        <v>13</v>
      </c>
      <c r="L72" s="105">
        <v>10</v>
      </c>
      <c r="M72" s="105">
        <v>8</v>
      </c>
      <c r="N72" s="105">
        <v>33.1</v>
      </c>
      <c r="O72" s="105">
        <v>12.6</v>
      </c>
      <c r="P72" s="184" t="s">
        <v>280</v>
      </c>
      <c r="Q72" s="108">
        <v>368000</v>
      </c>
      <c r="R72" s="108">
        <v>913842</v>
      </c>
      <c r="S72" s="108">
        <v>0</v>
      </c>
      <c r="T72" s="108">
        <v>0</v>
      </c>
      <c r="U72" s="108">
        <v>757998</v>
      </c>
      <c r="V72" s="108">
        <v>995693</v>
      </c>
      <c r="W72" s="108">
        <v>196075</v>
      </c>
      <c r="X72" s="108">
        <v>150000</v>
      </c>
      <c r="Y72" s="108">
        <v>131165</v>
      </c>
      <c r="Z72" s="108">
        <v>90000</v>
      </c>
      <c r="AA72" s="108">
        <v>0</v>
      </c>
      <c r="AB72" s="108">
        <v>0</v>
      </c>
      <c r="AC72" s="108">
        <v>214618</v>
      </c>
      <c r="AD72" s="108">
        <v>110000</v>
      </c>
      <c r="AE72" s="108">
        <v>0</v>
      </c>
      <c r="AF72" s="108">
        <v>0</v>
      </c>
      <c r="AG72" s="108">
        <v>0</v>
      </c>
      <c r="AH72" s="108">
        <v>0</v>
      </c>
      <c r="AI72" s="108">
        <v>15013</v>
      </c>
      <c r="AJ72" s="108">
        <v>5465</v>
      </c>
      <c r="AK72" s="108"/>
      <c r="AL72" s="108">
        <v>1682869</v>
      </c>
      <c r="AM72" s="109">
        <v>2265000</v>
      </c>
      <c r="AN72" s="78"/>
      <c r="AO72" s="348">
        <v>550000</v>
      </c>
      <c r="AP72" s="192">
        <f t="shared" si="54"/>
        <v>0.6018545875545226</v>
      </c>
      <c r="AQ72" s="112">
        <f t="shared" si="55"/>
        <v>0.49456521739130443</v>
      </c>
      <c r="AR72" s="82"/>
      <c r="AS72" s="113">
        <f t="shared" si="25"/>
        <v>1751158</v>
      </c>
      <c r="AT72" s="114">
        <f t="shared" si="26"/>
        <v>1.0405789161247845</v>
      </c>
      <c r="AU72" s="115">
        <f t="shared" si="27"/>
        <v>0</v>
      </c>
      <c r="AV72" s="86">
        <f t="shared" si="28"/>
        <v>0.7731381898454747</v>
      </c>
      <c r="AW72" s="185">
        <f t="shared" si="29"/>
        <v>513842</v>
      </c>
      <c r="AX72" s="186">
        <f t="shared" si="56"/>
        <v>0</v>
      </c>
      <c r="AY72" s="88"/>
      <c r="AZ72" s="117">
        <f t="shared" si="57"/>
        <v>16616.31419939577</v>
      </c>
      <c r="BA72" s="118">
        <f t="shared" si="58"/>
        <v>43650.793650793654</v>
      </c>
      <c r="BB72" s="88"/>
      <c r="BC72" s="187">
        <v>137253</v>
      </c>
      <c r="BD72" s="91"/>
      <c r="BE72" s="92">
        <f t="shared" si="59"/>
        <v>0</v>
      </c>
      <c r="BF72" s="93">
        <f t="shared" si="61"/>
        <v>1.2183716704338963</v>
      </c>
      <c r="BG72" s="92"/>
      <c r="BH72" s="92">
        <v>0</v>
      </c>
      <c r="BI72" s="94">
        <v>50000</v>
      </c>
      <c r="BJ72" s="120" t="s">
        <v>127</v>
      </c>
      <c r="BK72" s="121" t="s">
        <v>56</v>
      </c>
      <c r="BL72" s="97">
        <f t="shared" si="47"/>
        <v>1.2183716704338963</v>
      </c>
      <c r="BM72" s="98"/>
      <c r="BN72" s="122">
        <f t="shared" si="60"/>
        <v>1.151849014985718</v>
      </c>
      <c r="BO72" s="122">
        <f t="shared" si="48"/>
        <v>0.85581059602649</v>
      </c>
      <c r="BP72" s="82"/>
      <c r="BQ72" s="123">
        <f t="shared" si="49"/>
        <v>187253</v>
      </c>
      <c r="BR72" s="101"/>
      <c r="BS72" s="92">
        <f t="shared" si="50"/>
        <v>564075</v>
      </c>
      <c r="BT72" s="92">
        <f t="shared" si="51"/>
        <v>737253</v>
      </c>
      <c r="BU72" s="124">
        <f t="shared" si="53"/>
        <v>0.30701236537694454</v>
      </c>
      <c r="BV72" s="65" t="s">
        <v>354</v>
      </c>
    </row>
    <row r="73" spans="1:74" ht="42.75">
      <c r="A73" s="103">
        <v>70188467</v>
      </c>
      <c r="B73" s="104" t="s">
        <v>58</v>
      </c>
      <c r="C73" s="104" t="s">
        <v>59</v>
      </c>
      <c r="D73" s="104" t="s">
        <v>124</v>
      </c>
      <c r="E73" s="104" t="s">
        <v>126</v>
      </c>
      <c r="F73" s="105">
        <v>6338017</v>
      </c>
      <c r="G73" s="105">
        <v>0</v>
      </c>
      <c r="H73" s="105">
        <v>4</v>
      </c>
      <c r="I73" s="105">
        <v>0</v>
      </c>
      <c r="J73" s="105">
        <v>0</v>
      </c>
      <c r="K73" s="105">
        <v>0</v>
      </c>
      <c r="L73" s="105">
        <v>0</v>
      </c>
      <c r="M73" s="105">
        <v>4</v>
      </c>
      <c r="N73" s="105">
        <v>1.4</v>
      </c>
      <c r="O73" s="105">
        <v>1.4</v>
      </c>
      <c r="P73" s="184" t="s">
        <v>282</v>
      </c>
      <c r="Q73" s="108">
        <v>90000</v>
      </c>
      <c r="R73" s="108">
        <v>78000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40000</v>
      </c>
      <c r="Y73" s="108">
        <v>0</v>
      </c>
      <c r="Z73" s="108">
        <v>0</v>
      </c>
      <c r="AA73" s="108">
        <v>236000</v>
      </c>
      <c r="AB73" s="108">
        <v>173000</v>
      </c>
      <c r="AC73" s="108">
        <v>25000</v>
      </c>
      <c r="AD73" s="108">
        <v>50000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0</v>
      </c>
      <c r="AK73" s="108"/>
      <c r="AL73" s="108">
        <v>351000</v>
      </c>
      <c r="AM73" s="109">
        <v>341000</v>
      </c>
      <c r="AN73" s="78"/>
      <c r="AO73" s="348">
        <v>32000</v>
      </c>
      <c r="AP73" s="192">
        <f t="shared" si="54"/>
        <v>0.41025641025641024</v>
      </c>
      <c r="AQ73" s="112">
        <f t="shared" si="55"/>
        <v>-0.6444444444444444</v>
      </c>
      <c r="AR73" s="82"/>
      <c r="AS73" s="113">
        <f t="shared" si="25"/>
        <v>255000</v>
      </c>
      <c r="AT73" s="114">
        <f t="shared" si="26"/>
        <v>0.7264957264957265</v>
      </c>
      <c r="AU73" s="115">
        <f t="shared" si="27"/>
        <v>96000</v>
      </c>
      <c r="AV73" s="86">
        <f t="shared" si="28"/>
        <v>0.7478005865102639</v>
      </c>
      <c r="AW73" s="185">
        <f t="shared" si="29"/>
        <v>86000</v>
      </c>
      <c r="AX73" s="186">
        <f t="shared" si="56"/>
        <v>96000</v>
      </c>
      <c r="AY73" s="88"/>
      <c r="AZ73" s="117">
        <f t="shared" si="57"/>
        <v>22857.14285714286</v>
      </c>
      <c r="BA73" s="118">
        <f t="shared" si="58"/>
        <v>22857.14285714286</v>
      </c>
      <c r="BB73" s="88"/>
      <c r="BC73" s="187">
        <v>0</v>
      </c>
      <c r="BD73" s="91">
        <f>(Q73+W73)*1.1-AO73-BC73</f>
        <v>67000.00000000001</v>
      </c>
      <c r="BE73" s="92">
        <f t="shared" si="59"/>
        <v>40000</v>
      </c>
      <c r="BF73" s="93">
        <f t="shared" si="61"/>
        <v>0.8</v>
      </c>
      <c r="BG73" s="92">
        <f>IF(BF73&lt;$BG$3,(0.7*(Q73+W73))-(AO73+BC73),0)</f>
        <v>30999.999999999993</v>
      </c>
      <c r="BH73" s="92">
        <v>40000</v>
      </c>
      <c r="BI73" s="94">
        <v>40000</v>
      </c>
      <c r="BJ73" s="120" t="s">
        <v>127</v>
      </c>
      <c r="BK73" s="121" t="s">
        <v>60</v>
      </c>
      <c r="BL73" s="97">
        <f t="shared" si="47"/>
        <v>0.8</v>
      </c>
      <c r="BM73" s="98"/>
      <c r="BN73" s="122">
        <f t="shared" si="60"/>
        <v>0.8404558404558404</v>
      </c>
      <c r="BO73" s="122">
        <f t="shared" si="48"/>
        <v>0.8651026392961877</v>
      </c>
      <c r="BP73" s="82"/>
      <c r="BQ73" s="123">
        <f t="shared" si="49"/>
        <v>40000</v>
      </c>
      <c r="BR73" s="101"/>
      <c r="BS73" s="92">
        <f t="shared" si="50"/>
        <v>90000</v>
      </c>
      <c r="BT73" s="92">
        <f t="shared" si="51"/>
        <v>72000</v>
      </c>
      <c r="BU73" s="124">
        <f t="shared" si="53"/>
        <v>-0.19999999999999996</v>
      </c>
      <c r="BV73" s="65" t="s">
        <v>340</v>
      </c>
    </row>
    <row r="74" spans="1:74" ht="42.75">
      <c r="A74" s="103">
        <v>70632596</v>
      </c>
      <c r="B74" s="104" t="s">
        <v>132</v>
      </c>
      <c r="C74" s="104" t="s">
        <v>47</v>
      </c>
      <c r="D74" s="104" t="s">
        <v>124</v>
      </c>
      <c r="E74" s="104" t="s">
        <v>133</v>
      </c>
      <c r="F74" s="106"/>
      <c r="G74" s="106"/>
      <c r="H74" s="105">
        <v>1</v>
      </c>
      <c r="I74" s="105">
        <v>0</v>
      </c>
      <c r="J74" s="105">
        <v>0</v>
      </c>
      <c r="K74" s="105">
        <v>0</v>
      </c>
      <c r="L74" s="105">
        <v>1</v>
      </c>
      <c r="M74" s="105">
        <v>0</v>
      </c>
      <c r="N74" s="105">
        <v>1</v>
      </c>
      <c r="O74" s="105">
        <v>1</v>
      </c>
      <c r="P74" s="184" t="s">
        <v>280</v>
      </c>
      <c r="Q74" s="108">
        <v>0</v>
      </c>
      <c r="R74" s="108">
        <v>84630</v>
      </c>
      <c r="S74" s="108">
        <v>0</v>
      </c>
      <c r="T74" s="108">
        <v>0</v>
      </c>
      <c r="U74" s="108">
        <v>0</v>
      </c>
      <c r="V74" s="108">
        <v>0</v>
      </c>
      <c r="W74" s="108">
        <v>0</v>
      </c>
      <c r="X74" s="108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127140</v>
      </c>
      <c r="AD74" s="108">
        <v>125000</v>
      </c>
      <c r="AE74" s="108">
        <v>0</v>
      </c>
      <c r="AF74" s="108">
        <v>0</v>
      </c>
      <c r="AG74" s="108">
        <v>0</v>
      </c>
      <c r="AH74" s="108">
        <v>0</v>
      </c>
      <c r="AI74" s="108">
        <v>53771</v>
      </c>
      <c r="AJ74" s="108">
        <v>0</v>
      </c>
      <c r="AK74" s="108"/>
      <c r="AL74" s="108">
        <v>180911</v>
      </c>
      <c r="AM74" s="109">
        <v>209630</v>
      </c>
      <c r="AN74" s="78"/>
      <c r="AO74" s="348">
        <v>0</v>
      </c>
      <c r="AP74" s="192">
        <f t="shared" si="54"/>
        <v>0</v>
      </c>
      <c r="AQ74" s="112"/>
      <c r="AR74" s="82"/>
      <c r="AS74" s="113">
        <f>T74+V74+Z74+AB74+AD74+AF74+AH74+AJ74+AO74</f>
        <v>125000</v>
      </c>
      <c r="AT74" s="114">
        <f>AS74/(Q74+S74+U74+W74+Y74+AA74+AC74+AE74+AG74+AI74)</f>
        <v>0.6909474824637529</v>
      </c>
      <c r="AU74" s="115">
        <f>IF(AT74&gt;=100%,0,(Q74+S74+U74+W74+Y74+AA74+AC74+AE74+AG74+AI74)-(T74+V74+Z74+AB74+AD74+AF74+AH74+AJ74+AO74))</f>
        <v>55911</v>
      </c>
      <c r="AV74" s="86">
        <f>AS74/AM74</f>
        <v>0.596288699136574</v>
      </c>
      <c r="AW74" s="185">
        <f>IF(AS74&lt;AM74,AM74-AS74,0)</f>
        <v>84630</v>
      </c>
      <c r="AX74" s="186">
        <f t="shared" si="56"/>
        <v>55911</v>
      </c>
      <c r="AY74" s="88"/>
      <c r="AZ74" s="117">
        <f t="shared" si="57"/>
        <v>0</v>
      </c>
      <c r="BA74" s="118">
        <f t="shared" si="58"/>
        <v>0</v>
      </c>
      <c r="BB74" s="88"/>
      <c r="BC74" s="187">
        <v>0</v>
      </c>
      <c r="BD74" s="91">
        <f>(Q74+W74)*1.1-AO74-BC74</f>
        <v>0</v>
      </c>
      <c r="BE74" s="92">
        <f t="shared" si="59"/>
        <v>0</v>
      </c>
      <c r="BF74" s="93"/>
      <c r="BG74" s="92"/>
      <c r="BH74" s="92">
        <v>0</v>
      </c>
      <c r="BI74" s="94">
        <v>0</v>
      </c>
      <c r="BJ74" s="120" t="s">
        <v>127</v>
      </c>
      <c r="BK74" s="121" t="s">
        <v>56</v>
      </c>
      <c r="BL74" s="97" t="e">
        <f t="shared" si="47"/>
        <v>#DIV/0!</v>
      </c>
      <c r="BM74" s="98"/>
      <c r="BN74" s="122">
        <f t="shared" si="60"/>
        <v>0.6909474824637529</v>
      </c>
      <c r="BO74" s="122">
        <f t="shared" si="48"/>
        <v>0.596288699136574</v>
      </c>
      <c r="BP74" s="82"/>
      <c r="BQ74" s="123">
        <f t="shared" si="49"/>
        <v>0</v>
      </c>
      <c r="BR74" s="101"/>
      <c r="BS74" s="92">
        <f t="shared" si="50"/>
        <v>0</v>
      </c>
      <c r="BT74" s="92">
        <f t="shared" si="51"/>
        <v>0</v>
      </c>
      <c r="BU74" s="124"/>
      <c r="BV74" s="65" t="s">
        <v>341</v>
      </c>
    </row>
    <row r="75" spans="1:74" ht="86.25" thickBot="1">
      <c r="A75" s="125">
        <v>70868832</v>
      </c>
      <c r="B75" s="126" t="s">
        <v>122</v>
      </c>
      <c r="C75" s="126" t="s">
        <v>47</v>
      </c>
      <c r="D75" s="126" t="s">
        <v>124</v>
      </c>
      <c r="E75" s="126" t="s">
        <v>134</v>
      </c>
      <c r="F75" s="127">
        <v>7979330</v>
      </c>
      <c r="G75" s="281"/>
      <c r="H75" s="127">
        <v>6</v>
      </c>
      <c r="I75" s="127">
        <v>0</v>
      </c>
      <c r="J75" s="127">
        <v>0</v>
      </c>
      <c r="K75" s="127">
        <v>5</v>
      </c>
      <c r="L75" s="127">
        <v>1</v>
      </c>
      <c r="M75" s="127">
        <v>0</v>
      </c>
      <c r="N75" s="127">
        <v>3.2</v>
      </c>
      <c r="O75" s="127">
        <v>2.7</v>
      </c>
      <c r="P75" s="242" t="s">
        <v>285</v>
      </c>
      <c r="Q75" s="129">
        <v>474000</v>
      </c>
      <c r="R75" s="129">
        <v>921474</v>
      </c>
      <c r="S75" s="129">
        <v>0</v>
      </c>
      <c r="T75" s="129">
        <v>0</v>
      </c>
      <c r="U75" s="129">
        <v>0</v>
      </c>
      <c r="V75" s="129">
        <v>0</v>
      </c>
      <c r="W75" s="129">
        <v>201073</v>
      </c>
      <c r="X75" s="129">
        <v>115500</v>
      </c>
      <c r="Y75" s="129">
        <v>50000</v>
      </c>
      <c r="Z75" s="129">
        <v>15000</v>
      </c>
      <c r="AA75" s="129">
        <v>0</v>
      </c>
      <c r="AB75" s="129">
        <v>0</v>
      </c>
      <c r="AC75" s="129">
        <v>112675</v>
      </c>
      <c r="AD75" s="129">
        <v>180000</v>
      </c>
      <c r="AE75" s="129">
        <v>0</v>
      </c>
      <c r="AF75" s="129">
        <v>0</v>
      </c>
      <c r="AG75" s="129">
        <v>0</v>
      </c>
      <c r="AH75" s="129">
        <v>0</v>
      </c>
      <c r="AI75" s="129">
        <v>12000</v>
      </c>
      <c r="AJ75" s="129">
        <v>40000</v>
      </c>
      <c r="AK75" s="129"/>
      <c r="AL75" s="129">
        <v>849748</v>
      </c>
      <c r="AM75" s="130">
        <v>1271974</v>
      </c>
      <c r="AN75" s="78"/>
      <c r="AO75" s="349">
        <v>474000</v>
      </c>
      <c r="AP75" s="135">
        <f t="shared" si="54"/>
        <v>0.5143932438679767</v>
      </c>
      <c r="AQ75" s="131">
        <f>-1+AO75/Q75</f>
        <v>0</v>
      </c>
      <c r="AR75" s="82"/>
      <c r="AS75" s="132">
        <f>T75+V75+Z75+AB75+AD75+AF75+AH75+AJ75+AO75</f>
        <v>709000</v>
      </c>
      <c r="AT75" s="133">
        <f>AS75/(Q75+S75+U75+W75+Y75+AA75+AC75+AE75+AG75+AI75)</f>
        <v>0.8343650117446584</v>
      </c>
      <c r="AU75" s="134">
        <f>IF(AT75&gt;=100%,0,(Q75+S75+U75+W75+Y75+AA75+AC75+AE75+AG75+AI75)-(T75+V75+Z75+AB75+AD75+AF75+AH75+AJ75+AO75))</f>
        <v>140748</v>
      </c>
      <c r="AV75" s="135">
        <f>AS75/AM75</f>
        <v>0.557401330530341</v>
      </c>
      <c r="AW75" s="248">
        <f>IF(AS75&lt;AM75,AM75-AS75,0)</f>
        <v>562974</v>
      </c>
      <c r="AX75" s="249">
        <f t="shared" si="56"/>
        <v>0</v>
      </c>
      <c r="AY75" s="88"/>
      <c r="AZ75" s="137">
        <f t="shared" si="57"/>
        <v>148125</v>
      </c>
      <c r="BA75" s="138">
        <f t="shared" si="58"/>
        <v>175555.55555555553</v>
      </c>
      <c r="BB75" s="88"/>
      <c r="BC75" s="287">
        <v>140751</v>
      </c>
      <c r="BD75" s="140">
        <f>(Q75+W75)*1.1-AO75-BC75</f>
        <v>127829.30000000005</v>
      </c>
      <c r="BE75" s="141"/>
      <c r="BF75" s="142">
        <f t="shared" si="61"/>
        <v>0.9106437377883577</v>
      </c>
      <c r="BG75" s="141"/>
      <c r="BH75" s="141">
        <v>0</v>
      </c>
      <c r="BI75" s="143">
        <v>0</v>
      </c>
      <c r="BJ75" s="144" t="s">
        <v>127</v>
      </c>
      <c r="BK75" s="145" t="s">
        <v>56</v>
      </c>
      <c r="BL75" s="97">
        <f t="shared" si="47"/>
        <v>0.9106437377883577</v>
      </c>
      <c r="BM75" s="98"/>
      <c r="BN75" s="146">
        <f t="shared" si="60"/>
        <v>1.0000035304584418</v>
      </c>
      <c r="BO75" s="146">
        <f t="shared" si="48"/>
        <v>0.6680568942446937</v>
      </c>
      <c r="BP75" s="82"/>
      <c r="BQ75" s="147">
        <f t="shared" si="49"/>
        <v>140751</v>
      </c>
      <c r="BR75" s="101"/>
      <c r="BS75" s="141">
        <f t="shared" si="50"/>
        <v>675073</v>
      </c>
      <c r="BT75" s="141">
        <f t="shared" si="51"/>
        <v>614751</v>
      </c>
      <c r="BU75" s="235">
        <f t="shared" si="53"/>
        <v>-0.08935626221164228</v>
      </c>
      <c r="BV75" s="66" t="s">
        <v>342</v>
      </c>
    </row>
    <row r="76" spans="1:74" ht="15" thickBot="1">
      <c r="A76" s="167" t="s">
        <v>61</v>
      </c>
      <c r="B76" s="71"/>
      <c r="C76" s="71"/>
      <c r="D76" s="71"/>
      <c r="E76" s="7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4">
        <f>SUM(Q67:Q75)</f>
        <v>3776000</v>
      </c>
      <c r="R76" s="152">
        <f aca="true" t="shared" si="62" ref="R76:AM76">SUM(R67:R75)</f>
        <v>6262302</v>
      </c>
      <c r="S76" s="152">
        <f t="shared" si="62"/>
        <v>0</v>
      </c>
      <c r="T76" s="152">
        <f t="shared" si="62"/>
        <v>0</v>
      </c>
      <c r="U76" s="152">
        <f t="shared" si="62"/>
        <v>1207836</v>
      </c>
      <c r="V76" s="152">
        <f t="shared" si="62"/>
        <v>1219693</v>
      </c>
      <c r="W76" s="152">
        <f t="shared" si="62"/>
        <v>1123356</v>
      </c>
      <c r="X76" s="152">
        <f t="shared" si="62"/>
        <v>965626</v>
      </c>
      <c r="Y76" s="152">
        <f t="shared" si="62"/>
        <v>1013291</v>
      </c>
      <c r="Z76" s="152">
        <f t="shared" si="62"/>
        <v>867000</v>
      </c>
      <c r="AA76" s="152">
        <f t="shared" si="62"/>
        <v>236000</v>
      </c>
      <c r="AB76" s="152">
        <f t="shared" si="62"/>
        <v>173000</v>
      </c>
      <c r="AC76" s="152">
        <f t="shared" si="62"/>
        <v>1967687</v>
      </c>
      <c r="AD76" s="152">
        <f t="shared" si="62"/>
        <v>1855773</v>
      </c>
      <c r="AE76" s="152">
        <f t="shared" si="62"/>
        <v>0</v>
      </c>
      <c r="AF76" s="152">
        <f t="shared" si="62"/>
        <v>0</v>
      </c>
      <c r="AG76" s="152">
        <f t="shared" si="62"/>
        <v>0</v>
      </c>
      <c r="AH76" s="152">
        <f t="shared" si="62"/>
        <v>0</v>
      </c>
      <c r="AI76" s="152">
        <f t="shared" si="62"/>
        <v>184185</v>
      </c>
      <c r="AJ76" s="152">
        <f t="shared" si="62"/>
        <v>254788</v>
      </c>
      <c r="AK76" s="152"/>
      <c r="AL76" s="152">
        <f t="shared" si="62"/>
        <v>9173372</v>
      </c>
      <c r="AM76" s="154">
        <f t="shared" si="62"/>
        <v>11598182</v>
      </c>
      <c r="AN76" s="153"/>
      <c r="AO76" s="154">
        <f>SUM(AO67:AO75)</f>
        <v>3225700</v>
      </c>
      <c r="AP76" s="41">
        <f t="shared" si="54"/>
        <v>0.5150981220643782</v>
      </c>
      <c r="AQ76" s="40">
        <f>-1+AO76/Q76</f>
        <v>-0.1457362288135593</v>
      </c>
      <c r="AR76" s="1"/>
      <c r="AS76" s="155">
        <f>T76+V76+Z76+AB76+AD76+AF76+AH76+AJ76+AO76</f>
        <v>7595954</v>
      </c>
      <c r="AT76" s="207">
        <f>AS76/(Q76+S76+U76+W76+Y76+AA76+AC76+AE76+AG76+AI76)</f>
        <v>0.7988715187853209</v>
      </c>
      <c r="AU76" s="156">
        <f>SUM(AU67:AU75)</f>
        <v>2006951</v>
      </c>
      <c r="AV76" s="215">
        <f>AS76/AM76</f>
        <v>0.6549262634437018</v>
      </c>
      <c r="AW76" s="216">
        <f>SUM(AW67:AW75)</f>
        <v>4002228</v>
      </c>
      <c r="AX76" s="210">
        <f>SUM(AX67:AX75)</f>
        <v>1415203</v>
      </c>
      <c r="AY76" s="88"/>
      <c r="AZ76" s="158"/>
      <c r="BA76" s="158"/>
      <c r="BB76" s="88"/>
      <c r="BC76" s="160">
        <f>SUM(BC67:BC75)</f>
        <v>628694</v>
      </c>
      <c r="BD76" s="160">
        <f>SUM(BD67:BD75)</f>
        <v>1636439.3</v>
      </c>
      <c r="BE76" s="161">
        <f>SUM(BE67:BE75)</f>
        <v>181711</v>
      </c>
      <c r="BF76" s="160"/>
      <c r="BG76" s="161">
        <f>SUM(BG67:BG75)</f>
        <v>463610.19999999995</v>
      </c>
      <c r="BH76" s="161">
        <f>SUM(BH67:BH75)</f>
        <v>667320</v>
      </c>
      <c r="BI76" s="57">
        <f>SUM(BI67:BI75)</f>
        <v>1027350</v>
      </c>
      <c r="BJ76" s="162"/>
      <c r="BK76" s="162"/>
      <c r="BL76" s="97">
        <f t="shared" si="47"/>
        <v>0.9229200735770171</v>
      </c>
      <c r="BM76" s="98"/>
      <c r="BN76" s="82"/>
      <c r="BO76" s="82"/>
      <c r="BP76" s="82"/>
      <c r="BQ76" s="161">
        <f>SUM(BQ67:BQ75)</f>
        <v>1656044</v>
      </c>
      <c r="BR76" s="101"/>
      <c r="BS76" s="161">
        <f t="shared" si="50"/>
        <v>4899356</v>
      </c>
      <c r="BT76" s="161">
        <f t="shared" si="51"/>
        <v>4881744</v>
      </c>
      <c r="BU76" s="163">
        <f t="shared" si="53"/>
        <v>-0.0035947581682164165</v>
      </c>
      <c r="BV76" s="67"/>
    </row>
    <row r="77" spans="1:74" ht="8.25" customHeight="1" thickBot="1">
      <c r="A77" s="149"/>
      <c r="B77" s="150"/>
      <c r="C77" s="150"/>
      <c r="D77" s="150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97"/>
      <c r="AQ77" s="97"/>
      <c r="AR77" s="97"/>
      <c r="AS77" s="164"/>
      <c r="AT77" s="82"/>
      <c r="AU77" s="165"/>
      <c r="AV77" s="215"/>
      <c r="AW77" s="164"/>
      <c r="AX77" s="165"/>
      <c r="AY77" s="88"/>
      <c r="AZ77" s="158"/>
      <c r="BA77" s="158"/>
      <c r="BB77" s="88"/>
      <c r="BC77" s="169"/>
      <c r="BD77" s="170"/>
      <c r="BE77" s="171"/>
      <c r="BF77" s="172"/>
      <c r="BG77" s="171"/>
      <c r="BH77" s="171"/>
      <c r="BI77" s="173"/>
      <c r="BJ77" s="162"/>
      <c r="BK77" s="162"/>
      <c r="BL77" s="97" t="e">
        <f t="shared" si="47"/>
        <v>#DIV/0!</v>
      </c>
      <c r="BM77" s="98"/>
      <c r="BN77" s="82"/>
      <c r="BO77" s="82"/>
      <c r="BP77" s="82"/>
      <c r="BQ77" s="171"/>
      <c r="BR77" s="101"/>
      <c r="BS77" s="171"/>
      <c r="BT77" s="171"/>
      <c r="BU77" s="174"/>
      <c r="BV77" s="67"/>
    </row>
    <row r="78" spans="1:74" ht="57">
      <c r="A78" s="72">
        <v>26304856</v>
      </c>
      <c r="B78" s="73" t="s">
        <v>52</v>
      </c>
      <c r="C78" s="73" t="s">
        <v>47</v>
      </c>
      <c r="D78" s="73" t="s">
        <v>135</v>
      </c>
      <c r="E78" s="73" t="s">
        <v>136</v>
      </c>
      <c r="F78" s="74">
        <v>7481318</v>
      </c>
      <c r="G78" s="74">
        <v>0</v>
      </c>
      <c r="H78" s="74">
        <v>45</v>
      </c>
      <c r="I78" s="74">
        <v>20</v>
      </c>
      <c r="J78" s="74">
        <v>18</v>
      </c>
      <c r="K78" s="74">
        <v>7</v>
      </c>
      <c r="L78" s="74">
        <v>0</v>
      </c>
      <c r="M78" s="74">
        <v>0</v>
      </c>
      <c r="N78" s="74">
        <v>0.7</v>
      </c>
      <c r="O78" s="74">
        <v>0.5</v>
      </c>
      <c r="P78" s="175" t="s">
        <v>280</v>
      </c>
      <c r="Q78" s="76">
        <v>43000</v>
      </c>
      <c r="R78" s="76">
        <v>227065</v>
      </c>
      <c r="S78" s="76">
        <v>0</v>
      </c>
      <c r="T78" s="76">
        <v>0</v>
      </c>
      <c r="U78" s="76">
        <v>24000</v>
      </c>
      <c r="V78" s="76">
        <v>22000</v>
      </c>
      <c r="W78" s="76">
        <v>19100</v>
      </c>
      <c r="X78" s="76">
        <v>18000</v>
      </c>
      <c r="Y78" s="76">
        <v>2000</v>
      </c>
      <c r="Z78" s="76">
        <v>2000</v>
      </c>
      <c r="AA78" s="76">
        <v>0</v>
      </c>
      <c r="AB78" s="76">
        <v>0</v>
      </c>
      <c r="AC78" s="76">
        <v>23400</v>
      </c>
      <c r="AD78" s="76">
        <v>36000</v>
      </c>
      <c r="AE78" s="76">
        <v>0</v>
      </c>
      <c r="AF78" s="76">
        <v>0</v>
      </c>
      <c r="AG78" s="76">
        <v>0</v>
      </c>
      <c r="AH78" s="76">
        <v>0</v>
      </c>
      <c r="AI78" s="76">
        <v>84500</v>
      </c>
      <c r="AJ78" s="76">
        <v>19313</v>
      </c>
      <c r="AK78" s="76"/>
      <c r="AL78" s="76">
        <v>196000</v>
      </c>
      <c r="AM78" s="77">
        <v>324378</v>
      </c>
      <c r="AN78" s="78"/>
      <c r="AO78" s="342">
        <v>86000</v>
      </c>
      <c r="AP78" s="222">
        <f aca="true" t="shared" si="63" ref="AP78:AP113">AO78/R78</f>
        <v>0.3787461740030388</v>
      </c>
      <c r="AQ78" s="81">
        <f>-1+AO78/Q78</f>
        <v>1</v>
      </c>
      <c r="AR78" s="82"/>
      <c r="AS78" s="176">
        <f>T78+V78+Z78+AB78+AD78+AF78+AH78+AJ78+AO78</f>
        <v>165313</v>
      </c>
      <c r="AT78" s="177">
        <f>AS78/(Q78+S78+U78+W78+Y78+AA78+AC78+AE78+AG78+AI78)</f>
        <v>0.8434336734693878</v>
      </c>
      <c r="AU78" s="85">
        <f>IF(AT78&gt;=100%,0,(Q78+S78+U78+W78+Y78+AA78+AC78+AE78+AG78+AI78)-(T78+V78+Z78+AB78+AD78+AF78+AH78+AJ78+AO78))</f>
        <v>30687</v>
      </c>
      <c r="AV78" s="86">
        <f>AS78/AM78</f>
        <v>0.509630739445955</v>
      </c>
      <c r="AW78" s="178">
        <f>IF(AS78&lt;AM78,AM78-AS78,0)</f>
        <v>159065</v>
      </c>
      <c r="AX78" s="85">
        <f>IF(W78&gt;AU78,0,AU78-W78)</f>
        <v>11587</v>
      </c>
      <c r="AY78" s="88"/>
      <c r="AZ78" s="89">
        <f aca="true" t="shared" si="64" ref="AZ78:BA80">$AO78/N78</f>
        <v>122857.14285714287</v>
      </c>
      <c r="BA78" s="90">
        <f t="shared" si="64"/>
        <v>172000</v>
      </c>
      <c r="BB78" s="88"/>
      <c r="BC78" s="179">
        <v>13370</v>
      </c>
      <c r="BD78" s="91"/>
      <c r="BE78" s="92">
        <f t="shared" si="59"/>
        <v>0</v>
      </c>
      <c r="BF78" s="93">
        <f t="shared" si="61"/>
        <v>1.6001610305958132</v>
      </c>
      <c r="BG78" s="92"/>
      <c r="BH78" s="92">
        <v>0</v>
      </c>
      <c r="BI78" s="94">
        <v>0</v>
      </c>
      <c r="BJ78" s="227" t="s">
        <v>137</v>
      </c>
      <c r="BK78" s="182" t="s">
        <v>54</v>
      </c>
      <c r="BL78" s="97">
        <f t="shared" si="47"/>
        <v>1.6001610305958132</v>
      </c>
      <c r="BM78" s="98"/>
      <c r="BN78" s="99">
        <f>($BI78+$BC78+$AO78+$AJ78+$AH78+$AF78+$AD78+$AB78+$Z78+$V78+$T78)/$AL78</f>
        <v>0.9116479591836735</v>
      </c>
      <c r="BO78" s="99">
        <f t="shared" si="48"/>
        <v>0.5508480846419918</v>
      </c>
      <c r="BP78" s="82"/>
      <c r="BQ78" s="100">
        <f t="shared" si="49"/>
        <v>13370</v>
      </c>
      <c r="BR78" s="101"/>
      <c r="BS78" s="92">
        <f t="shared" si="50"/>
        <v>62100</v>
      </c>
      <c r="BT78" s="92">
        <f t="shared" si="51"/>
        <v>99370</v>
      </c>
      <c r="BU78" s="102">
        <f t="shared" si="53"/>
        <v>0.6001610305958132</v>
      </c>
      <c r="BV78" s="64" t="s">
        <v>343</v>
      </c>
    </row>
    <row r="79" spans="1:74" ht="57">
      <c r="A79" s="103">
        <v>26908042</v>
      </c>
      <c r="B79" s="104" t="s">
        <v>138</v>
      </c>
      <c r="C79" s="104" t="s">
        <v>47</v>
      </c>
      <c r="D79" s="104" t="s">
        <v>135</v>
      </c>
      <c r="E79" s="104" t="s">
        <v>136</v>
      </c>
      <c r="F79" s="105">
        <v>4534408</v>
      </c>
      <c r="G79" s="106"/>
      <c r="H79" s="105">
        <v>23</v>
      </c>
      <c r="I79" s="105">
        <v>0</v>
      </c>
      <c r="J79" s="105">
        <v>0</v>
      </c>
      <c r="K79" s="105">
        <v>0</v>
      </c>
      <c r="L79" s="105">
        <v>0</v>
      </c>
      <c r="M79" s="105">
        <v>23</v>
      </c>
      <c r="N79" s="105">
        <v>1</v>
      </c>
      <c r="O79" s="105">
        <v>1</v>
      </c>
      <c r="P79" s="184" t="s">
        <v>280</v>
      </c>
      <c r="Q79" s="108">
        <v>89000</v>
      </c>
      <c r="R79" s="108">
        <v>209000</v>
      </c>
      <c r="S79" s="108">
        <v>0</v>
      </c>
      <c r="T79" s="108">
        <v>0</v>
      </c>
      <c r="U79" s="108">
        <v>0</v>
      </c>
      <c r="V79" s="108">
        <v>0</v>
      </c>
      <c r="W79" s="108">
        <v>19907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5000</v>
      </c>
      <c r="AD79" s="108">
        <v>12000</v>
      </c>
      <c r="AE79" s="108">
        <v>0</v>
      </c>
      <c r="AF79" s="108">
        <v>0</v>
      </c>
      <c r="AG79" s="108">
        <v>57945</v>
      </c>
      <c r="AH79" s="108">
        <v>45000</v>
      </c>
      <c r="AI79" s="108">
        <v>0</v>
      </c>
      <c r="AJ79" s="108">
        <v>0</v>
      </c>
      <c r="AK79" s="108"/>
      <c r="AL79" s="108">
        <v>212000</v>
      </c>
      <c r="AM79" s="109">
        <v>221000</v>
      </c>
      <c r="AN79" s="78"/>
      <c r="AO79" s="348">
        <v>96000</v>
      </c>
      <c r="AP79" s="192">
        <f t="shared" si="63"/>
        <v>0.45933014354066987</v>
      </c>
      <c r="AQ79" s="112">
        <f>-1+AO79/Q79</f>
        <v>0.0786516853932584</v>
      </c>
      <c r="AR79" s="82"/>
      <c r="AS79" s="113">
        <f aca="true" t="shared" si="65" ref="AS79:AS142">T79+V79+Z79+AB79+AD79+AF79+AH79+AJ79+AO79</f>
        <v>153000</v>
      </c>
      <c r="AT79" s="114">
        <f aca="true" t="shared" si="66" ref="AT79:AT142">AS79/(Q79+S79+U79+W79+Y79+AA79+AC79+AE79+AG79+AI79)</f>
        <v>0.8903009566371064</v>
      </c>
      <c r="AU79" s="115">
        <f aca="true" t="shared" si="67" ref="AU79:AU142">IF(AT79&gt;=100%,0,(Q79+S79+U79+W79+Y79+AA79+AC79+AE79+AG79+AI79)-(T79+V79+Z79+AB79+AD79+AF79+AH79+AJ79+AO79))</f>
        <v>18852</v>
      </c>
      <c r="AV79" s="86">
        <f aca="true" t="shared" si="68" ref="AV79:AV142">AS79/AM79</f>
        <v>0.6923076923076923</v>
      </c>
      <c r="AW79" s="185">
        <f aca="true" t="shared" si="69" ref="AW79:AW142">IF(AS79&lt;AM79,AM79-AS79,0)</f>
        <v>68000</v>
      </c>
      <c r="AX79" s="186">
        <f>IF(W79&gt;AU79,0,AU79-W79)</f>
        <v>0</v>
      </c>
      <c r="AY79" s="88"/>
      <c r="AZ79" s="117">
        <f t="shared" si="64"/>
        <v>96000</v>
      </c>
      <c r="BA79" s="118">
        <f t="shared" si="64"/>
        <v>96000</v>
      </c>
      <c r="BB79" s="88"/>
      <c r="BC79" s="187">
        <v>13935</v>
      </c>
      <c r="BD79" s="91">
        <f>(Q79+W79)*1.1-AO79-BC79</f>
        <v>9862.700000000012</v>
      </c>
      <c r="BE79" s="92"/>
      <c r="BF79" s="93">
        <f t="shared" si="61"/>
        <v>1.009439246329437</v>
      </c>
      <c r="BG79" s="92"/>
      <c r="BH79" s="92">
        <v>0</v>
      </c>
      <c r="BI79" s="94">
        <v>0</v>
      </c>
      <c r="BJ79" s="120" t="s">
        <v>137</v>
      </c>
      <c r="BK79" s="121" t="s">
        <v>54</v>
      </c>
      <c r="BL79" s="97">
        <f t="shared" si="47"/>
        <v>1.009439246329437</v>
      </c>
      <c r="BM79" s="98"/>
      <c r="BN79" s="122">
        <f>($BI79+$BC79+$AO79+$AJ79+$AH79+$AF79+$AD79+$AB79+$Z79+$V79+$T79)/$AL79</f>
        <v>0.7874292452830188</v>
      </c>
      <c r="BO79" s="122">
        <f t="shared" si="48"/>
        <v>0.7553619909502263</v>
      </c>
      <c r="BP79" s="82"/>
      <c r="BQ79" s="123">
        <f t="shared" si="49"/>
        <v>13935</v>
      </c>
      <c r="BR79" s="101"/>
      <c r="BS79" s="92">
        <f t="shared" si="50"/>
        <v>108907</v>
      </c>
      <c r="BT79" s="92">
        <f t="shared" si="51"/>
        <v>109935</v>
      </c>
      <c r="BU79" s="124">
        <f t="shared" si="53"/>
        <v>0.009439246329437045</v>
      </c>
      <c r="BV79" s="65" t="s">
        <v>343</v>
      </c>
    </row>
    <row r="80" spans="1:74" ht="72" thickBot="1">
      <c r="A80" s="125">
        <v>70188467</v>
      </c>
      <c r="B80" s="126" t="s">
        <v>58</v>
      </c>
      <c r="C80" s="126" t="s">
        <v>59</v>
      </c>
      <c r="D80" s="126" t="s">
        <v>135</v>
      </c>
      <c r="E80" s="126" t="s">
        <v>136</v>
      </c>
      <c r="F80" s="127">
        <v>6733377</v>
      </c>
      <c r="G80" s="127">
        <v>0</v>
      </c>
      <c r="H80" s="127">
        <v>10</v>
      </c>
      <c r="I80" s="127">
        <v>0</v>
      </c>
      <c r="J80" s="127">
        <v>0</v>
      </c>
      <c r="K80" s="127">
        <v>0</v>
      </c>
      <c r="L80" s="127">
        <v>0</v>
      </c>
      <c r="M80" s="127">
        <v>10</v>
      </c>
      <c r="N80" s="127">
        <v>0.6</v>
      </c>
      <c r="O80" s="127">
        <v>0.6</v>
      </c>
      <c r="P80" s="242" t="s">
        <v>282</v>
      </c>
      <c r="Q80" s="129">
        <v>68000</v>
      </c>
      <c r="R80" s="129">
        <v>20000</v>
      </c>
      <c r="S80" s="129">
        <v>0</v>
      </c>
      <c r="T80" s="129">
        <v>0</v>
      </c>
      <c r="U80" s="129">
        <v>0</v>
      </c>
      <c r="V80" s="129">
        <v>0</v>
      </c>
      <c r="W80" s="129">
        <v>0</v>
      </c>
      <c r="X80" s="129">
        <v>0</v>
      </c>
      <c r="Y80" s="129">
        <v>0</v>
      </c>
      <c r="Z80" s="129">
        <v>0</v>
      </c>
      <c r="AA80" s="129">
        <v>22000</v>
      </c>
      <c r="AB80" s="129">
        <v>127700</v>
      </c>
      <c r="AC80" s="129">
        <v>5000</v>
      </c>
      <c r="AD80" s="129">
        <v>1000</v>
      </c>
      <c r="AE80" s="129">
        <v>0</v>
      </c>
      <c r="AF80" s="129">
        <v>0</v>
      </c>
      <c r="AG80" s="129">
        <v>0</v>
      </c>
      <c r="AH80" s="129">
        <v>0</v>
      </c>
      <c r="AI80" s="129">
        <v>0</v>
      </c>
      <c r="AJ80" s="129">
        <v>0</v>
      </c>
      <c r="AK80" s="129"/>
      <c r="AL80" s="129">
        <v>95000</v>
      </c>
      <c r="AM80" s="130">
        <v>148700</v>
      </c>
      <c r="AN80" s="78"/>
      <c r="AO80" s="349">
        <v>20000</v>
      </c>
      <c r="AP80" s="135">
        <f t="shared" si="63"/>
        <v>1</v>
      </c>
      <c r="AQ80" s="131">
        <f>-1+AO80/Q80</f>
        <v>-0.7058823529411764</v>
      </c>
      <c r="AR80" s="82"/>
      <c r="AS80" s="132">
        <f t="shared" si="65"/>
        <v>148700</v>
      </c>
      <c r="AT80" s="133">
        <f t="shared" si="66"/>
        <v>1.565263157894737</v>
      </c>
      <c r="AU80" s="134">
        <f t="shared" si="67"/>
        <v>0</v>
      </c>
      <c r="AV80" s="135">
        <f t="shared" si="68"/>
        <v>1</v>
      </c>
      <c r="AW80" s="248">
        <f t="shared" si="69"/>
        <v>0</v>
      </c>
      <c r="AX80" s="249">
        <f>IF(W80&gt;AU80,0,AU80-W80)</f>
        <v>0</v>
      </c>
      <c r="AY80" s="88"/>
      <c r="AZ80" s="137">
        <f t="shared" si="64"/>
        <v>33333.333333333336</v>
      </c>
      <c r="BA80" s="138">
        <f t="shared" si="64"/>
        <v>33333.333333333336</v>
      </c>
      <c r="BB80" s="88"/>
      <c r="BC80" s="287">
        <v>0</v>
      </c>
      <c r="BD80" s="140">
        <f>(Q80+W80)*1.1-AO80-BC80</f>
        <v>54800</v>
      </c>
      <c r="BE80" s="141">
        <f t="shared" si="59"/>
        <v>0</v>
      </c>
      <c r="BF80" s="142">
        <f t="shared" si="61"/>
        <v>0.29411764705882354</v>
      </c>
      <c r="BG80" s="141">
        <v>0</v>
      </c>
      <c r="BH80" s="141">
        <v>0</v>
      </c>
      <c r="BI80" s="143">
        <v>0</v>
      </c>
      <c r="BJ80" s="144" t="s">
        <v>137</v>
      </c>
      <c r="BK80" s="145" t="s">
        <v>60</v>
      </c>
      <c r="BL80" s="97">
        <f t="shared" si="47"/>
        <v>0.29411764705882354</v>
      </c>
      <c r="BM80" s="98"/>
      <c r="BN80" s="146">
        <f>($BI80+$BC80+$AO80+$AJ80+$AH80+$AF80+$AD80+$AB80+$Z80+$V80+$T80)/$AL80</f>
        <v>1.565263157894737</v>
      </c>
      <c r="BO80" s="146">
        <f t="shared" si="48"/>
        <v>1</v>
      </c>
      <c r="BP80" s="82"/>
      <c r="BQ80" s="147">
        <f t="shared" si="49"/>
        <v>0</v>
      </c>
      <c r="BR80" s="101"/>
      <c r="BS80" s="141">
        <f t="shared" si="50"/>
        <v>68000</v>
      </c>
      <c r="BT80" s="141">
        <f t="shared" si="51"/>
        <v>20000</v>
      </c>
      <c r="BU80" s="235">
        <f t="shared" si="53"/>
        <v>-0.7058823529411764</v>
      </c>
      <c r="BV80" s="66" t="s">
        <v>353</v>
      </c>
    </row>
    <row r="81" spans="1:74" ht="15" thickBot="1">
      <c r="A81" s="167" t="s">
        <v>61</v>
      </c>
      <c r="B81" s="71"/>
      <c r="C81" s="71"/>
      <c r="D81" s="71"/>
      <c r="E81" s="7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2">
        <f>SUM(Q78:Q80)</f>
        <v>200000</v>
      </c>
      <c r="R81" s="152">
        <f aca="true" t="shared" si="70" ref="R81:AM81">SUM(R78:R80)</f>
        <v>456065</v>
      </c>
      <c r="S81" s="152">
        <f t="shared" si="70"/>
        <v>0</v>
      </c>
      <c r="T81" s="152">
        <f t="shared" si="70"/>
        <v>0</v>
      </c>
      <c r="U81" s="152">
        <f t="shared" si="70"/>
        <v>24000</v>
      </c>
      <c r="V81" s="152">
        <f t="shared" si="70"/>
        <v>22000</v>
      </c>
      <c r="W81" s="152">
        <f t="shared" si="70"/>
        <v>39007</v>
      </c>
      <c r="X81" s="152">
        <f t="shared" si="70"/>
        <v>18000</v>
      </c>
      <c r="Y81" s="152">
        <f t="shared" si="70"/>
        <v>2000</v>
      </c>
      <c r="Z81" s="152">
        <f t="shared" si="70"/>
        <v>2000</v>
      </c>
      <c r="AA81" s="152">
        <f t="shared" si="70"/>
        <v>22000</v>
      </c>
      <c r="AB81" s="152">
        <f t="shared" si="70"/>
        <v>127700</v>
      </c>
      <c r="AC81" s="152">
        <f t="shared" si="70"/>
        <v>33400</v>
      </c>
      <c r="AD81" s="152">
        <f t="shared" si="70"/>
        <v>49000</v>
      </c>
      <c r="AE81" s="152">
        <f t="shared" si="70"/>
        <v>0</v>
      </c>
      <c r="AF81" s="152">
        <f t="shared" si="70"/>
        <v>0</v>
      </c>
      <c r="AG81" s="152">
        <f t="shared" si="70"/>
        <v>57945</v>
      </c>
      <c r="AH81" s="152">
        <f t="shared" si="70"/>
        <v>45000</v>
      </c>
      <c r="AI81" s="152">
        <f t="shared" si="70"/>
        <v>84500</v>
      </c>
      <c r="AJ81" s="152">
        <f t="shared" si="70"/>
        <v>19313</v>
      </c>
      <c r="AK81" s="152"/>
      <c r="AL81" s="152">
        <f t="shared" si="70"/>
        <v>503000</v>
      </c>
      <c r="AM81" s="154">
        <f t="shared" si="70"/>
        <v>694078</v>
      </c>
      <c r="AN81" s="153"/>
      <c r="AO81" s="154">
        <f>SUM(AO78:AO80)</f>
        <v>202000</v>
      </c>
      <c r="AP81" s="41">
        <f>AO81/R81</f>
        <v>0.4429193207108636</v>
      </c>
      <c r="AQ81" s="40">
        <f>-1+AO81/Q81</f>
        <v>0.010000000000000009</v>
      </c>
      <c r="AR81" s="1"/>
      <c r="AS81" s="155">
        <f t="shared" si="65"/>
        <v>467013</v>
      </c>
      <c r="AT81" s="207">
        <f t="shared" si="66"/>
        <v>1.008989914702756</v>
      </c>
      <c r="AU81" s="156">
        <f>SUM(AU78:AU80)</f>
        <v>49539</v>
      </c>
      <c r="AV81" s="215">
        <f t="shared" si="68"/>
        <v>0.6728537714781336</v>
      </c>
      <c r="AW81" s="216">
        <f>SUM(AW78:AW80)</f>
        <v>227065</v>
      </c>
      <c r="AX81" s="210">
        <f>SUM(AX78:AX80)</f>
        <v>11587</v>
      </c>
      <c r="AY81" s="88"/>
      <c r="AZ81" s="158"/>
      <c r="BA81" s="158"/>
      <c r="BB81" s="88"/>
      <c r="BC81" s="160">
        <f>SUM(BC78:BC80)</f>
        <v>27305</v>
      </c>
      <c r="BD81" s="160">
        <f>SUM(BD78:BD80)</f>
        <v>64662.70000000001</v>
      </c>
      <c r="BE81" s="161">
        <f>SUM(BE78:BE80)</f>
        <v>0</v>
      </c>
      <c r="BF81" s="160"/>
      <c r="BG81" s="161">
        <f>SUM(BG78:BG80)</f>
        <v>0</v>
      </c>
      <c r="BH81" s="161">
        <f>SUM(BH78:BH80)</f>
        <v>0</v>
      </c>
      <c r="BI81" s="57">
        <f>SUM(BI78:BI80)</f>
        <v>0</v>
      </c>
      <c r="BJ81" s="162"/>
      <c r="BK81" s="162"/>
      <c r="BL81" s="97">
        <f t="shared" si="47"/>
        <v>0.9594070466555373</v>
      </c>
      <c r="BM81" s="98"/>
      <c r="BN81" s="82"/>
      <c r="BO81" s="82"/>
      <c r="BP81" s="82"/>
      <c r="BQ81" s="161">
        <f>SUM(BQ78:BQ80)</f>
        <v>27305</v>
      </c>
      <c r="BR81" s="101"/>
      <c r="BS81" s="161">
        <f t="shared" si="50"/>
        <v>239007</v>
      </c>
      <c r="BT81" s="161">
        <f t="shared" si="51"/>
        <v>229305</v>
      </c>
      <c r="BU81" s="163">
        <f t="shared" si="53"/>
        <v>-0.04059295334446267</v>
      </c>
      <c r="BV81" s="67"/>
    </row>
    <row r="82" spans="1:74" ht="7.5" customHeight="1" thickBot="1">
      <c r="A82" s="149"/>
      <c r="B82" s="150"/>
      <c r="C82" s="150"/>
      <c r="D82" s="150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97"/>
      <c r="AQ82" s="97"/>
      <c r="AR82" s="97"/>
      <c r="AS82" s="164"/>
      <c r="AT82" s="82"/>
      <c r="AU82" s="165"/>
      <c r="AV82" s="215"/>
      <c r="AW82" s="164"/>
      <c r="AX82" s="165"/>
      <c r="AY82" s="88"/>
      <c r="AZ82" s="158"/>
      <c r="BA82" s="158"/>
      <c r="BB82" s="88"/>
      <c r="BC82" s="169"/>
      <c r="BD82" s="170"/>
      <c r="BE82" s="171"/>
      <c r="BF82" s="172"/>
      <c r="BG82" s="171"/>
      <c r="BH82" s="171"/>
      <c r="BI82" s="173"/>
      <c r="BJ82" s="162"/>
      <c r="BK82" s="162"/>
      <c r="BL82" s="97" t="e">
        <f t="shared" si="47"/>
        <v>#DIV/0!</v>
      </c>
      <c r="BM82" s="98"/>
      <c r="BN82" s="82"/>
      <c r="BO82" s="82"/>
      <c r="BP82" s="82"/>
      <c r="BQ82" s="171"/>
      <c r="BR82" s="101"/>
      <c r="BS82" s="171"/>
      <c r="BT82" s="171"/>
      <c r="BU82" s="174"/>
      <c r="BV82" s="67"/>
    </row>
    <row r="83" spans="1:74" ht="57">
      <c r="A83" s="72">
        <v>15060233</v>
      </c>
      <c r="B83" s="73" t="s">
        <v>46</v>
      </c>
      <c r="C83" s="73" t="s">
        <v>47</v>
      </c>
      <c r="D83" s="73" t="s">
        <v>139</v>
      </c>
      <c r="E83" s="73" t="s">
        <v>140</v>
      </c>
      <c r="F83" s="74">
        <v>8307350</v>
      </c>
      <c r="G83" s="74">
        <v>0</v>
      </c>
      <c r="H83" s="74">
        <v>85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4.1</v>
      </c>
      <c r="O83" s="74">
        <v>3.3</v>
      </c>
      <c r="P83" s="175" t="s">
        <v>282</v>
      </c>
      <c r="Q83" s="76">
        <v>815000</v>
      </c>
      <c r="R83" s="76">
        <v>1460000</v>
      </c>
      <c r="S83" s="76">
        <v>0</v>
      </c>
      <c r="T83" s="76">
        <v>0</v>
      </c>
      <c r="U83" s="76">
        <v>0</v>
      </c>
      <c r="V83" s="76">
        <v>0</v>
      </c>
      <c r="W83" s="76">
        <v>243386</v>
      </c>
      <c r="X83" s="76">
        <v>250445</v>
      </c>
      <c r="Y83" s="76">
        <v>98000</v>
      </c>
      <c r="Z83" s="76">
        <v>120000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76">
        <v>0</v>
      </c>
      <c r="AI83" s="76">
        <v>10000</v>
      </c>
      <c r="AJ83" s="76">
        <v>65000</v>
      </c>
      <c r="AK83" s="76">
        <v>1166386</v>
      </c>
      <c r="AL83" s="76">
        <v>1251940</v>
      </c>
      <c r="AM83" s="77">
        <v>1895445</v>
      </c>
      <c r="AN83" s="78"/>
      <c r="AO83" s="342">
        <v>1322000</v>
      </c>
      <c r="AP83" s="222">
        <f t="shared" si="63"/>
        <v>0.9054794520547945</v>
      </c>
      <c r="AQ83" s="81">
        <f aca="true" t="shared" si="71" ref="AQ83:AQ88">-1+AO83/Q83</f>
        <v>0.6220858895705521</v>
      </c>
      <c r="AR83" s="82"/>
      <c r="AS83" s="176">
        <f t="shared" si="65"/>
        <v>1507000</v>
      </c>
      <c r="AT83" s="177">
        <f t="shared" si="66"/>
        <v>1.2920251100407585</v>
      </c>
      <c r="AU83" s="85">
        <f t="shared" si="67"/>
        <v>0</v>
      </c>
      <c r="AV83" s="86">
        <f t="shared" si="68"/>
        <v>0.795063955957572</v>
      </c>
      <c r="AW83" s="178">
        <f t="shared" si="69"/>
        <v>388445</v>
      </c>
      <c r="AX83" s="85">
        <f>IF(W83&gt;AU83,0,AU83-W83)</f>
        <v>0</v>
      </c>
      <c r="AY83" s="88"/>
      <c r="AZ83" s="89">
        <f aca="true" t="shared" si="72" ref="AZ83:BA87">$AO83/N83</f>
        <v>322439.0243902439</v>
      </c>
      <c r="BA83" s="90">
        <f t="shared" si="72"/>
        <v>400606.0606060606</v>
      </c>
      <c r="BB83" s="88"/>
      <c r="BC83" s="179">
        <v>0</v>
      </c>
      <c r="BD83" s="91"/>
      <c r="BE83" s="92">
        <f t="shared" si="59"/>
        <v>0</v>
      </c>
      <c r="BF83" s="93">
        <f t="shared" si="61"/>
        <v>1.2490716997390365</v>
      </c>
      <c r="BG83" s="92"/>
      <c r="BH83" s="92">
        <v>0</v>
      </c>
      <c r="BI83" s="94">
        <v>0</v>
      </c>
      <c r="BJ83" s="227" t="s">
        <v>170</v>
      </c>
      <c r="BK83" s="182" t="s">
        <v>51</v>
      </c>
      <c r="BL83" s="97">
        <f t="shared" si="47"/>
        <v>1.2490716997390365</v>
      </c>
      <c r="BM83" s="98"/>
      <c r="BN83" s="99">
        <f>($BI83+$BC83+$AO83+$AJ83+$AH83+$AF83+$AD83+$AB83+$Z83+$V83+$T83)/$AL83</f>
        <v>1.2037318082336215</v>
      </c>
      <c r="BO83" s="99">
        <f t="shared" si="48"/>
        <v>0.795063955957572</v>
      </c>
      <c r="BP83" s="82"/>
      <c r="BQ83" s="100">
        <f t="shared" si="49"/>
        <v>0</v>
      </c>
      <c r="BR83" s="101"/>
      <c r="BS83" s="92">
        <f t="shared" si="50"/>
        <v>1058386</v>
      </c>
      <c r="BT83" s="92">
        <f t="shared" si="51"/>
        <v>1322000</v>
      </c>
      <c r="BU83" s="102">
        <f t="shared" si="53"/>
        <v>0.24907169973903653</v>
      </c>
      <c r="BV83" s="64" t="s">
        <v>344</v>
      </c>
    </row>
    <row r="84" spans="1:74" ht="66" customHeight="1">
      <c r="A84" s="103">
        <v>44990260</v>
      </c>
      <c r="B84" s="104" t="s">
        <v>76</v>
      </c>
      <c r="C84" s="104" t="s">
        <v>47</v>
      </c>
      <c r="D84" s="104" t="s">
        <v>139</v>
      </c>
      <c r="E84" s="104" t="s">
        <v>141</v>
      </c>
      <c r="F84" s="105">
        <v>9920262</v>
      </c>
      <c r="G84" s="105">
        <v>0</v>
      </c>
      <c r="H84" s="105">
        <v>27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1.6</v>
      </c>
      <c r="O84" s="105">
        <v>1.2</v>
      </c>
      <c r="P84" s="288" t="s">
        <v>289</v>
      </c>
      <c r="Q84" s="108">
        <v>381000</v>
      </c>
      <c r="R84" s="108">
        <v>545000</v>
      </c>
      <c r="S84" s="108">
        <v>0</v>
      </c>
      <c r="T84" s="108">
        <v>0</v>
      </c>
      <c r="U84" s="191"/>
      <c r="V84" s="108">
        <v>0</v>
      </c>
      <c r="W84" s="108">
        <v>153582</v>
      </c>
      <c r="X84" s="108">
        <v>160000</v>
      </c>
      <c r="Y84" s="108">
        <v>92000</v>
      </c>
      <c r="Z84" s="108">
        <v>78000</v>
      </c>
      <c r="AA84" s="108">
        <v>0</v>
      </c>
      <c r="AB84" s="108">
        <v>0</v>
      </c>
      <c r="AC84" s="108">
        <v>6500</v>
      </c>
      <c r="AD84" s="108">
        <v>3000</v>
      </c>
      <c r="AE84" s="108">
        <v>0</v>
      </c>
      <c r="AF84" s="108">
        <v>0</v>
      </c>
      <c r="AG84" s="108">
        <v>0</v>
      </c>
      <c r="AH84" s="108">
        <v>0</v>
      </c>
      <c r="AI84" s="108">
        <v>40710</v>
      </c>
      <c r="AJ84" s="108">
        <v>4300</v>
      </c>
      <c r="AK84" s="108">
        <v>673792</v>
      </c>
      <c r="AL84" s="108">
        <v>673805</v>
      </c>
      <c r="AM84" s="109">
        <v>790300</v>
      </c>
      <c r="AN84" s="78"/>
      <c r="AO84" s="348">
        <v>462000</v>
      </c>
      <c r="AP84" s="192">
        <f t="shared" si="63"/>
        <v>0.8477064220183487</v>
      </c>
      <c r="AQ84" s="112">
        <f t="shared" si="71"/>
        <v>0.21259842519685046</v>
      </c>
      <c r="AR84" s="82"/>
      <c r="AS84" s="113">
        <f t="shared" si="65"/>
        <v>547300</v>
      </c>
      <c r="AT84" s="114">
        <f t="shared" si="66"/>
        <v>0.8122684745440729</v>
      </c>
      <c r="AU84" s="115">
        <f t="shared" si="67"/>
        <v>126492</v>
      </c>
      <c r="AV84" s="86">
        <f t="shared" si="68"/>
        <v>0.6925218271542453</v>
      </c>
      <c r="AW84" s="185">
        <f t="shared" si="69"/>
        <v>243000</v>
      </c>
      <c r="AX84" s="186">
        <f>IF(W84&gt;AU84,0,AU84-W84)</f>
        <v>0</v>
      </c>
      <c r="AY84" s="88"/>
      <c r="AZ84" s="117">
        <f t="shared" si="72"/>
        <v>288750</v>
      </c>
      <c r="BA84" s="118">
        <f t="shared" si="72"/>
        <v>385000</v>
      </c>
      <c r="BB84" s="88"/>
      <c r="BC84" s="187">
        <v>55100</v>
      </c>
      <c r="BD84" s="91">
        <f>(Q84+W84)*1.1-AO84-BC84</f>
        <v>70940.20000000007</v>
      </c>
      <c r="BE84" s="92">
        <f t="shared" si="59"/>
        <v>70940.20000000007</v>
      </c>
      <c r="BF84" s="93">
        <f t="shared" si="61"/>
        <v>1.1</v>
      </c>
      <c r="BG84" s="92"/>
      <c r="BH84" s="92">
        <v>70940</v>
      </c>
      <c r="BI84" s="94">
        <v>70940</v>
      </c>
      <c r="BJ84" s="120" t="s">
        <v>170</v>
      </c>
      <c r="BK84" s="121" t="s">
        <v>51</v>
      </c>
      <c r="BL84" s="97">
        <f t="shared" si="47"/>
        <v>1.099999625875918</v>
      </c>
      <c r="BM84" s="98"/>
      <c r="BN84" s="122">
        <f>($BI84+$BC84+$AO84+$AJ84+$AH84+$AF84+$AD84+$AB84+$Z84+$V84+$T84)/$AL84</f>
        <v>0.9993098893596812</v>
      </c>
      <c r="BO84" s="122">
        <f t="shared" si="48"/>
        <v>0.8520055675060104</v>
      </c>
      <c r="BP84" s="82"/>
      <c r="BQ84" s="123">
        <f t="shared" si="49"/>
        <v>126040</v>
      </c>
      <c r="BR84" s="101"/>
      <c r="BS84" s="92">
        <f t="shared" si="50"/>
        <v>534582</v>
      </c>
      <c r="BT84" s="92">
        <f t="shared" si="51"/>
        <v>588040</v>
      </c>
      <c r="BU84" s="124">
        <f t="shared" si="53"/>
        <v>0.09999962587591793</v>
      </c>
      <c r="BV84" s="65" t="s">
        <v>345</v>
      </c>
    </row>
    <row r="85" spans="1:74" ht="57">
      <c r="A85" s="103">
        <v>45659028</v>
      </c>
      <c r="B85" s="104" t="s">
        <v>110</v>
      </c>
      <c r="C85" s="104" t="s">
        <v>47</v>
      </c>
      <c r="D85" s="104" t="s">
        <v>139</v>
      </c>
      <c r="E85" s="104" t="s">
        <v>142</v>
      </c>
      <c r="F85" s="105">
        <v>8414368</v>
      </c>
      <c r="G85" s="106"/>
      <c r="H85" s="105">
        <v>68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1.5</v>
      </c>
      <c r="O85" s="105">
        <v>1.2</v>
      </c>
      <c r="P85" s="184" t="s">
        <v>286</v>
      </c>
      <c r="Q85" s="108">
        <v>237000</v>
      </c>
      <c r="R85" s="108">
        <v>510000</v>
      </c>
      <c r="S85" s="108">
        <v>0</v>
      </c>
      <c r="T85" s="108">
        <v>0</v>
      </c>
      <c r="U85" s="108">
        <v>0</v>
      </c>
      <c r="V85" s="108">
        <v>0</v>
      </c>
      <c r="W85" s="108">
        <v>48321</v>
      </c>
      <c r="X85" s="108">
        <v>35096</v>
      </c>
      <c r="Y85" s="108">
        <v>3000</v>
      </c>
      <c r="Z85" s="108">
        <v>5000</v>
      </c>
      <c r="AA85" s="108">
        <v>0</v>
      </c>
      <c r="AB85" s="108">
        <v>0</v>
      </c>
      <c r="AC85" s="108">
        <v>8050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95520</v>
      </c>
      <c r="AJ85" s="108">
        <v>10000</v>
      </c>
      <c r="AK85" s="108">
        <v>391891</v>
      </c>
      <c r="AL85" s="108">
        <v>391891</v>
      </c>
      <c r="AM85" s="109">
        <v>560096</v>
      </c>
      <c r="AN85" s="78"/>
      <c r="AO85" s="348">
        <v>510000</v>
      </c>
      <c r="AP85" s="192">
        <f t="shared" si="63"/>
        <v>1</v>
      </c>
      <c r="AQ85" s="112">
        <f t="shared" si="71"/>
        <v>1.1518987341772151</v>
      </c>
      <c r="AR85" s="82"/>
      <c r="AS85" s="113">
        <f t="shared" si="65"/>
        <v>525000</v>
      </c>
      <c r="AT85" s="114">
        <f t="shared" si="66"/>
        <v>1.3396582212911243</v>
      </c>
      <c r="AU85" s="115">
        <f t="shared" si="67"/>
        <v>0</v>
      </c>
      <c r="AV85" s="86">
        <f t="shared" si="68"/>
        <v>0.937339313260584</v>
      </c>
      <c r="AW85" s="185">
        <f t="shared" si="69"/>
        <v>35096</v>
      </c>
      <c r="AX85" s="186">
        <f>IF(W85&gt;AU85,0,AU85-W85)</f>
        <v>0</v>
      </c>
      <c r="AY85" s="88"/>
      <c r="AZ85" s="117">
        <f t="shared" si="72"/>
        <v>340000</v>
      </c>
      <c r="BA85" s="118">
        <f t="shared" si="72"/>
        <v>425000</v>
      </c>
      <c r="BB85" s="88"/>
      <c r="BC85" s="187">
        <v>0</v>
      </c>
      <c r="BD85" s="91"/>
      <c r="BE85" s="92">
        <f t="shared" si="59"/>
        <v>0</v>
      </c>
      <c r="BF85" s="93">
        <f t="shared" si="61"/>
        <v>1.7874604392946891</v>
      </c>
      <c r="BG85" s="92"/>
      <c r="BH85" s="92">
        <v>0</v>
      </c>
      <c r="BI85" s="94">
        <v>0</v>
      </c>
      <c r="BJ85" s="120" t="s">
        <v>170</v>
      </c>
      <c r="BK85" s="121" t="s">
        <v>56</v>
      </c>
      <c r="BL85" s="97">
        <f t="shared" si="47"/>
        <v>1.7874604392946891</v>
      </c>
      <c r="BM85" s="98"/>
      <c r="BN85" s="122">
        <f>($BI85+$BC85+$AO85+$AJ85+$AH85+$AF85+$AD85+$AB85+$Z85+$V85+$T85)/$AL85</f>
        <v>1.3396582212911243</v>
      </c>
      <c r="BO85" s="122">
        <f t="shared" si="48"/>
        <v>0.937339313260584</v>
      </c>
      <c r="BP85" s="82"/>
      <c r="BQ85" s="123">
        <f t="shared" si="49"/>
        <v>0</v>
      </c>
      <c r="BR85" s="101"/>
      <c r="BS85" s="92">
        <f t="shared" si="50"/>
        <v>285321</v>
      </c>
      <c r="BT85" s="92">
        <f t="shared" si="51"/>
        <v>510000</v>
      </c>
      <c r="BU85" s="124">
        <f t="shared" si="53"/>
        <v>0.7874604392946891</v>
      </c>
      <c r="BV85" s="65" t="s">
        <v>344</v>
      </c>
    </row>
    <row r="86" spans="1:74" ht="57">
      <c r="A86" s="103">
        <v>75094924</v>
      </c>
      <c r="B86" s="104" t="s">
        <v>143</v>
      </c>
      <c r="C86" s="104" t="s">
        <v>47</v>
      </c>
      <c r="D86" s="104" t="s">
        <v>139</v>
      </c>
      <c r="E86" s="104" t="s">
        <v>144</v>
      </c>
      <c r="F86" s="105">
        <v>4123958</v>
      </c>
      <c r="G86" s="106"/>
      <c r="H86" s="105">
        <v>110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6.9</v>
      </c>
      <c r="O86" s="105">
        <v>5</v>
      </c>
      <c r="P86" s="184" t="s">
        <v>295</v>
      </c>
      <c r="Q86" s="108">
        <v>324400</v>
      </c>
      <c r="R86" s="108">
        <v>447177</v>
      </c>
      <c r="S86" s="108">
        <v>0</v>
      </c>
      <c r="T86" s="108">
        <v>0</v>
      </c>
      <c r="U86" s="108">
        <v>0</v>
      </c>
      <c r="V86" s="108">
        <v>0</v>
      </c>
      <c r="W86" s="108">
        <v>57375</v>
      </c>
      <c r="X86" s="108">
        <v>33000</v>
      </c>
      <c r="Y86" s="108">
        <v>28100</v>
      </c>
      <c r="Z86" s="108">
        <v>18000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08">
        <v>0</v>
      </c>
      <c r="AG86" s="108">
        <v>0</v>
      </c>
      <c r="AH86" s="108">
        <v>0</v>
      </c>
      <c r="AI86" s="108">
        <v>121357</v>
      </c>
      <c r="AJ86" s="108">
        <v>98059</v>
      </c>
      <c r="AK86" s="108"/>
      <c r="AL86" s="108">
        <v>531232</v>
      </c>
      <c r="AM86" s="109">
        <v>596236</v>
      </c>
      <c r="AN86" s="78"/>
      <c r="AO86" s="348">
        <v>447000</v>
      </c>
      <c r="AP86" s="192">
        <f t="shared" si="63"/>
        <v>0.9996041835783146</v>
      </c>
      <c r="AQ86" s="112">
        <f t="shared" si="71"/>
        <v>0.37792848335388407</v>
      </c>
      <c r="AR86" s="82"/>
      <c r="AS86" s="113">
        <f t="shared" si="65"/>
        <v>563059</v>
      </c>
      <c r="AT86" s="114">
        <f t="shared" si="66"/>
        <v>1.0599116770074093</v>
      </c>
      <c r="AU86" s="115">
        <f t="shared" si="67"/>
        <v>0</v>
      </c>
      <c r="AV86" s="86">
        <f t="shared" si="68"/>
        <v>0.944355926176883</v>
      </c>
      <c r="AW86" s="185">
        <f t="shared" si="69"/>
        <v>33177</v>
      </c>
      <c r="AX86" s="186">
        <f>IF(W86&gt;AU86,0,AU86-W86)</f>
        <v>0</v>
      </c>
      <c r="AY86" s="88"/>
      <c r="AZ86" s="117">
        <f t="shared" si="72"/>
        <v>64782.60869565217</v>
      </c>
      <c r="BA86" s="118">
        <f t="shared" si="72"/>
        <v>89400</v>
      </c>
      <c r="BB86" s="88"/>
      <c r="BC86" s="187">
        <v>0</v>
      </c>
      <c r="BD86" s="91"/>
      <c r="BE86" s="92">
        <f t="shared" si="59"/>
        <v>0</v>
      </c>
      <c r="BF86" s="93">
        <f t="shared" si="61"/>
        <v>1.1708467029009233</v>
      </c>
      <c r="BG86" s="92"/>
      <c r="BH86" s="92">
        <v>0</v>
      </c>
      <c r="BI86" s="94">
        <v>0</v>
      </c>
      <c r="BJ86" s="120" t="s">
        <v>170</v>
      </c>
      <c r="BK86" s="121" t="s">
        <v>56</v>
      </c>
      <c r="BL86" s="97">
        <f t="shared" si="47"/>
        <v>1.1708467029009233</v>
      </c>
      <c r="BM86" s="98"/>
      <c r="BN86" s="122">
        <f>($BI86+$BC86+$AO86+$AJ86+$AH86+$AF86+$AD86+$AB86+$Z86+$V86+$T86)/$AL86</f>
        <v>1.0599116770074093</v>
      </c>
      <c r="BO86" s="122">
        <f t="shared" si="48"/>
        <v>0.944355926176883</v>
      </c>
      <c r="BP86" s="82"/>
      <c r="BQ86" s="123">
        <f t="shared" si="49"/>
        <v>0</v>
      </c>
      <c r="BR86" s="101"/>
      <c r="BS86" s="92">
        <f t="shared" si="50"/>
        <v>381775</v>
      </c>
      <c r="BT86" s="92">
        <f t="shared" si="51"/>
        <v>447000</v>
      </c>
      <c r="BU86" s="124">
        <f t="shared" si="53"/>
        <v>0.1708467029009233</v>
      </c>
      <c r="BV86" s="65" t="s">
        <v>344</v>
      </c>
    </row>
    <row r="87" spans="1:74" ht="57.75" thickBot="1">
      <c r="A87" s="125">
        <v>75094975</v>
      </c>
      <c r="B87" s="126" t="s">
        <v>145</v>
      </c>
      <c r="C87" s="126" t="s">
        <v>47</v>
      </c>
      <c r="D87" s="126" t="s">
        <v>139</v>
      </c>
      <c r="E87" s="126" t="s">
        <v>146</v>
      </c>
      <c r="F87" s="127">
        <v>5585320</v>
      </c>
      <c r="G87" s="281"/>
      <c r="H87" s="127">
        <v>10</v>
      </c>
      <c r="I87" s="127">
        <v>0</v>
      </c>
      <c r="J87" s="127">
        <v>0</v>
      </c>
      <c r="K87" s="127">
        <v>0</v>
      </c>
      <c r="L87" s="127">
        <v>0</v>
      </c>
      <c r="M87" s="127">
        <v>0</v>
      </c>
      <c r="N87" s="127">
        <v>0.7</v>
      </c>
      <c r="O87" s="127">
        <v>0.4</v>
      </c>
      <c r="P87" s="242" t="s">
        <v>296</v>
      </c>
      <c r="Q87" s="129">
        <v>207963</v>
      </c>
      <c r="R87" s="129">
        <v>275155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12000</v>
      </c>
      <c r="Z87" s="129">
        <v>10000</v>
      </c>
      <c r="AA87" s="129">
        <v>0</v>
      </c>
      <c r="AB87" s="129">
        <v>0</v>
      </c>
      <c r="AC87" s="129">
        <v>0</v>
      </c>
      <c r="AD87" s="129">
        <v>0</v>
      </c>
      <c r="AE87" s="129">
        <v>0</v>
      </c>
      <c r="AF87" s="129">
        <v>0</v>
      </c>
      <c r="AG87" s="129">
        <v>0</v>
      </c>
      <c r="AH87" s="129">
        <v>0</v>
      </c>
      <c r="AI87" s="129">
        <v>28900</v>
      </c>
      <c r="AJ87" s="129">
        <v>22860</v>
      </c>
      <c r="AK87" s="129"/>
      <c r="AL87" s="129">
        <v>248863</v>
      </c>
      <c r="AM87" s="130">
        <v>308015</v>
      </c>
      <c r="AN87" s="78"/>
      <c r="AO87" s="349">
        <v>208000</v>
      </c>
      <c r="AP87" s="135">
        <f t="shared" si="63"/>
        <v>0.7559375624647926</v>
      </c>
      <c r="AQ87" s="131">
        <f t="shared" si="71"/>
        <v>0.00017791626395080584</v>
      </c>
      <c r="AR87" s="82"/>
      <c r="AS87" s="132">
        <f t="shared" si="65"/>
        <v>240860</v>
      </c>
      <c r="AT87" s="133">
        <f t="shared" si="66"/>
        <v>0.9678417442528621</v>
      </c>
      <c r="AU87" s="134">
        <f t="shared" si="67"/>
        <v>8003</v>
      </c>
      <c r="AV87" s="135">
        <f t="shared" si="68"/>
        <v>0.7819749038196192</v>
      </c>
      <c r="AW87" s="248">
        <f t="shared" si="69"/>
        <v>67155</v>
      </c>
      <c r="AX87" s="249">
        <f>IF(W87&gt;AU87,0,AU87-W87)</f>
        <v>8003</v>
      </c>
      <c r="AY87" s="88"/>
      <c r="AZ87" s="137">
        <f t="shared" si="72"/>
        <v>297142.85714285716</v>
      </c>
      <c r="BA87" s="138">
        <f t="shared" si="72"/>
        <v>520000</v>
      </c>
      <c r="BB87" s="88"/>
      <c r="BC87" s="287">
        <v>0</v>
      </c>
      <c r="BD87" s="140">
        <f>(Q87+W87)*1.1-AO87-BC87</f>
        <v>20759.300000000017</v>
      </c>
      <c r="BE87" s="141">
        <f t="shared" si="59"/>
        <v>0</v>
      </c>
      <c r="BF87" s="142">
        <f t="shared" si="61"/>
        <v>1.0001779162639508</v>
      </c>
      <c r="BG87" s="141"/>
      <c r="BH87" s="141">
        <v>0</v>
      </c>
      <c r="BI87" s="143">
        <v>0</v>
      </c>
      <c r="BJ87" s="144" t="s">
        <v>170</v>
      </c>
      <c r="BK87" s="145" t="s">
        <v>56</v>
      </c>
      <c r="BL87" s="97">
        <f t="shared" si="47"/>
        <v>1.0001779162639508</v>
      </c>
      <c r="BM87" s="98"/>
      <c r="BN87" s="146">
        <f>($BI87+$BC87+$AO87+$AJ87+$AH87+$AF87+$AD87+$AB87+$Z87+$V87+$T87)/$AL87</f>
        <v>0.9678417442528621</v>
      </c>
      <c r="BO87" s="146">
        <f t="shared" si="48"/>
        <v>0.7819749038196192</v>
      </c>
      <c r="BP87" s="82"/>
      <c r="BQ87" s="147">
        <f t="shared" si="49"/>
        <v>0</v>
      </c>
      <c r="BR87" s="101"/>
      <c r="BS87" s="141">
        <f t="shared" si="50"/>
        <v>207963</v>
      </c>
      <c r="BT87" s="141">
        <f t="shared" si="51"/>
        <v>208000</v>
      </c>
      <c r="BU87" s="235">
        <f t="shared" si="53"/>
        <v>0.00017791626395080584</v>
      </c>
      <c r="BV87" s="66" t="s">
        <v>346</v>
      </c>
    </row>
    <row r="88" spans="1:74" ht="15" thickBot="1">
      <c r="A88" s="167" t="s">
        <v>61</v>
      </c>
      <c r="B88" s="71"/>
      <c r="C88" s="71"/>
      <c r="D88" s="71"/>
      <c r="E88" s="7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4">
        <f>SUM(Q83:Q87)</f>
        <v>1965363</v>
      </c>
      <c r="R88" s="152">
        <f aca="true" t="shared" si="73" ref="R88:AM88">SUM(R83:R87)</f>
        <v>3237332</v>
      </c>
      <c r="S88" s="152">
        <f t="shared" si="73"/>
        <v>0</v>
      </c>
      <c r="T88" s="152">
        <f t="shared" si="73"/>
        <v>0</v>
      </c>
      <c r="U88" s="152">
        <f t="shared" si="73"/>
        <v>0</v>
      </c>
      <c r="V88" s="152">
        <f t="shared" si="73"/>
        <v>0</v>
      </c>
      <c r="W88" s="152">
        <f t="shared" si="73"/>
        <v>502664</v>
      </c>
      <c r="X88" s="152">
        <f t="shared" si="73"/>
        <v>478541</v>
      </c>
      <c r="Y88" s="152">
        <f t="shared" si="73"/>
        <v>233100</v>
      </c>
      <c r="Z88" s="152">
        <f t="shared" si="73"/>
        <v>231000</v>
      </c>
      <c r="AA88" s="152">
        <f t="shared" si="73"/>
        <v>0</v>
      </c>
      <c r="AB88" s="152">
        <f t="shared" si="73"/>
        <v>0</v>
      </c>
      <c r="AC88" s="152">
        <f t="shared" si="73"/>
        <v>14550</v>
      </c>
      <c r="AD88" s="152">
        <f t="shared" si="73"/>
        <v>3000</v>
      </c>
      <c r="AE88" s="152">
        <f t="shared" si="73"/>
        <v>0</v>
      </c>
      <c r="AF88" s="152">
        <f t="shared" si="73"/>
        <v>0</v>
      </c>
      <c r="AG88" s="152">
        <f t="shared" si="73"/>
        <v>0</v>
      </c>
      <c r="AH88" s="152">
        <f t="shared" si="73"/>
        <v>0</v>
      </c>
      <c r="AI88" s="152">
        <f t="shared" si="73"/>
        <v>296487</v>
      </c>
      <c r="AJ88" s="152">
        <f t="shared" si="73"/>
        <v>200219</v>
      </c>
      <c r="AK88" s="152"/>
      <c r="AL88" s="152">
        <f t="shared" si="73"/>
        <v>3097731</v>
      </c>
      <c r="AM88" s="154">
        <f t="shared" si="73"/>
        <v>4150092</v>
      </c>
      <c r="AN88" s="153"/>
      <c r="AO88" s="154">
        <f>SUM(AO83:AO87)</f>
        <v>2949000</v>
      </c>
      <c r="AP88" s="41">
        <f t="shared" si="63"/>
        <v>0.9109353010441932</v>
      </c>
      <c r="AQ88" s="40">
        <f t="shared" si="71"/>
        <v>0.5004861697304772</v>
      </c>
      <c r="AR88" s="1"/>
      <c r="AS88" s="155">
        <f t="shared" si="65"/>
        <v>3383219</v>
      </c>
      <c r="AT88" s="207">
        <f t="shared" si="66"/>
        <v>1.1231855237629824</v>
      </c>
      <c r="AU88" s="156">
        <f>SUM(AU83:AU87)</f>
        <v>134495</v>
      </c>
      <c r="AV88" s="215">
        <f t="shared" si="68"/>
        <v>0.8152154217304098</v>
      </c>
      <c r="AW88" s="216">
        <f>SUM(AW83:AW87)</f>
        <v>766873</v>
      </c>
      <c r="AX88" s="210">
        <f>SUM(AX83:AX87)</f>
        <v>8003</v>
      </c>
      <c r="AY88" s="88"/>
      <c r="AZ88" s="158"/>
      <c r="BA88" s="158"/>
      <c r="BB88" s="88"/>
      <c r="BC88" s="160">
        <f aca="true" t="shared" si="74" ref="BC88:BI88">SUM(BC83:BC87)</f>
        <v>55100</v>
      </c>
      <c r="BD88" s="160">
        <f t="shared" si="74"/>
        <v>91699.50000000009</v>
      </c>
      <c r="BE88" s="161">
        <f t="shared" si="74"/>
        <v>70940.20000000007</v>
      </c>
      <c r="BF88" s="160">
        <f t="shared" si="74"/>
        <v>6.3075567581986</v>
      </c>
      <c r="BG88" s="161">
        <f t="shared" si="74"/>
        <v>0</v>
      </c>
      <c r="BH88" s="161">
        <f t="shared" si="74"/>
        <v>70940</v>
      </c>
      <c r="BI88" s="57">
        <f t="shared" si="74"/>
        <v>70940</v>
      </c>
      <c r="BJ88" s="162"/>
      <c r="BK88" s="162"/>
      <c r="BL88" s="97">
        <f t="shared" si="47"/>
        <v>1.245950712856869</v>
      </c>
      <c r="BM88" s="98"/>
      <c r="BN88" s="82"/>
      <c r="BO88" s="82"/>
      <c r="BP88" s="82"/>
      <c r="BQ88" s="161">
        <f>SUM(BQ83:BQ87)</f>
        <v>126040</v>
      </c>
      <c r="BR88" s="101"/>
      <c r="BS88" s="161">
        <f t="shared" si="50"/>
        <v>2468027</v>
      </c>
      <c r="BT88" s="161">
        <f t="shared" si="51"/>
        <v>3075040</v>
      </c>
      <c r="BU88" s="163">
        <f t="shared" si="53"/>
        <v>0.24595071285686898</v>
      </c>
      <c r="BV88" s="67"/>
    </row>
    <row r="89" spans="1:74" ht="7.5" customHeight="1" thickBot="1">
      <c r="A89" s="149"/>
      <c r="B89" s="150"/>
      <c r="C89" s="150"/>
      <c r="D89" s="150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97"/>
      <c r="AQ89" s="97"/>
      <c r="AR89" s="97"/>
      <c r="AS89" s="164"/>
      <c r="AT89" s="82"/>
      <c r="AU89" s="165"/>
      <c r="AV89" s="215"/>
      <c r="AW89" s="164"/>
      <c r="AX89" s="165"/>
      <c r="AY89" s="88"/>
      <c r="AZ89" s="158"/>
      <c r="BA89" s="158"/>
      <c r="BB89" s="88"/>
      <c r="BC89" s="169"/>
      <c r="BD89" s="282"/>
      <c r="BE89" s="283"/>
      <c r="BF89" s="284"/>
      <c r="BG89" s="283"/>
      <c r="BH89" s="101"/>
      <c r="BI89" s="220"/>
      <c r="BJ89" s="241"/>
      <c r="BK89" s="162"/>
      <c r="BL89" s="97" t="e">
        <f t="shared" si="47"/>
        <v>#DIV/0!</v>
      </c>
      <c r="BM89" s="98"/>
      <c r="BN89" s="82"/>
      <c r="BO89" s="82"/>
      <c r="BP89" s="82"/>
      <c r="BQ89" s="101"/>
      <c r="BR89" s="101"/>
      <c r="BS89" s="101"/>
      <c r="BT89" s="101"/>
      <c r="BU89" s="221"/>
      <c r="BV89" s="67"/>
    </row>
    <row r="90" spans="1:74" ht="39.75" customHeight="1">
      <c r="A90" s="72">
        <v>15060306</v>
      </c>
      <c r="B90" s="73" t="s">
        <v>68</v>
      </c>
      <c r="C90" s="73" t="s">
        <v>47</v>
      </c>
      <c r="D90" s="73" t="s">
        <v>147</v>
      </c>
      <c r="E90" s="73" t="s">
        <v>148</v>
      </c>
      <c r="F90" s="74">
        <v>1704527</v>
      </c>
      <c r="G90" s="246"/>
      <c r="H90" s="74">
        <v>21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1.4</v>
      </c>
      <c r="O90" s="74">
        <v>1.1</v>
      </c>
      <c r="P90" s="175" t="s">
        <v>297</v>
      </c>
      <c r="Q90" s="76">
        <v>624000</v>
      </c>
      <c r="R90" s="76">
        <v>667000</v>
      </c>
      <c r="S90" s="76">
        <v>0</v>
      </c>
      <c r="T90" s="76">
        <v>0</v>
      </c>
      <c r="U90" s="76">
        <v>0</v>
      </c>
      <c r="V90" s="76">
        <v>0</v>
      </c>
      <c r="W90" s="76">
        <v>163160</v>
      </c>
      <c r="X90" s="76">
        <v>75000</v>
      </c>
      <c r="Y90" s="76">
        <v>26870</v>
      </c>
      <c r="Z90" s="76">
        <v>70000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76">
        <v>0</v>
      </c>
      <c r="AI90" s="76">
        <v>0</v>
      </c>
      <c r="AJ90" s="76">
        <v>10690</v>
      </c>
      <c r="AK90" s="76">
        <v>814030</v>
      </c>
      <c r="AL90" s="76">
        <v>814030</v>
      </c>
      <c r="AM90" s="77">
        <v>822690</v>
      </c>
      <c r="AN90" s="78"/>
      <c r="AO90" s="342">
        <v>624000</v>
      </c>
      <c r="AP90" s="222">
        <f t="shared" si="63"/>
        <v>0.9355322338830585</v>
      </c>
      <c r="AQ90" s="81">
        <f>-1+AO90/Q90</f>
        <v>0</v>
      </c>
      <c r="AR90" s="82"/>
      <c r="AS90" s="176">
        <f t="shared" si="65"/>
        <v>704690</v>
      </c>
      <c r="AT90" s="177">
        <f t="shared" si="66"/>
        <v>0.865680626021154</v>
      </c>
      <c r="AU90" s="85">
        <f t="shared" si="67"/>
        <v>109340</v>
      </c>
      <c r="AV90" s="86">
        <f t="shared" si="68"/>
        <v>0.856568087615019</v>
      </c>
      <c r="AW90" s="178">
        <f t="shared" si="69"/>
        <v>118000</v>
      </c>
      <c r="AX90" s="85">
        <f>IF(W90&gt;AU90,0,AU90-W90)</f>
        <v>0</v>
      </c>
      <c r="AY90" s="88"/>
      <c r="AZ90" s="89">
        <f aca="true" t="shared" si="75" ref="AZ90:BA92">$AO90/N90</f>
        <v>445714.28571428574</v>
      </c>
      <c r="BA90" s="90">
        <f t="shared" si="75"/>
        <v>567272.7272727272</v>
      </c>
      <c r="BB90" s="88"/>
      <c r="BC90" s="224">
        <v>114212</v>
      </c>
      <c r="BD90" s="91">
        <f>(Q90+W90)*1.1-AO90-BC90</f>
        <v>127664.00000000012</v>
      </c>
      <c r="BE90" s="92"/>
      <c r="BF90" s="289">
        <f t="shared" si="61"/>
        <v>0.9378169622440164</v>
      </c>
      <c r="BG90" s="92"/>
      <c r="BH90" s="100">
        <v>0</v>
      </c>
      <c r="BI90" s="180">
        <v>0</v>
      </c>
      <c r="BJ90" s="290" t="s">
        <v>97</v>
      </c>
      <c r="BK90" s="182" t="s">
        <v>56</v>
      </c>
      <c r="BL90" s="97">
        <f t="shared" si="47"/>
        <v>0.9378169622440164</v>
      </c>
      <c r="BM90" s="98"/>
      <c r="BN90" s="99">
        <f>($BI90+$BC90+$AO90+$AJ90+$AH90+$AF90+$AD90+$AB90+$Z90+$V90+$T90)/$AL90</f>
        <v>1.0059850374064838</v>
      </c>
      <c r="BO90" s="99">
        <f t="shared" si="48"/>
        <v>0.9953955925075059</v>
      </c>
      <c r="BP90" s="82"/>
      <c r="BQ90" s="100">
        <f t="shared" si="49"/>
        <v>114212</v>
      </c>
      <c r="BR90" s="101"/>
      <c r="BS90" s="100">
        <f t="shared" si="50"/>
        <v>787160</v>
      </c>
      <c r="BT90" s="100">
        <f t="shared" si="51"/>
        <v>738212</v>
      </c>
      <c r="BU90" s="291">
        <f t="shared" si="53"/>
        <v>-0.06218303775598355</v>
      </c>
      <c r="BV90" s="358" t="s">
        <v>347</v>
      </c>
    </row>
    <row r="91" spans="1:74" ht="36.75" customHeight="1">
      <c r="A91" s="103">
        <v>15060306</v>
      </c>
      <c r="B91" s="104" t="s">
        <v>68</v>
      </c>
      <c r="C91" s="104" t="s">
        <v>47</v>
      </c>
      <c r="D91" s="104" t="s">
        <v>147</v>
      </c>
      <c r="E91" s="104" t="s">
        <v>149</v>
      </c>
      <c r="F91" s="105">
        <v>2270812</v>
      </c>
      <c r="G91" s="105">
        <v>0</v>
      </c>
      <c r="H91" s="105">
        <v>60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1.8</v>
      </c>
      <c r="O91" s="105">
        <v>1.4</v>
      </c>
      <c r="P91" s="184" t="s">
        <v>282</v>
      </c>
      <c r="Q91" s="108">
        <v>548000</v>
      </c>
      <c r="R91" s="108">
        <v>579000</v>
      </c>
      <c r="S91" s="108">
        <v>0</v>
      </c>
      <c r="T91" s="108">
        <v>0</v>
      </c>
      <c r="U91" s="108">
        <v>0</v>
      </c>
      <c r="V91" s="108">
        <v>0</v>
      </c>
      <c r="W91" s="108">
        <v>142950</v>
      </c>
      <c r="X91" s="108">
        <v>125000</v>
      </c>
      <c r="Y91" s="108">
        <v>37353</v>
      </c>
      <c r="Z91" s="108">
        <v>70000</v>
      </c>
      <c r="AA91" s="108">
        <v>0</v>
      </c>
      <c r="AB91" s="108">
        <v>0</v>
      </c>
      <c r="AC91" s="108">
        <v>0</v>
      </c>
      <c r="AD91" s="108">
        <v>0</v>
      </c>
      <c r="AE91" s="108">
        <v>0</v>
      </c>
      <c r="AF91" s="108">
        <v>0</v>
      </c>
      <c r="AG91" s="108">
        <v>0</v>
      </c>
      <c r="AH91" s="108">
        <v>0</v>
      </c>
      <c r="AI91" s="108">
        <v>0</v>
      </c>
      <c r="AJ91" s="108">
        <v>5000</v>
      </c>
      <c r="AK91" s="108">
        <v>728303</v>
      </c>
      <c r="AL91" s="108">
        <v>728303</v>
      </c>
      <c r="AM91" s="109">
        <v>779000</v>
      </c>
      <c r="AN91" s="78"/>
      <c r="AO91" s="348">
        <v>566000</v>
      </c>
      <c r="AP91" s="192">
        <f t="shared" si="63"/>
        <v>0.9775474956822107</v>
      </c>
      <c r="AQ91" s="112">
        <f>-1+AO91/Q91</f>
        <v>0.03284671532846706</v>
      </c>
      <c r="AR91" s="82"/>
      <c r="AS91" s="113">
        <f t="shared" si="65"/>
        <v>641000</v>
      </c>
      <c r="AT91" s="114">
        <f t="shared" si="66"/>
        <v>0.8801281884051007</v>
      </c>
      <c r="AU91" s="115">
        <f t="shared" si="67"/>
        <v>87303</v>
      </c>
      <c r="AV91" s="86">
        <f t="shared" si="68"/>
        <v>0.8228498074454429</v>
      </c>
      <c r="AW91" s="185">
        <f t="shared" si="69"/>
        <v>138000</v>
      </c>
      <c r="AX91" s="186">
        <f>IF(W91&gt;AU91,0,AU91-W91)</f>
        <v>0</v>
      </c>
      <c r="AY91" s="88"/>
      <c r="AZ91" s="117">
        <f t="shared" si="75"/>
        <v>314444.44444444444</v>
      </c>
      <c r="BA91" s="118">
        <f t="shared" si="75"/>
        <v>404285.7142857143</v>
      </c>
      <c r="BB91" s="88"/>
      <c r="BC91" s="119">
        <v>100065</v>
      </c>
      <c r="BD91" s="91">
        <f>(Q91+W91)*1.1-AO91-BC91</f>
        <v>93980.00000000012</v>
      </c>
      <c r="BE91" s="92">
        <f t="shared" si="59"/>
        <v>24935</v>
      </c>
      <c r="BF91" s="292">
        <f t="shared" si="61"/>
        <v>1.000072364136334</v>
      </c>
      <c r="BG91" s="92"/>
      <c r="BH91" s="194">
        <v>0</v>
      </c>
      <c r="BI91" s="195">
        <v>0</v>
      </c>
      <c r="BJ91" s="189" t="s">
        <v>97</v>
      </c>
      <c r="BK91" s="121" t="s">
        <v>56</v>
      </c>
      <c r="BL91" s="97">
        <f t="shared" si="47"/>
        <v>0.9639843693465519</v>
      </c>
      <c r="BM91" s="98"/>
      <c r="BN91" s="122">
        <f>($BI91+$BC91+$AO91+$AJ91+$AH91+$AF91+$AD91+$AB91+$Z91+$V91+$T91)/$AL91</f>
        <v>1.0175229265841277</v>
      </c>
      <c r="BO91" s="122">
        <f t="shared" si="48"/>
        <v>0.9513029525032093</v>
      </c>
      <c r="BP91" s="82"/>
      <c r="BQ91" s="194">
        <f t="shared" si="49"/>
        <v>100065</v>
      </c>
      <c r="BR91" s="101"/>
      <c r="BS91" s="194">
        <f t="shared" si="50"/>
        <v>690950</v>
      </c>
      <c r="BT91" s="194">
        <f t="shared" si="51"/>
        <v>666065</v>
      </c>
      <c r="BU91" s="293">
        <f t="shared" si="53"/>
        <v>-0.03601563065344815</v>
      </c>
      <c r="BV91" s="359"/>
    </row>
    <row r="92" spans="1:74" ht="46.5" customHeight="1" thickBot="1">
      <c r="A92" s="125">
        <v>15060306</v>
      </c>
      <c r="B92" s="126" t="s">
        <v>68</v>
      </c>
      <c r="C92" s="126" t="s">
        <v>47</v>
      </c>
      <c r="D92" s="126" t="s">
        <v>147</v>
      </c>
      <c r="E92" s="126" t="s">
        <v>150</v>
      </c>
      <c r="F92" s="127">
        <v>5121694</v>
      </c>
      <c r="G92" s="127">
        <v>0</v>
      </c>
      <c r="H92" s="127">
        <v>18</v>
      </c>
      <c r="I92" s="127">
        <v>0</v>
      </c>
      <c r="J92" s="127">
        <v>0</v>
      </c>
      <c r="K92" s="127">
        <v>0</v>
      </c>
      <c r="L92" s="127">
        <v>0</v>
      </c>
      <c r="M92" s="127">
        <v>0</v>
      </c>
      <c r="N92" s="127">
        <v>1.1</v>
      </c>
      <c r="O92" s="127">
        <v>0.8</v>
      </c>
      <c r="P92" s="242" t="s">
        <v>285</v>
      </c>
      <c r="Q92" s="129">
        <v>79000</v>
      </c>
      <c r="R92" s="129">
        <v>125000</v>
      </c>
      <c r="S92" s="129">
        <v>0</v>
      </c>
      <c r="T92" s="129">
        <v>0</v>
      </c>
      <c r="U92" s="129">
        <v>0</v>
      </c>
      <c r="V92" s="129">
        <v>0</v>
      </c>
      <c r="W92" s="129">
        <v>80000</v>
      </c>
      <c r="X92" s="129">
        <v>185000</v>
      </c>
      <c r="Y92" s="129">
        <v>95672</v>
      </c>
      <c r="Z92" s="129">
        <v>110000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35000</v>
      </c>
      <c r="AK92" s="129">
        <v>254672</v>
      </c>
      <c r="AL92" s="129">
        <v>254672</v>
      </c>
      <c r="AM92" s="130">
        <v>455000</v>
      </c>
      <c r="AN92" s="78"/>
      <c r="AO92" s="349">
        <v>125000</v>
      </c>
      <c r="AP92" s="135">
        <f t="shared" si="63"/>
        <v>1</v>
      </c>
      <c r="AQ92" s="131">
        <f>-1+AO92/Q92</f>
        <v>0.5822784810126582</v>
      </c>
      <c r="AR92" s="82"/>
      <c r="AS92" s="132">
        <f t="shared" si="65"/>
        <v>270000</v>
      </c>
      <c r="AT92" s="133">
        <f t="shared" si="66"/>
        <v>1.060187221210027</v>
      </c>
      <c r="AU92" s="134">
        <f t="shared" si="67"/>
        <v>0</v>
      </c>
      <c r="AV92" s="135">
        <f t="shared" si="68"/>
        <v>0.5934065934065934</v>
      </c>
      <c r="AW92" s="248">
        <f t="shared" si="69"/>
        <v>185000</v>
      </c>
      <c r="AX92" s="249">
        <f>IF(W92&gt;AU92,0,AU92-W92)</f>
        <v>0</v>
      </c>
      <c r="AY92" s="88"/>
      <c r="AZ92" s="137">
        <f t="shared" si="75"/>
        <v>113636.36363636363</v>
      </c>
      <c r="BA92" s="138">
        <f t="shared" si="75"/>
        <v>156250</v>
      </c>
      <c r="BB92" s="88"/>
      <c r="BC92" s="193">
        <v>47000</v>
      </c>
      <c r="BD92" s="140">
        <f>(Q92+W92)*1.1-AO92-BC92</f>
        <v>2900</v>
      </c>
      <c r="BE92" s="141">
        <f t="shared" si="59"/>
        <v>2900</v>
      </c>
      <c r="BF92" s="294">
        <f t="shared" si="61"/>
        <v>1.1</v>
      </c>
      <c r="BG92" s="141"/>
      <c r="BH92" s="295">
        <v>0</v>
      </c>
      <c r="BI92" s="296">
        <v>0</v>
      </c>
      <c r="BJ92" s="196" t="s">
        <v>97</v>
      </c>
      <c r="BK92" s="145" t="s">
        <v>56</v>
      </c>
      <c r="BL92" s="97">
        <f t="shared" si="47"/>
        <v>1.0817610062893082</v>
      </c>
      <c r="BM92" s="98"/>
      <c r="BN92" s="146">
        <f>($BI92+$BC92+$AO92+$AJ92+$AH92+$AF92+$AD92+$AB92+$Z92+$V92+$T92)/$AL92</f>
        <v>1.244738330087328</v>
      </c>
      <c r="BO92" s="146">
        <f t="shared" si="48"/>
        <v>0.6967032967032967</v>
      </c>
      <c r="BP92" s="82"/>
      <c r="BQ92" s="295">
        <f t="shared" si="49"/>
        <v>47000</v>
      </c>
      <c r="BR92" s="101"/>
      <c r="BS92" s="295">
        <f t="shared" si="50"/>
        <v>159000</v>
      </c>
      <c r="BT92" s="295">
        <f t="shared" si="51"/>
        <v>172000</v>
      </c>
      <c r="BU92" s="297">
        <f t="shared" si="53"/>
        <v>0.08176100628930816</v>
      </c>
      <c r="BV92" s="360"/>
    </row>
    <row r="93" spans="1:74" ht="15" thickBot="1">
      <c r="A93" s="167" t="s">
        <v>61</v>
      </c>
      <c r="B93" s="71"/>
      <c r="C93" s="71"/>
      <c r="D93" s="71"/>
      <c r="E93" s="7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2">
        <f>SUM(Q90:Q92)</f>
        <v>1251000</v>
      </c>
      <c r="R93" s="152">
        <f aca="true" t="shared" si="76" ref="R93:AM93">SUM(R90:R92)</f>
        <v>1371000</v>
      </c>
      <c r="S93" s="152">
        <f t="shared" si="76"/>
        <v>0</v>
      </c>
      <c r="T93" s="152">
        <f t="shared" si="76"/>
        <v>0</v>
      </c>
      <c r="U93" s="152">
        <f t="shared" si="76"/>
        <v>0</v>
      </c>
      <c r="V93" s="152">
        <f t="shared" si="76"/>
        <v>0</v>
      </c>
      <c r="W93" s="152">
        <f t="shared" si="76"/>
        <v>386110</v>
      </c>
      <c r="X93" s="152">
        <f t="shared" si="76"/>
        <v>385000</v>
      </c>
      <c r="Y93" s="152">
        <f t="shared" si="76"/>
        <v>159895</v>
      </c>
      <c r="Z93" s="152">
        <f t="shared" si="76"/>
        <v>250000</v>
      </c>
      <c r="AA93" s="152">
        <f t="shared" si="76"/>
        <v>0</v>
      </c>
      <c r="AB93" s="152">
        <f t="shared" si="76"/>
        <v>0</v>
      </c>
      <c r="AC93" s="152">
        <f t="shared" si="76"/>
        <v>0</v>
      </c>
      <c r="AD93" s="152">
        <f t="shared" si="76"/>
        <v>0</v>
      </c>
      <c r="AE93" s="152">
        <f t="shared" si="76"/>
        <v>0</v>
      </c>
      <c r="AF93" s="152">
        <f t="shared" si="76"/>
        <v>0</v>
      </c>
      <c r="AG93" s="152">
        <f t="shared" si="76"/>
        <v>0</v>
      </c>
      <c r="AH93" s="152">
        <f t="shared" si="76"/>
        <v>0</v>
      </c>
      <c r="AI93" s="152">
        <f t="shared" si="76"/>
        <v>0</v>
      </c>
      <c r="AJ93" s="152">
        <f t="shared" si="76"/>
        <v>50690</v>
      </c>
      <c r="AK93" s="152"/>
      <c r="AL93" s="152">
        <f t="shared" si="76"/>
        <v>1797005</v>
      </c>
      <c r="AM93" s="154">
        <f t="shared" si="76"/>
        <v>2056690</v>
      </c>
      <c r="AN93" s="153"/>
      <c r="AO93" s="154">
        <f>SUM(AO90:AO92)</f>
        <v>1315000</v>
      </c>
      <c r="AP93" s="41">
        <f>AO93/R93</f>
        <v>0.9591539022611233</v>
      </c>
      <c r="AQ93" s="40">
        <f>-1+AO93/Q93</f>
        <v>0.05115907274180653</v>
      </c>
      <c r="AR93" s="1"/>
      <c r="AS93" s="155">
        <f t="shared" si="65"/>
        <v>1615690</v>
      </c>
      <c r="AT93" s="207">
        <f t="shared" si="66"/>
        <v>0.8991015606523076</v>
      </c>
      <c r="AU93" s="156">
        <f>SUM(AU90:AU92)</f>
        <v>196643</v>
      </c>
      <c r="AV93" s="215">
        <f t="shared" si="68"/>
        <v>0.7855777973345521</v>
      </c>
      <c r="AW93" s="216">
        <f>SUM(AW90:AW92)</f>
        <v>441000</v>
      </c>
      <c r="AX93" s="210">
        <f>SUM(AX90:AX92)</f>
        <v>0</v>
      </c>
      <c r="AY93" s="88"/>
      <c r="AZ93" s="158"/>
      <c r="BA93" s="158"/>
      <c r="BB93" s="88"/>
      <c r="BC93" s="160">
        <f aca="true" t="shared" si="77" ref="BC93:BI93">SUM(BC90:BC92)</f>
        <v>261277</v>
      </c>
      <c r="BD93" s="160">
        <f t="shared" si="77"/>
        <v>224544.00000000023</v>
      </c>
      <c r="BE93" s="161">
        <f t="shared" si="77"/>
        <v>27835</v>
      </c>
      <c r="BF93" s="160">
        <f t="shared" si="77"/>
        <v>3.0378893263803506</v>
      </c>
      <c r="BG93" s="217">
        <f t="shared" si="77"/>
        <v>0</v>
      </c>
      <c r="BH93" s="161">
        <f t="shared" si="77"/>
        <v>0</v>
      </c>
      <c r="BI93" s="57">
        <f t="shared" si="77"/>
        <v>0</v>
      </c>
      <c r="BJ93" s="162"/>
      <c r="BK93" s="162"/>
      <c r="BL93" s="97">
        <f t="shared" si="47"/>
        <v>0.9628412263073343</v>
      </c>
      <c r="BM93" s="98"/>
      <c r="BN93" s="82"/>
      <c r="BO93" s="82"/>
      <c r="BP93" s="82"/>
      <c r="BQ93" s="161">
        <f>SUM(BQ90:BQ92)</f>
        <v>261277</v>
      </c>
      <c r="BR93" s="101"/>
      <c r="BS93" s="161">
        <f t="shared" si="50"/>
        <v>1637110</v>
      </c>
      <c r="BT93" s="161">
        <f t="shared" si="51"/>
        <v>1576277</v>
      </c>
      <c r="BU93" s="163">
        <f t="shared" si="53"/>
        <v>-0.037158773692665736</v>
      </c>
      <c r="BV93" s="67"/>
    </row>
    <row r="94" spans="1:74" ht="8.25" customHeight="1" thickBot="1">
      <c r="A94" s="149"/>
      <c r="B94" s="150"/>
      <c r="C94" s="150"/>
      <c r="D94" s="150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97"/>
      <c r="AQ94" s="97"/>
      <c r="AR94" s="97"/>
      <c r="AS94" s="164"/>
      <c r="AT94" s="82"/>
      <c r="AU94" s="165"/>
      <c r="AV94" s="215"/>
      <c r="AW94" s="164"/>
      <c r="AX94" s="165"/>
      <c r="AY94" s="88"/>
      <c r="AZ94" s="158"/>
      <c r="BA94" s="158"/>
      <c r="BB94" s="88"/>
      <c r="BC94" s="169"/>
      <c r="BD94" s="170"/>
      <c r="BE94" s="171"/>
      <c r="BF94" s="172"/>
      <c r="BG94" s="171"/>
      <c r="BH94" s="171"/>
      <c r="BI94" s="173"/>
      <c r="BJ94" s="162"/>
      <c r="BK94" s="162"/>
      <c r="BL94" s="97" t="e">
        <f t="shared" si="47"/>
        <v>#DIV/0!</v>
      </c>
      <c r="BM94" s="98"/>
      <c r="BN94" s="82"/>
      <c r="BO94" s="82"/>
      <c r="BP94" s="82"/>
      <c r="BQ94" s="171"/>
      <c r="BR94" s="101"/>
      <c r="BS94" s="171"/>
      <c r="BT94" s="171"/>
      <c r="BU94" s="174"/>
      <c r="BV94" s="67"/>
    </row>
    <row r="95" spans="1:74" ht="85.5">
      <c r="A95" s="72">
        <v>380440</v>
      </c>
      <c r="B95" s="73" t="s">
        <v>151</v>
      </c>
      <c r="C95" s="73" t="s">
        <v>47</v>
      </c>
      <c r="D95" s="73" t="s">
        <v>152</v>
      </c>
      <c r="E95" s="73" t="s">
        <v>153</v>
      </c>
      <c r="F95" s="246"/>
      <c r="G95" s="246"/>
      <c r="H95" s="74">
        <v>35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0.07</v>
      </c>
      <c r="O95" s="74">
        <v>0.07</v>
      </c>
      <c r="P95" s="73"/>
      <c r="Q95" s="76">
        <v>0</v>
      </c>
      <c r="R95" s="76">
        <v>17500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76">
        <v>0</v>
      </c>
      <c r="AI95" s="76">
        <v>0</v>
      </c>
      <c r="AJ95" s="76">
        <v>7500</v>
      </c>
      <c r="AK95" s="76"/>
      <c r="AL95" s="76">
        <v>0</v>
      </c>
      <c r="AM95" s="77">
        <v>25000</v>
      </c>
      <c r="AN95" s="78"/>
      <c r="AO95" s="342">
        <v>17000</v>
      </c>
      <c r="AP95" s="222">
        <f t="shared" si="63"/>
        <v>0.9714285714285714</v>
      </c>
      <c r="AQ95" s="81"/>
      <c r="AR95" s="82"/>
      <c r="AS95" s="176">
        <f t="shared" si="65"/>
        <v>24500</v>
      </c>
      <c r="AT95" s="177"/>
      <c r="AU95" s="85"/>
      <c r="AV95" s="86">
        <f t="shared" si="68"/>
        <v>0.98</v>
      </c>
      <c r="AW95" s="178">
        <f t="shared" si="69"/>
        <v>500</v>
      </c>
      <c r="AX95" s="85">
        <f aca="true" t="shared" si="78" ref="AX95:AX108">IF(W95&gt;AU95,0,AU95-W95)</f>
        <v>0</v>
      </c>
      <c r="AY95" s="88"/>
      <c r="AZ95" s="89">
        <f aca="true" t="shared" si="79" ref="AZ95:AZ108">$AO95/N95</f>
        <v>242857.14285714284</v>
      </c>
      <c r="BA95" s="90">
        <f aca="true" t="shared" si="80" ref="BA95:BA108">$AO95/O95</f>
        <v>242857.14285714284</v>
      </c>
      <c r="BB95" s="88"/>
      <c r="BC95" s="179">
        <v>0</v>
      </c>
      <c r="BD95" s="91"/>
      <c r="BE95" s="92">
        <f t="shared" si="59"/>
        <v>0</v>
      </c>
      <c r="BF95" s="93"/>
      <c r="BG95" s="92"/>
      <c r="BH95" s="92">
        <v>0</v>
      </c>
      <c r="BI95" s="94">
        <v>0</v>
      </c>
      <c r="BJ95" s="227" t="s">
        <v>155</v>
      </c>
      <c r="BK95" s="182" t="s">
        <v>56</v>
      </c>
      <c r="BL95" s="97" t="e">
        <f t="shared" si="47"/>
        <v>#DIV/0!</v>
      </c>
      <c r="BM95" s="98"/>
      <c r="BN95" s="99" t="e">
        <f aca="true" t="shared" si="81" ref="BN95:BN108">($BI95+$BC95+$AO95+$AJ95+$AH95+$AF95+$AD95+$AB95+$Z95+$V95+$T95)/$AL95</f>
        <v>#DIV/0!</v>
      </c>
      <c r="BO95" s="99">
        <f t="shared" si="48"/>
        <v>0.98</v>
      </c>
      <c r="BP95" s="82"/>
      <c r="BQ95" s="100">
        <f t="shared" si="49"/>
        <v>0</v>
      </c>
      <c r="BR95" s="101"/>
      <c r="BS95" s="92">
        <f t="shared" si="50"/>
        <v>0</v>
      </c>
      <c r="BT95" s="92">
        <f t="shared" si="51"/>
        <v>17000</v>
      </c>
      <c r="BU95" s="102"/>
      <c r="BV95" s="64" t="s">
        <v>356</v>
      </c>
    </row>
    <row r="96" spans="1:74" ht="51">
      <c r="A96" s="103">
        <v>15060306</v>
      </c>
      <c r="B96" s="104" t="s">
        <v>68</v>
      </c>
      <c r="C96" s="104" t="s">
        <v>47</v>
      </c>
      <c r="D96" s="104" t="s">
        <v>152</v>
      </c>
      <c r="E96" s="104" t="s">
        <v>154</v>
      </c>
      <c r="F96" s="105">
        <v>2345925</v>
      </c>
      <c r="G96" s="106"/>
      <c r="H96" s="105">
        <v>25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1.3</v>
      </c>
      <c r="O96" s="105">
        <v>0.9</v>
      </c>
      <c r="P96" s="184" t="s">
        <v>291</v>
      </c>
      <c r="Q96" s="108">
        <v>343000</v>
      </c>
      <c r="R96" s="108">
        <v>358000</v>
      </c>
      <c r="S96" s="108">
        <v>0</v>
      </c>
      <c r="T96" s="108">
        <v>0</v>
      </c>
      <c r="U96" s="108">
        <v>0</v>
      </c>
      <c r="V96" s="108">
        <v>0</v>
      </c>
      <c r="W96" s="108">
        <v>88750</v>
      </c>
      <c r="X96" s="108">
        <v>85000</v>
      </c>
      <c r="Y96" s="108">
        <v>21818</v>
      </c>
      <c r="Z96" s="108">
        <v>40000</v>
      </c>
      <c r="AA96" s="108">
        <v>0</v>
      </c>
      <c r="AB96" s="108">
        <v>0</v>
      </c>
      <c r="AC96" s="108">
        <v>0</v>
      </c>
      <c r="AD96" s="108">
        <v>0</v>
      </c>
      <c r="AE96" s="108">
        <v>0</v>
      </c>
      <c r="AF96" s="108">
        <v>0</v>
      </c>
      <c r="AG96" s="108">
        <v>0</v>
      </c>
      <c r="AH96" s="108">
        <v>0</v>
      </c>
      <c r="AI96" s="108">
        <v>0</v>
      </c>
      <c r="AJ96" s="108">
        <v>880</v>
      </c>
      <c r="AK96" s="108">
        <v>453568</v>
      </c>
      <c r="AL96" s="108">
        <v>453568</v>
      </c>
      <c r="AM96" s="109">
        <v>483880</v>
      </c>
      <c r="AN96" s="78"/>
      <c r="AO96" s="348">
        <v>255000</v>
      </c>
      <c r="AP96" s="192">
        <f t="shared" si="63"/>
        <v>0.7122905027932961</v>
      </c>
      <c r="AQ96" s="112">
        <f aca="true" t="shared" si="82" ref="AQ96:AQ101">-1+AO96/Q96</f>
        <v>-0.2565597667638484</v>
      </c>
      <c r="AR96" s="82"/>
      <c r="AS96" s="113">
        <f t="shared" si="65"/>
        <v>295880</v>
      </c>
      <c r="AT96" s="114">
        <f t="shared" si="66"/>
        <v>0.6523387893325808</v>
      </c>
      <c r="AU96" s="115">
        <f t="shared" si="67"/>
        <v>157688</v>
      </c>
      <c r="AV96" s="86">
        <f t="shared" si="68"/>
        <v>0.6114739191535091</v>
      </c>
      <c r="AW96" s="185">
        <f t="shared" si="69"/>
        <v>188000</v>
      </c>
      <c r="AX96" s="186">
        <f t="shared" si="78"/>
        <v>68938</v>
      </c>
      <c r="AY96" s="88"/>
      <c r="AZ96" s="117">
        <f t="shared" si="79"/>
        <v>196153.84615384616</v>
      </c>
      <c r="BA96" s="118">
        <f t="shared" si="80"/>
        <v>283333.3333333333</v>
      </c>
      <c r="BB96" s="88"/>
      <c r="BC96" s="187">
        <v>52640</v>
      </c>
      <c r="BD96" s="91">
        <f>(Q96+W96)*1.1-AO96-BC96</f>
        <v>167285.00000000006</v>
      </c>
      <c r="BE96" s="92">
        <f t="shared" si="59"/>
        <v>32360</v>
      </c>
      <c r="BF96" s="93">
        <f t="shared" si="61"/>
        <v>0.787492762015055</v>
      </c>
      <c r="BG96" s="92"/>
      <c r="BH96" s="92">
        <v>32360</v>
      </c>
      <c r="BI96" s="94">
        <v>52360</v>
      </c>
      <c r="BJ96" s="120" t="s">
        <v>155</v>
      </c>
      <c r="BK96" s="121" t="s">
        <v>56</v>
      </c>
      <c r="BL96" s="97">
        <f t="shared" si="47"/>
        <v>0.787492762015055</v>
      </c>
      <c r="BM96" s="98">
        <f>(0.9*(Q96+S96+W96))-(T96+AO96+BC96+BH96)</f>
        <v>48575</v>
      </c>
      <c r="BN96" s="122">
        <f t="shared" si="81"/>
        <v>0.8838366022294342</v>
      </c>
      <c r="BO96" s="122">
        <f t="shared" si="48"/>
        <v>0.8284698685624535</v>
      </c>
      <c r="BP96" s="82"/>
      <c r="BQ96" s="123">
        <f t="shared" si="49"/>
        <v>105000</v>
      </c>
      <c r="BR96" s="101"/>
      <c r="BS96" s="92">
        <f t="shared" si="50"/>
        <v>431750</v>
      </c>
      <c r="BT96" s="92">
        <f t="shared" si="51"/>
        <v>360000</v>
      </c>
      <c r="BU96" s="124">
        <f t="shared" si="53"/>
        <v>-0.16618413433700063</v>
      </c>
      <c r="BV96" s="65" t="s">
        <v>348</v>
      </c>
    </row>
    <row r="97" spans="1:74" ht="51">
      <c r="A97" s="103">
        <v>15060306</v>
      </c>
      <c r="B97" s="104" t="s">
        <v>68</v>
      </c>
      <c r="C97" s="104" t="s">
        <v>47</v>
      </c>
      <c r="D97" s="104" t="s">
        <v>152</v>
      </c>
      <c r="E97" s="104" t="s">
        <v>156</v>
      </c>
      <c r="F97" s="105">
        <v>3917000</v>
      </c>
      <c r="G97" s="105">
        <v>0</v>
      </c>
      <c r="H97" s="105">
        <v>42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1.8</v>
      </c>
      <c r="O97" s="105">
        <v>1.4</v>
      </c>
      <c r="P97" s="184" t="s">
        <v>282</v>
      </c>
      <c r="Q97" s="108">
        <v>227000</v>
      </c>
      <c r="R97" s="108">
        <v>253000</v>
      </c>
      <c r="S97" s="108">
        <v>11932</v>
      </c>
      <c r="T97" s="108">
        <v>0</v>
      </c>
      <c r="U97" s="108">
        <v>0</v>
      </c>
      <c r="V97" s="108">
        <v>0</v>
      </c>
      <c r="W97" s="108">
        <v>60264</v>
      </c>
      <c r="X97" s="108">
        <v>75000</v>
      </c>
      <c r="Y97" s="108">
        <v>0</v>
      </c>
      <c r="Z97" s="108">
        <v>30000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5000</v>
      </c>
      <c r="AK97" s="108">
        <v>299196</v>
      </c>
      <c r="AL97" s="108">
        <v>299196</v>
      </c>
      <c r="AM97" s="109">
        <v>363000</v>
      </c>
      <c r="AN97" s="78"/>
      <c r="AO97" s="348">
        <v>250000</v>
      </c>
      <c r="AP97" s="192">
        <f t="shared" si="63"/>
        <v>0.9881422924901185</v>
      </c>
      <c r="AQ97" s="112">
        <f t="shared" si="82"/>
        <v>0.1013215859030836</v>
      </c>
      <c r="AR97" s="82"/>
      <c r="AS97" s="113">
        <f t="shared" si="65"/>
        <v>285000</v>
      </c>
      <c r="AT97" s="114">
        <f t="shared" si="66"/>
        <v>0.9525528416155297</v>
      </c>
      <c r="AU97" s="115">
        <f t="shared" si="67"/>
        <v>14196</v>
      </c>
      <c r="AV97" s="86">
        <f t="shared" si="68"/>
        <v>0.7851239669421488</v>
      </c>
      <c r="AW97" s="185">
        <f t="shared" si="69"/>
        <v>78000</v>
      </c>
      <c r="AX97" s="186">
        <f t="shared" si="78"/>
        <v>0</v>
      </c>
      <c r="AY97" s="88"/>
      <c r="AZ97" s="117">
        <f t="shared" si="79"/>
        <v>138888.88888888888</v>
      </c>
      <c r="BA97" s="118">
        <f t="shared" si="80"/>
        <v>178571.42857142858</v>
      </c>
      <c r="BB97" s="88"/>
      <c r="BC97" s="187">
        <v>50100</v>
      </c>
      <c r="BD97" s="91">
        <f>(Q97+W97)*1.1-AO97-BC97</f>
        <v>15890.400000000023</v>
      </c>
      <c r="BE97" s="92">
        <f t="shared" si="59"/>
        <v>15890.400000000023</v>
      </c>
      <c r="BF97" s="93">
        <f t="shared" si="61"/>
        <v>1.1</v>
      </c>
      <c r="BG97" s="92"/>
      <c r="BH97" s="92">
        <v>15890</v>
      </c>
      <c r="BI97" s="94">
        <v>0</v>
      </c>
      <c r="BJ97" s="120" t="s">
        <v>155</v>
      </c>
      <c r="BK97" s="121" t="s">
        <v>56</v>
      </c>
      <c r="BL97" s="97">
        <f t="shared" si="47"/>
        <v>1.0561304295511973</v>
      </c>
      <c r="BM97" s="98"/>
      <c r="BN97" s="122">
        <f t="shared" si="81"/>
        <v>1.1200016042995227</v>
      </c>
      <c r="BO97" s="122">
        <f t="shared" si="48"/>
        <v>0.9231404958677686</v>
      </c>
      <c r="BP97" s="82"/>
      <c r="BQ97" s="123">
        <f t="shared" si="49"/>
        <v>50100</v>
      </c>
      <c r="BR97" s="101"/>
      <c r="BS97" s="92">
        <f t="shared" si="50"/>
        <v>287264</v>
      </c>
      <c r="BT97" s="92">
        <f t="shared" si="51"/>
        <v>300100</v>
      </c>
      <c r="BU97" s="124">
        <f t="shared" si="53"/>
        <v>0.04468363595856073</v>
      </c>
      <c r="BV97" s="65" t="s">
        <v>349</v>
      </c>
    </row>
    <row r="98" spans="1:74" ht="51">
      <c r="A98" s="103">
        <v>15060306</v>
      </c>
      <c r="B98" s="104" t="s">
        <v>68</v>
      </c>
      <c r="C98" s="104" t="s">
        <v>47</v>
      </c>
      <c r="D98" s="104" t="s">
        <v>152</v>
      </c>
      <c r="E98" s="104" t="s">
        <v>157</v>
      </c>
      <c r="F98" s="105">
        <v>9472235</v>
      </c>
      <c r="G98" s="105">
        <v>0</v>
      </c>
      <c r="H98" s="105">
        <v>25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1</v>
      </c>
      <c r="O98" s="105">
        <v>0.7</v>
      </c>
      <c r="P98" s="184" t="s">
        <v>285</v>
      </c>
      <c r="Q98" s="108">
        <v>50000</v>
      </c>
      <c r="R98" s="108">
        <v>105000</v>
      </c>
      <c r="S98" s="108">
        <v>0</v>
      </c>
      <c r="T98" s="108">
        <v>0</v>
      </c>
      <c r="U98" s="108">
        <v>0</v>
      </c>
      <c r="V98" s="108">
        <v>0</v>
      </c>
      <c r="W98" s="108">
        <v>51000</v>
      </c>
      <c r="X98" s="108">
        <v>70000</v>
      </c>
      <c r="Y98" s="108">
        <v>60665</v>
      </c>
      <c r="Z98" s="108">
        <v>100000</v>
      </c>
      <c r="AA98" s="108">
        <v>0</v>
      </c>
      <c r="AB98" s="108">
        <v>0</v>
      </c>
      <c r="AC98" s="108">
        <v>0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5000</v>
      </c>
      <c r="AK98" s="108">
        <v>161665</v>
      </c>
      <c r="AL98" s="108">
        <v>161665</v>
      </c>
      <c r="AM98" s="109">
        <v>280000</v>
      </c>
      <c r="AN98" s="78"/>
      <c r="AO98" s="348">
        <v>100000</v>
      </c>
      <c r="AP98" s="192">
        <f t="shared" si="63"/>
        <v>0.9523809523809523</v>
      </c>
      <c r="AQ98" s="112">
        <f t="shared" si="82"/>
        <v>1</v>
      </c>
      <c r="AR98" s="82"/>
      <c r="AS98" s="113">
        <f t="shared" si="65"/>
        <v>205000</v>
      </c>
      <c r="AT98" s="114">
        <f t="shared" si="66"/>
        <v>1.2680543098382457</v>
      </c>
      <c r="AU98" s="115">
        <f t="shared" si="67"/>
        <v>0</v>
      </c>
      <c r="AV98" s="86">
        <f t="shared" si="68"/>
        <v>0.7321428571428571</v>
      </c>
      <c r="AW98" s="185">
        <f t="shared" si="69"/>
        <v>75000</v>
      </c>
      <c r="AX98" s="186">
        <f t="shared" si="78"/>
        <v>0</v>
      </c>
      <c r="AY98" s="88"/>
      <c r="AZ98" s="117">
        <f t="shared" si="79"/>
        <v>100000</v>
      </c>
      <c r="BA98" s="118">
        <f t="shared" si="80"/>
        <v>142857.14285714287</v>
      </c>
      <c r="BB98" s="88"/>
      <c r="BC98" s="187">
        <v>15500</v>
      </c>
      <c r="BD98" s="91"/>
      <c r="BE98" s="92">
        <f t="shared" si="59"/>
        <v>0</v>
      </c>
      <c r="BF98" s="93">
        <f t="shared" si="61"/>
        <v>1.1435643564356435</v>
      </c>
      <c r="BG98" s="92"/>
      <c r="BH98" s="92">
        <v>0</v>
      </c>
      <c r="BI98" s="94">
        <v>20000</v>
      </c>
      <c r="BJ98" s="120" t="s">
        <v>155</v>
      </c>
      <c r="BK98" s="121" t="s">
        <v>56</v>
      </c>
      <c r="BL98" s="97">
        <f t="shared" si="47"/>
        <v>1.1435643564356435</v>
      </c>
      <c r="BM98" s="98"/>
      <c r="BN98" s="122">
        <f t="shared" si="81"/>
        <v>1.4876442025175518</v>
      </c>
      <c r="BO98" s="122">
        <f t="shared" si="48"/>
        <v>0.8589285714285714</v>
      </c>
      <c r="BP98" s="82"/>
      <c r="BQ98" s="123">
        <f t="shared" si="49"/>
        <v>35500</v>
      </c>
      <c r="BR98" s="101"/>
      <c r="BS98" s="92">
        <f t="shared" si="50"/>
        <v>101000</v>
      </c>
      <c r="BT98" s="92">
        <f t="shared" si="51"/>
        <v>135500</v>
      </c>
      <c r="BU98" s="124">
        <f t="shared" si="53"/>
        <v>0.34158415841584167</v>
      </c>
      <c r="BV98" s="65" t="s">
        <v>349</v>
      </c>
    </row>
    <row r="99" spans="1:74" ht="57">
      <c r="A99" s="103">
        <v>26304856</v>
      </c>
      <c r="B99" s="104" t="s">
        <v>52</v>
      </c>
      <c r="C99" s="104" t="s">
        <v>47</v>
      </c>
      <c r="D99" s="104" t="s">
        <v>152</v>
      </c>
      <c r="E99" s="104" t="s">
        <v>158</v>
      </c>
      <c r="F99" s="105">
        <v>8502155</v>
      </c>
      <c r="G99" s="105">
        <v>0</v>
      </c>
      <c r="H99" s="105">
        <v>35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2.1</v>
      </c>
      <c r="O99" s="105">
        <v>1.5</v>
      </c>
      <c r="P99" s="184" t="s">
        <v>280</v>
      </c>
      <c r="Q99" s="108">
        <v>95500</v>
      </c>
      <c r="R99" s="108">
        <v>554372</v>
      </c>
      <c r="S99" s="108">
        <v>0</v>
      </c>
      <c r="T99" s="108">
        <v>0</v>
      </c>
      <c r="U99" s="108">
        <v>58500</v>
      </c>
      <c r="V99" s="108">
        <v>30000</v>
      </c>
      <c r="W99" s="108">
        <v>47600</v>
      </c>
      <c r="X99" s="108">
        <v>47000</v>
      </c>
      <c r="Y99" s="108">
        <v>3000</v>
      </c>
      <c r="Z99" s="108">
        <v>3000</v>
      </c>
      <c r="AA99" s="108">
        <v>0</v>
      </c>
      <c r="AB99" s="108">
        <v>0</v>
      </c>
      <c r="AC99" s="108">
        <v>0</v>
      </c>
      <c r="AD99" s="108">
        <v>0</v>
      </c>
      <c r="AE99" s="108">
        <v>0</v>
      </c>
      <c r="AF99" s="108">
        <v>0</v>
      </c>
      <c r="AG99" s="108">
        <v>0</v>
      </c>
      <c r="AH99" s="108">
        <v>0</v>
      </c>
      <c r="AI99" s="108">
        <v>243400</v>
      </c>
      <c r="AJ99" s="108">
        <v>157588</v>
      </c>
      <c r="AK99" s="108"/>
      <c r="AL99" s="108">
        <v>448000</v>
      </c>
      <c r="AM99" s="109">
        <v>791960</v>
      </c>
      <c r="AN99" s="78"/>
      <c r="AO99" s="348">
        <v>191000</v>
      </c>
      <c r="AP99" s="192">
        <f t="shared" si="63"/>
        <v>0.344533995223424</v>
      </c>
      <c r="AQ99" s="112">
        <f t="shared" si="82"/>
        <v>1</v>
      </c>
      <c r="AR99" s="82"/>
      <c r="AS99" s="113">
        <f t="shared" si="65"/>
        <v>381588</v>
      </c>
      <c r="AT99" s="114">
        <f t="shared" si="66"/>
        <v>0.8517589285714285</v>
      </c>
      <c r="AU99" s="115">
        <f t="shared" si="67"/>
        <v>66412</v>
      </c>
      <c r="AV99" s="86">
        <f t="shared" si="68"/>
        <v>0.48182736501843526</v>
      </c>
      <c r="AW99" s="185">
        <f t="shared" si="69"/>
        <v>410372</v>
      </c>
      <c r="AX99" s="186">
        <f t="shared" si="78"/>
        <v>18812</v>
      </c>
      <c r="AY99" s="88"/>
      <c r="AZ99" s="117">
        <f t="shared" si="79"/>
        <v>90952.38095238095</v>
      </c>
      <c r="BA99" s="118">
        <f t="shared" si="80"/>
        <v>127333.33333333333</v>
      </c>
      <c r="BB99" s="88"/>
      <c r="BC99" s="187">
        <v>33320</v>
      </c>
      <c r="BD99" s="91"/>
      <c r="BE99" s="92">
        <f t="shared" si="59"/>
        <v>0</v>
      </c>
      <c r="BF99" s="93">
        <f t="shared" si="61"/>
        <v>1.5675751222921035</v>
      </c>
      <c r="BG99" s="92"/>
      <c r="BH99" s="92">
        <v>0</v>
      </c>
      <c r="BI99" s="94">
        <v>0</v>
      </c>
      <c r="BJ99" s="120" t="s">
        <v>155</v>
      </c>
      <c r="BK99" s="121" t="s">
        <v>54</v>
      </c>
      <c r="BL99" s="97">
        <f t="shared" si="47"/>
        <v>1.5675751222921035</v>
      </c>
      <c r="BM99" s="98"/>
      <c r="BN99" s="122">
        <f t="shared" si="81"/>
        <v>0.9261339285714286</v>
      </c>
      <c r="BO99" s="122">
        <f t="shared" si="48"/>
        <v>0.5239001969796454</v>
      </c>
      <c r="BP99" s="82"/>
      <c r="BQ99" s="123">
        <f t="shared" si="49"/>
        <v>33320</v>
      </c>
      <c r="BR99" s="101"/>
      <c r="BS99" s="92">
        <f t="shared" si="50"/>
        <v>143100</v>
      </c>
      <c r="BT99" s="92">
        <f t="shared" si="51"/>
        <v>224320</v>
      </c>
      <c r="BU99" s="124">
        <f t="shared" si="53"/>
        <v>0.5675751222921035</v>
      </c>
      <c r="BV99" s="65" t="s">
        <v>350</v>
      </c>
    </row>
    <row r="100" spans="1:74" ht="57">
      <c r="A100" s="103">
        <v>26908042</v>
      </c>
      <c r="B100" s="104" t="s">
        <v>138</v>
      </c>
      <c r="C100" s="104" t="s">
        <v>47</v>
      </c>
      <c r="D100" s="104" t="s">
        <v>152</v>
      </c>
      <c r="E100" s="104" t="s">
        <v>159</v>
      </c>
      <c r="F100" s="105">
        <v>9733318</v>
      </c>
      <c r="G100" s="106"/>
      <c r="H100" s="105">
        <v>140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2.3</v>
      </c>
      <c r="O100" s="105">
        <v>1.8</v>
      </c>
      <c r="P100" s="184" t="s">
        <v>280</v>
      </c>
      <c r="Q100" s="108">
        <v>174000</v>
      </c>
      <c r="R100" s="108">
        <v>631000</v>
      </c>
      <c r="S100" s="108">
        <v>0</v>
      </c>
      <c r="T100" s="108">
        <v>0</v>
      </c>
      <c r="U100" s="108">
        <v>80000</v>
      </c>
      <c r="V100" s="108">
        <v>30000</v>
      </c>
      <c r="W100" s="108">
        <v>42000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500000</v>
      </c>
      <c r="AH100" s="108">
        <v>0</v>
      </c>
      <c r="AI100" s="108">
        <v>0</v>
      </c>
      <c r="AJ100" s="108">
        <v>0</v>
      </c>
      <c r="AK100" s="108"/>
      <c r="AL100" s="108">
        <v>786000</v>
      </c>
      <c r="AM100" s="109">
        <v>661000</v>
      </c>
      <c r="AN100" s="78"/>
      <c r="AO100" s="348">
        <v>441700</v>
      </c>
      <c r="AP100" s="192">
        <f t="shared" si="63"/>
        <v>0.7</v>
      </c>
      <c r="AQ100" s="112">
        <f t="shared" si="82"/>
        <v>1.538505747126437</v>
      </c>
      <c r="AR100" s="82"/>
      <c r="AS100" s="113">
        <f t="shared" si="65"/>
        <v>471700</v>
      </c>
      <c r="AT100" s="114">
        <f t="shared" si="66"/>
        <v>0.5925879396984924</v>
      </c>
      <c r="AU100" s="115">
        <f t="shared" si="67"/>
        <v>324300</v>
      </c>
      <c r="AV100" s="86">
        <f t="shared" si="68"/>
        <v>0.7136157337367625</v>
      </c>
      <c r="AW100" s="185">
        <f t="shared" si="69"/>
        <v>189300</v>
      </c>
      <c r="AX100" s="186">
        <f t="shared" si="78"/>
        <v>282300</v>
      </c>
      <c r="AY100" s="88"/>
      <c r="AZ100" s="117">
        <f t="shared" si="79"/>
        <v>192043.47826086957</v>
      </c>
      <c r="BA100" s="118">
        <f t="shared" si="80"/>
        <v>245388.88888888888</v>
      </c>
      <c r="BB100" s="88"/>
      <c r="BC100" s="187">
        <v>29400</v>
      </c>
      <c r="BD100" s="91"/>
      <c r="BE100" s="92"/>
      <c r="BF100" s="93">
        <f t="shared" si="61"/>
        <v>2.1810185185185187</v>
      </c>
      <c r="BG100" s="92"/>
      <c r="BH100" s="92">
        <v>0</v>
      </c>
      <c r="BI100" s="94">
        <v>0</v>
      </c>
      <c r="BJ100" s="120" t="s">
        <v>155</v>
      </c>
      <c r="BK100" s="121" t="s">
        <v>54</v>
      </c>
      <c r="BL100" s="97">
        <f t="shared" si="47"/>
        <v>2.1810185185185187</v>
      </c>
      <c r="BM100" s="98"/>
      <c r="BN100" s="122">
        <f t="shared" si="81"/>
        <v>0.6375318066157761</v>
      </c>
      <c r="BO100" s="122">
        <f t="shared" si="48"/>
        <v>0.7580937972768532</v>
      </c>
      <c r="BP100" s="82"/>
      <c r="BQ100" s="123">
        <f t="shared" si="49"/>
        <v>29400</v>
      </c>
      <c r="BR100" s="101"/>
      <c r="BS100" s="92">
        <f t="shared" si="50"/>
        <v>216000</v>
      </c>
      <c r="BT100" s="92">
        <f t="shared" si="51"/>
        <v>471100</v>
      </c>
      <c r="BU100" s="124">
        <f t="shared" si="53"/>
        <v>1.1810185185185187</v>
      </c>
      <c r="BV100" s="65" t="s">
        <v>350</v>
      </c>
    </row>
    <row r="101" spans="1:74" ht="110.25" customHeight="1">
      <c r="A101" s="103">
        <v>44990260</v>
      </c>
      <c r="B101" s="104" t="s">
        <v>76</v>
      </c>
      <c r="C101" s="104" t="s">
        <v>47</v>
      </c>
      <c r="D101" s="104" t="s">
        <v>152</v>
      </c>
      <c r="E101" s="104" t="s">
        <v>160</v>
      </c>
      <c r="F101" s="105">
        <v>2477464</v>
      </c>
      <c r="G101" s="105">
        <v>0</v>
      </c>
      <c r="H101" s="105">
        <v>190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1.2</v>
      </c>
      <c r="O101" s="105">
        <v>0.8</v>
      </c>
      <c r="P101" s="184" t="s">
        <v>298</v>
      </c>
      <c r="Q101" s="108">
        <v>131000</v>
      </c>
      <c r="R101" s="108">
        <v>275000</v>
      </c>
      <c r="S101" s="108">
        <v>0</v>
      </c>
      <c r="T101" s="108">
        <v>0</v>
      </c>
      <c r="U101" s="108">
        <v>0</v>
      </c>
      <c r="V101" s="108">
        <v>0</v>
      </c>
      <c r="W101" s="108">
        <v>0</v>
      </c>
      <c r="X101" s="108">
        <v>0</v>
      </c>
      <c r="Y101" s="191"/>
      <c r="Z101" s="108">
        <v>0</v>
      </c>
      <c r="AA101" s="108">
        <v>0</v>
      </c>
      <c r="AB101" s="108">
        <v>0</v>
      </c>
      <c r="AC101" s="108">
        <v>0</v>
      </c>
      <c r="AD101" s="108">
        <v>0</v>
      </c>
      <c r="AE101" s="108">
        <v>0</v>
      </c>
      <c r="AF101" s="108">
        <v>0</v>
      </c>
      <c r="AG101" s="191"/>
      <c r="AH101" s="191"/>
      <c r="AI101" s="108">
        <v>100000</v>
      </c>
      <c r="AJ101" s="108">
        <v>165100</v>
      </c>
      <c r="AK101" s="108"/>
      <c r="AL101" s="108">
        <v>231000</v>
      </c>
      <c r="AM101" s="109">
        <v>380700</v>
      </c>
      <c r="AN101" s="78"/>
      <c r="AO101" s="348">
        <v>200000</v>
      </c>
      <c r="AP101" s="192">
        <f t="shared" si="63"/>
        <v>0.7272727272727273</v>
      </c>
      <c r="AQ101" s="112">
        <f t="shared" si="82"/>
        <v>0.5267175572519085</v>
      </c>
      <c r="AR101" s="82"/>
      <c r="AS101" s="113">
        <f t="shared" si="65"/>
        <v>365100</v>
      </c>
      <c r="AT101" s="114">
        <f t="shared" si="66"/>
        <v>1.5805194805194804</v>
      </c>
      <c r="AU101" s="115">
        <f t="shared" si="67"/>
        <v>0</v>
      </c>
      <c r="AV101" s="86">
        <f t="shared" si="68"/>
        <v>0.959022852639874</v>
      </c>
      <c r="AW101" s="185">
        <f t="shared" si="69"/>
        <v>15600</v>
      </c>
      <c r="AX101" s="186">
        <f t="shared" si="78"/>
        <v>0</v>
      </c>
      <c r="AY101" s="88"/>
      <c r="AZ101" s="117">
        <f t="shared" si="79"/>
        <v>166666.6666666667</v>
      </c>
      <c r="BA101" s="118">
        <f t="shared" si="80"/>
        <v>250000</v>
      </c>
      <c r="BB101" s="88"/>
      <c r="BC101" s="187">
        <v>0</v>
      </c>
      <c r="BD101" s="91"/>
      <c r="BE101" s="92">
        <f t="shared" si="59"/>
        <v>0</v>
      </c>
      <c r="BF101" s="93">
        <f t="shared" si="61"/>
        <v>1.5267175572519085</v>
      </c>
      <c r="BG101" s="92"/>
      <c r="BH101" s="92">
        <v>0</v>
      </c>
      <c r="BI101" s="94">
        <v>0</v>
      </c>
      <c r="BJ101" s="120" t="s">
        <v>155</v>
      </c>
      <c r="BK101" s="121" t="s">
        <v>51</v>
      </c>
      <c r="BL101" s="97">
        <f t="shared" si="47"/>
        <v>1.5267175572519085</v>
      </c>
      <c r="BM101" s="98"/>
      <c r="BN101" s="122">
        <f t="shared" si="81"/>
        <v>1.5805194805194804</v>
      </c>
      <c r="BO101" s="122">
        <f t="shared" si="48"/>
        <v>0.959022852639874</v>
      </c>
      <c r="BP101" s="82"/>
      <c r="BQ101" s="123">
        <f t="shared" si="49"/>
        <v>0</v>
      </c>
      <c r="BR101" s="101"/>
      <c r="BS101" s="92">
        <f t="shared" si="50"/>
        <v>131000</v>
      </c>
      <c r="BT101" s="92">
        <f t="shared" si="51"/>
        <v>200000</v>
      </c>
      <c r="BU101" s="124">
        <f t="shared" si="53"/>
        <v>0.5267175572519085</v>
      </c>
      <c r="BV101" s="65" t="s">
        <v>351</v>
      </c>
    </row>
    <row r="102" spans="1:74" ht="111" customHeight="1">
      <c r="A102" s="103">
        <v>44990260</v>
      </c>
      <c r="B102" s="104" t="s">
        <v>76</v>
      </c>
      <c r="C102" s="104" t="s">
        <v>47</v>
      </c>
      <c r="D102" s="104" t="s">
        <v>152</v>
      </c>
      <c r="E102" s="104" t="s">
        <v>161</v>
      </c>
      <c r="F102" s="105">
        <v>8119685</v>
      </c>
      <c r="G102" s="105">
        <v>0</v>
      </c>
      <c r="H102" s="105">
        <v>20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0.7</v>
      </c>
      <c r="O102" s="105">
        <v>0.5</v>
      </c>
      <c r="P102" s="184" t="s">
        <v>293</v>
      </c>
      <c r="Q102" s="108">
        <v>0</v>
      </c>
      <c r="R102" s="108">
        <v>226000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215000</v>
      </c>
      <c r="Z102" s="108">
        <v>170000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91"/>
      <c r="AH102" s="191"/>
      <c r="AI102" s="108">
        <v>29500</v>
      </c>
      <c r="AJ102" s="108">
        <v>6500</v>
      </c>
      <c r="AK102" s="108"/>
      <c r="AL102" s="108">
        <v>244500</v>
      </c>
      <c r="AM102" s="109">
        <v>402500</v>
      </c>
      <c r="AN102" s="78"/>
      <c r="AO102" s="348">
        <v>149000</v>
      </c>
      <c r="AP102" s="192">
        <f t="shared" si="63"/>
        <v>0.6592920353982301</v>
      </c>
      <c r="AQ102" s="112"/>
      <c r="AR102" s="82"/>
      <c r="AS102" s="113">
        <f t="shared" si="65"/>
        <v>325500</v>
      </c>
      <c r="AT102" s="114">
        <f t="shared" si="66"/>
        <v>1.3312883435582823</v>
      </c>
      <c r="AU102" s="115">
        <f t="shared" si="67"/>
        <v>0</v>
      </c>
      <c r="AV102" s="86">
        <f t="shared" si="68"/>
        <v>0.808695652173913</v>
      </c>
      <c r="AW102" s="185">
        <f t="shared" si="69"/>
        <v>77000</v>
      </c>
      <c r="AX102" s="186">
        <f t="shared" si="78"/>
        <v>0</v>
      </c>
      <c r="AY102" s="88"/>
      <c r="AZ102" s="117">
        <f t="shared" si="79"/>
        <v>212857.14285714287</v>
      </c>
      <c r="BA102" s="118">
        <f t="shared" si="80"/>
        <v>298000</v>
      </c>
      <c r="BB102" s="88"/>
      <c r="BC102" s="187">
        <v>0</v>
      </c>
      <c r="BD102" s="91"/>
      <c r="BE102" s="92">
        <f t="shared" si="59"/>
        <v>0</v>
      </c>
      <c r="BF102" s="93"/>
      <c r="BG102" s="92"/>
      <c r="BH102" s="92">
        <v>0</v>
      </c>
      <c r="BI102" s="94">
        <v>0</v>
      </c>
      <c r="BJ102" s="120" t="s">
        <v>155</v>
      </c>
      <c r="BK102" s="121" t="s">
        <v>51</v>
      </c>
      <c r="BL102" s="97" t="e">
        <f t="shared" si="47"/>
        <v>#DIV/0!</v>
      </c>
      <c r="BM102" s="98"/>
      <c r="BN102" s="122">
        <f t="shared" si="81"/>
        <v>1.3312883435582823</v>
      </c>
      <c r="BO102" s="122">
        <f t="shared" si="48"/>
        <v>0.808695652173913</v>
      </c>
      <c r="BP102" s="82"/>
      <c r="BQ102" s="123">
        <f t="shared" si="49"/>
        <v>0</v>
      </c>
      <c r="BR102" s="101"/>
      <c r="BS102" s="92">
        <f t="shared" si="50"/>
        <v>0</v>
      </c>
      <c r="BT102" s="92">
        <f t="shared" si="51"/>
        <v>149000</v>
      </c>
      <c r="BU102" s="124"/>
      <c r="BV102" s="65" t="s">
        <v>351</v>
      </c>
    </row>
    <row r="103" spans="1:74" ht="71.25">
      <c r="A103" s="103">
        <v>44990260</v>
      </c>
      <c r="B103" s="104" t="s">
        <v>76</v>
      </c>
      <c r="C103" s="104" t="s">
        <v>47</v>
      </c>
      <c r="D103" s="104" t="s">
        <v>152</v>
      </c>
      <c r="E103" s="104" t="s">
        <v>162</v>
      </c>
      <c r="F103" s="105">
        <v>9851641</v>
      </c>
      <c r="G103" s="105">
        <v>0</v>
      </c>
      <c r="H103" s="105">
        <v>17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0.9</v>
      </c>
      <c r="O103" s="105">
        <v>0.9</v>
      </c>
      <c r="P103" s="184" t="s">
        <v>299</v>
      </c>
      <c r="Q103" s="108">
        <v>232000</v>
      </c>
      <c r="R103" s="108">
        <v>277000</v>
      </c>
      <c r="S103" s="108">
        <v>0</v>
      </c>
      <c r="T103" s="108">
        <v>0</v>
      </c>
      <c r="U103" s="108">
        <v>0</v>
      </c>
      <c r="V103" s="108">
        <v>0</v>
      </c>
      <c r="W103" s="108">
        <v>0</v>
      </c>
      <c r="X103" s="108">
        <v>40000</v>
      </c>
      <c r="Y103" s="108">
        <v>30000</v>
      </c>
      <c r="Z103" s="108">
        <v>37000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08">
        <v>0</v>
      </c>
      <c r="AG103" s="108">
        <v>0</v>
      </c>
      <c r="AH103" s="191"/>
      <c r="AI103" s="108">
        <v>23000</v>
      </c>
      <c r="AJ103" s="108">
        <v>1400</v>
      </c>
      <c r="AK103" s="108"/>
      <c r="AL103" s="108">
        <v>285000</v>
      </c>
      <c r="AM103" s="109">
        <v>355400</v>
      </c>
      <c r="AN103" s="78"/>
      <c r="AO103" s="348">
        <v>240000</v>
      </c>
      <c r="AP103" s="192">
        <f t="shared" si="63"/>
        <v>0.8664259927797834</v>
      </c>
      <c r="AQ103" s="112">
        <f>-1+AO103/Q103</f>
        <v>0.034482758620689724</v>
      </c>
      <c r="AR103" s="82"/>
      <c r="AS103" s="113">
        <f t="shared" si="65"/>
        <v>278400</v>
      </c>
      <c r="AT103" s="114">
        <f t="shared" si="66"/>
        <v>0.9768421052631578</v>
      </c>
      <c r="AU103" s="115">
        <f t="shared" si="67"/>
        <v>6600</v>
      </c>
      <c r="AV103" s="86">
        <f t="shared" si="68"/>
        <v>0.7833427124366911</v>
      </c>
      <c r="AW103" s="185">
        <f t="shared" si="69"/>
        <v>77000</v>
      </c>
      <c r="AX103" s="186">
        <f t="shared" si="78"/>
        <v>6600</v>
      </c>
      <c r="AY103" s="88"/>
      <c r="AZ103" s="117">
        <f t="shared" si="79"/>
        <v>266666.6666666667</v>
      </c>
      <c r="BA103" s="118">
        <f t="shared" si="80"/>
        <v>266666.6666666667</v>
      </c>
      <c r="BB103" s="88"/>
      <c r="BC103" s="187">
        <v>0</v>
      </c>
      <c r="BD103" s="91">
        <f>(Q103+W103)*1.1-AO103-BC103</f>
        <v>15200.00000000003</v>
      </c>
      <c r="BE103" s="92">
        <v>0</v>
      </c>
      <c r="BF103" s="93">
        <f t="shared" si="61"/>
        <v>1.0344827586206897</v>
      </c>
      <c r="BG103" s="92"/>
      <c r="BH103" s="92">
        <v>0</v>
      </c>
      <c r="BI103" s="94">
        <v>0</v>
      </c>
      <c r="BJ103" s="120" t="s">
        <v>155</v>
      </c>
      <c r="BK103" s="121" t="s">
        <v>51</v>
      </c>
      <c r="BL103" s="97">
        <f t="shared" si="47"/>
        <v>1.0344827586206897</v>
      </c>
      <c r="BM103" s="98"/>
      <c r="BN103" s="122">
        <f t="shared" si="81"/>
        <v>0.9768421052631578</v>
      </c>
      <c r="BO103" s="122">
        <f t="shared" si="48"/>
        <v>0.7833427124366911</v>
      </c>
      <c r="BP103" s="82"/>
      <c r="BQ103" s="123">
        <f t="shared" si="49"/>
        <v>0</v>
      </c>
      <c r="BR103" s="101"/>
      <c r="BS103" s="92">
        <f t="shared" si="50"/>
        <v>232000</v>
      </c>
      <c r="BT103" s="92">
        <f t="shared" si="51"/>
        <v>240000</v>
      </c>
      <c r="BU103" s="124">
        <f t="shared" si="53"/>
        <v>0.034482758620689724</v>
      </c>
      <c r="BV103" s="65" t="s">
        <v>352</v>
      </c>
    </row>
    <row r="104" spans="1:74" ht="51">
      <c r="A104" s="103">
        <v>44990260</v>
      </c>
      <c r="B104" s="104" t="s">
        <v>76</v>
      </c>
      <c r="C104" s="104" t="s">
        <v>47</v>
      </c>
      <c r="D104" s="104" t="s">
        <v>152</v>
      </c>
      <c r="E104" s="104" t="s">
        <v>163</v>
      </c>
      <c r="F104" s="105">
        <v>6653334</v>
      </c>
      <c r="G104" s="105">
        <v>0</v>
      </c>
      <c r="H104" s="105">
        <v>22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3.4</v>
      </c>
      <c r="O104" s="105">
        <v>2.7</v>
      </c>
      <c r="P104" s="184" t="s">
        <v>287</v>
      </c>
      <c r="Q104" s="108">
        <v>898000</v>
      </c>
      <c r="R104" s="108">
        <v>1090000</v>
      </c>
      <c r="S104" s="108">
        <v>0</v>
      </c>
      <c r="T104" s="108">
        <v>0</v>
      </c>
      <c r="U104" s="108">
        <v>64591</v>
      </c>
      <c r="V104" s="108">
        <v>0</v>
      </c>
      <c r="W104" s="108">
        <v>195152</v>
      </c>
      <c r="X104" s="108">
        <v>250000</v>
      </c>
      <c r="Y104" s="108">
        <v>250000</v>
      </c>
      <c r="Z104" s="108">
        <v>250000</v>
      </c>
      <c r="AA104" s="108">
        <v>0</v>
      </c>
      <c r="AB104" s="108">
        <v>0</v>
      </c>
      <c r="AC104" s="108">
        <v>10561</v>
      </c>
      <c r="AD104" s="108">
        <v>0</v>
      </c>
      <c r="AE104" s="108">
        <v>0</v>
      </c>
      <c r="AF104" s="108">
        <v>0</v>
      </c>
      <c r="AG104" s="108">
        <v>0</v>
      </c>
      <c r="AH104" s="191"/>
      <c r="AI104" s="108">
        <v>33645</v>
      </c>
      <c r="AJ104" s="108">
        <v>44000</v>
      </c>
      <c r="AK104" s="108">
        <v>1451948</v>
      </c>
      <c r="AL104" s="108">
        <v>1478920</v>
      </c>
      <c r="AM104" s="109">
        <v>1634000</v>
      </c>
      <c r="AN104" s="78"/>
      <c r="AO104" s="348">
        <v>701000</v>
      </c>
      <c r="AP104" s="192">
        <f t="shared" si="63"/>
        <v>0.6431192660550459</v>
      </c>
      <c r="AQ104" s="112">
        <f>-1+AO104/Q104</f>
        <v>-0.21937639198218262</v>
      </c>
      <c r="AR104" s="82"/>
      <c r="AS104" s="113">
        <f t="shared" si="65"/>
        <v>995000</v>
      </c>
      <c r="AT104" s="114">
        <f t="shared" si="66"/>
        <v>0.6852857779439911</v>
      </c>
      <c r="AU104" s="115">
        <f t="shared" si="67"/>
        <v>456949</v>
      </c>
      <c r="AV104" s="86">
        <f t="shared" si="68"/>
        <v>0.6089351285189718</v>
      </c>
      <c r="AW104" s="185">
        <f t="shared" si="69"/>
        <v>639000</v>
      </c>
      <c r="AX104" s="186">
        <f t="shared" si="78"/>
        <v>261797</v>
      </c>
      <c r="AY104" s="88"/>
      <c r="AZ104" s="117">
        <f t="shared" si="79"/>
        <v>206176.4705882353</v>
      </c>
      <c r="BA104" s="118">
        <f t="shared" si="80"/>
        <v>259629.6296296296</v>
      </c>
      <c r="BB104" s="88"/>
      <c r="BC104" s="187">
        <v>136606</v>
      </c>
      <c r="BD104" s="91">
        <f>(Q104+W104)*1.1-AO104-BC104</f>
        <v>364861.2000000002</v>
      </c>
      <c r="BE104" s="92">
        <f t="shared" si="59"/>
        <v>113394</v>
      </c>
      <c r="BF104" s="93">
        <f t="shared" si="61"/>
        <v>0.8699613594449811</v>
      </c>
      <c r="BG104" s="92"/>
      <c r="BH104" s="92">
        <v>113394</v>
      </c>
      <c r="BI104" s="94">
        <v>146230</v>
      </c>
      <c r="BJ104" s="120" t="s">
        <v>155</v>
      </c>
      <c r="BK104" s="121" t="s">
        <v>51</v>
      </c>
      <c r="BL104" s="97">
        <f t="shared" si="47"/>
        <v>0.8699613594449811</v>
      </c>
      <c r="BM104" s="98">
        <f>(0.9*(Q104+S104+W104))-(T104+AO104+BC104+BH104)</f>
        <v>32836.80000000005</v>
      </c>
      <c r="BN104" s="122">
        <f t="shared" si="81"/>
        <v>0.8640332134260136</v>
      </c>
      <c r="BO104" s="122">
        <f t="shared" si="48"/>
        <v>0.7820293757649939</v>
      </c>
      <c r="BP104" s="82"/>
      <c r="BQ104" s="123">
        <f t="shared" si="49"/>
        <v>282836</v>
      </c>
      <c r="BR104" s="101"/>
      <c r="BS104" s="92">
        <f t="shared" si="50"/>
        <v>1093152</v>
      </c>
      <c r="BT104" s="92">
        <f t="shared" si="51"/>
        <v>983836</v>
      </c>
      <c r="BU104" s="124">
        <f t="shared" si="53"/>
        <v>-0.10000073182869351</v>
      </c>
      <c r="BV104" s="65" t="s">
        <v>328</v>
      </c>
    </row>
    <row r="105" spans="1:74" ht="85.5">
      <c r="A105" s="103">
        <v>44990260</v>
      </c>
      <c r="B105" s="104" t="s">
        <v>76</v>
      </c>
      <c r="C105" s="104" t="s">
        <v>47</v>
      </c>
      <c r="D105" s="104" t="s">
        <v>152</v>
      </c>
      <c r="E105" s="104" t="s">
        <v>164</v>
      </c>
      <c r="F105" s="105">
        <v>4025786</v>
      </c>
      <c r="G105" s="105">
        <v>0</v>
      </c>
      <c r="H105" s="105">
        <v>54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3.7</v>
      </c>
      <c r="O105" s="105">
        <v>2.8</v>
      </c>
      <c r="P105" s="184" t="s">
        <v>289</v>
      </c>
      <c r="Q105" s="108">
        <v>656000</v>
      </c>
      <c r="R105" s="108">
        <v>876000</v>
      </c>
      <c r="S105" s="108">
        <v>0</v>
      </c>
      <c r="T105" s="108">
        <v>0</v>
      </c>
      <c r="U105" s="191"/>
      <c r="V105" s="108">
        <v>0</v>
      </c>
      <c r="W105" s="108">
        <v>131391</v>
      </c>
      <c r="X105" s="108">
        <v>170000</v>
      </c>
      <c r="Y105" s="108">
        <v>104889</v>
      </c>
      <c r="Z105" s="108">
        <v>280000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13281</v>
      </c>
      <c r="AJ105" s="108">
        <v>2500</v>
      </c>
      <c r="AK105" s="108">
        <v>905561</v>
      </c>
      <c r="AL105" s="108">
        <v>905618</v>
      </c>
      <c r="AM105" s="109">
        <v>1328500</v>
      </c>
      <c r="AN105" s="78"/>
      <c r="AO105" s="348">
        <v>700000</v>
      </c>
      <c r="AP105" s="192">
        <f t="shared" si="63"/>
        <v>0.7990867579908676</v>
      </c>
      <c r="AQ105" s="112">
        <f>-1+AO105/Q105</f>
        <v>0.06707317073170738</v>
      </c>
      <c r="AR105" s="82"/>
      <c r="AS105" s="113">
        <f t="shared" si="65"/>
        <v>982500</v>
      </c>
      <c r="AT105" s="114">
        <f t="shared" si="66"/>
        <v>1.0849628020641349</v>
      </c>
      <c r="AU105" s="115">
        <f t="shared" si="67"/>
        <v>0</v>
      </c>
      <c r="AV105" s="86">
        <f t="shared" si="68"/>
        <v>0.7395558901016184</v>
      </c>
      <c r="AW105" s="185">
        <f t="shared" si="69"/>
        <v>346000</v>
      </c>
      <c r="AX105" s="186">
        <f t="shared" si="78"/>
        <v>0</v>
      </c>
      <c r="AY105" s="88"/>
      <c r="AZ105" s="117">
        <f t="shared" si="79"/>
        <v>189189.18918918917</v>
      </c>
      <c r="BA105" s="118">
        <f t="shared" si="80"/>
        <v>250000.00000000003</v>
      </c>
      <c r="BB105" s="88"/>
      <c r="BC105" s="187">
        <v>22600</v>
      </c>
      <c r="BD105" s="91">
        <f>(Q105+W105)*1.1-AO105-BC105</f>
        <v>143530.1000000001</v>
      </c>
      <c r="BE105" s="92">
        <f t="shared" si="59"/>
        <v>143530.1000000001</v>
      </c>
      <c r="BF105" s="93">
        <f t="shared" si="61"/>
        <v>1.1</v>
      </c>
      <c r="BG105" s="92"/>
      <c r="BH105" s="92">
        <v>143530</v>
      </c>
      <c r="BI105" s="94">
        <v>143530</v>
      </c>
      <c r="BJ105" s="120" t="s">
        <v>155</v>
      </c>
      <c r="BK105" s="121" t="s">
        <v>51</v>
      </c>
      <c r="BL105" s="97">
        <f t="shared" si="47"/>
        <v>1.0999998729982943</v>
      </c>
      <c r="BM105" s="98"/>
      <c r="BN105" s="122">
        <f t="shared" si="81"/>
        <v>1.268338305996568</v>
      </c>
      <c r="BO105" s="122">
        <f t="shared" si="48"/>
        <v>0.8646066992849077</v>
      </c>
      <c r="BP105" s="82"/>
      <c r="BQ105" s="123">
        <f t="shared" si="49"/>
        <v>166130</v>
      </c>
      <c r="BR105" s="101"/>
      <c r="BS105" s="92">
        <f t="shared" si="50"/>
        <v>787391</v>
      </c>
      <c r="BT105" s="92">
        <f t="shared" si="51"/>
        <v>866130</v>
      </c>
      <c r="BU105" s="124">
        <f t="shared" si="53"/>
        <v>0.09999987299829427</v>
      </c>
      <c r="BV105" s="65" t="s">
        <v>355</v>
      </c>
    </row>
    <row r="106" spans="1:74" ht="85.5">
      <c r="A106" s="103">
        <v>70188467</v>
      </c>
      <c r="B106" s="104" t="s">
        <v>58</v>
      </c>
      <c r="C106" s="104" t="s">
        <v>59</v>
      </c>
      <c r="D106" s="104" t="s">
        <v>152</v>
      </c>
      <c r="E106" s="104" t="s">
        <v>158</v>
      </c>
      <c r="F106" s="105">
        <v>7771893</v>
      </c>
      <c r="G106" s="105">
        <v>0</v>
      </c>
      <c r="H106" s="105">
        <v>60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2.8</v>
      </c>
      <c r="O106" s="105">
        <v>2.8</v>
      </c>
      <c r="P106" s="184" t="s">
        <v>282</v>
      </c>
      <c r="Q106" s="108">
        <v>263000</v>
      </c>
      <c r="R106" s="108">
        <v>90000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80000</v>
      </c>
      <c r="Y106" s="108">
        <v>0</v>
      </c>
      <c r="Z106" s="108">
        <v>0</v>
      </c>
      <c r="AA106" s="108">
        <v>85000</v>
      </c>
      <c r="AB106" s="108">
        <v>546700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/>
      <c r="AL106" s="108">
        <v>348000</v>
      </c>
      <c r="AM106" s="109">
        <v>716700</v>
      </c>
      <c r="AN106" s="78"/>
      <c r="AO106" s="348">
        <v>90000</v>
      </c>
      <c r="AP106" s="192">
        <f t="shared" si="63"/>
        <v>1</v>
      </c>
      <c r="AQ106" s="112">
        <f>-1+AO106/Q106</f>
        <v>-0.6577946768060836</v>
      </c>
      <c r="AR106" s="82"/>
      <c r="AS106" s="113">
        <f t="shared" si="65"/>
        <v>636700</v>
      </c>
      <c r="AT106" s="114">
        <f t="shared" si="66"/>
        <v>1.8295977011494253</v>
      </c>
      <c r="AU106" s="115">
        <f t="shared" si="67"/>
        <v>0</v>
      </c>
      <c r="AV106" s="86">
        <f t="shared" si="68"/>
        <v>0.8883772847774523</v>
      </c>
      <c r="AW106" s="185">
        <f t="shared" si="69"/>
        <v>80000</v>
      </c>
      <c r="AX106" s="186">
        <f t="shared" si="78"/>
        <v>0</v>
      </c>
      <c r="AY106" s="88"/>
      <c r="AZ106" s="117">
        <f t="shared" si="79"/>
        <v>32142.857142857145</v>
      </c>
      <c r="BA106" s="118">
        <f t="shared" si="80"/>
        <v>32142.857142857145</v>
      </c>
      <c r="BB106" s="88"/>
      <c r="BC106" s="187">
        <v>0</v>
      </c>
      <c r="BD106" s="91">
        <f>(Q106+W106)*1.1-AO106-BC106</f>
        <v>199300</v>
      </c>
      <c r="BE106" s="92">
        <v>0</v>
      </c>
      <c r="BF106" s="93">
        <f t="shared" si="61"/>
        <v>0.34220532319391633</v>
      </c>
      <c r="BG106" s="92">
        <v>0</v>
      </c>
      <c r="BH106" s="92">
        <v>0</v>
      </c>
      <c r="BI106" s="94">
        <v>0</v>
      </c>
      <c r="BJ106" s="120" t="s">
        <v>155</v>
      </c>
      <c r="BK106" s="121" t="s">
        <v>60</v>
      </c>
      <c r="BL106" s="97">
        <f t="shared" si="47"/>
        <v>0.34220532319391633</v>
      </c>
      <c r="BM106" s="98"/>
      <c r="BN106" s="122">
        <f t="shared" si="81"/>
        <v>1.8295977011494253</v>
      </c>
      <c r="BO106" s="122">
        <f t="shared" si="48"/>
        <v>0.8883772847774523</v>
      </c>
      <c r="BP106" s="82"/>
      <c r="BQ106" s="123">
        <f t="shared" si="49"/>
        <v>0</v>
      </c>
      <c r="BR106" s="101"/>
      <c r="BS106" s="92">
        <f t="shared" si="50"/>
        <v>263000</v>
      </c>
      <c r="BT106" s="92">
        <f t="shared" si="51"/>
        <v>90000</v>
      </c>
      <c r="BU106" s="124">
        <f t="shared" si="53"/>
        <v>-0.6577946768060836</v>
      </c>
      <c r="BV106" s="65" t="s">
        <v>356</v>
      </c>
    </row>
    <row r="107" spans="1:74" ht="57">
      <c r="A107" s="103">
        <v>70870896</v>
      </c>
      <c r="B107" s="104" t="s">
        <v>114</v>
      </c>
      <c r="C107" s="104" t="s">
        <v>47</v>
      </c>
      <c r="D107" s="104" t="s">
        <v>152</v>
      </c>
      <c r="E107" s="104" t="s">
        <v>165</v>
      </c>
      <c r="F107" s="105">
        <v>8658757</v>
      </c>
      <c r="G107" s="106"/>
      <c r="H107" s="105">
        <v>35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1.3</v>
      </c>
      <c r="O107" s="105">
        <v>1</v>
      </c>
      <c r="P107" s="184" t="s">
        <v>289</v>
      </c>
      <c r="Q107" s="108">
        <v>0</v>
      </c>
      <c r="R107" s="108">
        <v>335600</v>
      </c>
      <c r="S107" s="108">
        <v>0</v>
      </c>
      <c r="T107" s="108">
        <v>0</v>
      </c>
      <c r="U107" s="108">
        <v>0</v>
      </c>
      <c r="V107" s="108">
        <v>0</v>
      </c>
      <c r="W107" s="108">
        <v>120000</v>
      </c>
      <c r="X107" s="108">
        <v>80000</v>
      </c>
      <c r="Y107" s="108">
        <v>45000</v>
      </c>
      <c r="Z107" s="108">
        <v>39000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08">
        <v>0</v>
      </c>
      <c r="AG107" s="108">
        <v>340000</v>
      </c>
      <c r="AH107" s="108">
        <v>0</v>
      </c>
      <c r="AI107" s="108">
        <v>11310</v>
      </c>
      <c r="AJ107" s="108">
        <v>0</v>
      </c>
      <c r="AK107" s="108"/>
      <c r="AL107" s="108">
        <v>505000</v>
      </c>
      <c r="AM107" s="109">
        <v>465910</v>
      </c>
      <c r="AN107" s="78"/>
      <c r="AO107" s="348">
        <v>234900</v>
      </c>
      <c r="AP107" s="192">
        <f t="shared" si="63"/>
        <v>0.6999404052443385</v>
      </c>
      <c r="AQ107" s="112"/>
      <c r="AR107" s="82"/>
      <c r="AS107" s="113">
        <f t="shared" si="65"/>
        <v>273900</v>
      </c>
      <c r="AT107" s="114">
        <f t="shared" si="66"/>
        <v>0.5304952451046852</v>
      </c>
      <c r="AU107" s="115">
        <f t="shared" si="67"/>
        <v>242410</v>
      </c>
      <c r="AV107" s="86">
        <f t="shared" si="68"/>
        <v>0.5878817797428688</v>
      </c>
      <c r="AW107" s="185">
        <f t="shared" si="69"/>
        <v>192010</v>
      </c>
      <c r="AX107" s="186">
        <f t="shared" si="78"/>
        <v>122410</v>
      </c>
      <c r="AY107" s="88"/>
      <c r="AZ107" s="117">
        <f t="shared" si="79"/>
        <v>180692.3076923077</v>
      </c>
      <c r="BA107" s="118">
        <f t="shared" si="80"/>
        <v>234900</v>
      </c>
      <c r="BB107" s="88"/>
      <c r="BC107" s="187">
        <v>84000</v>
      </c>
      <c r="BD107" s="91"/>
      <c r="BE107" s="92">
        <v>0</v>
      </c>
      <c r="BF107" s="93">
        <f t="shared" si="61"/>
        <v>2.6575</v>
      </c>
      <c r="BG107" s="92"/>
      <c r="BH107" s="92">
        <v>0</v>
      </c>
      <c r="BI107" s="94">
        <v>0</v>
      </c>
      <c r="BJ107" s="120" t="s">
        <v>155</v>
      </c>
      <c r="BK107" s="121" t="s">
        <v>56</v>
      </c>
      <c r="BL107" s="97">
        <f t="shared" si="47"/>
        <v>2.6575</v>
      </c>
      <c r="BM107" s="98"/>
      <c r="BN107" s="122">
        <f t="shared" si="81"/>
        <v>0.7087128712871287</v>
      </c>
      <c r="BO107" s="122">
        <f t="shared" si="48"/>
        <v>0.7681741108797836</v>
      </c>
      <c r="BP107" s="82"/>
      <c r="BQ107" s="123">
        <f t="shared" si="49"/>
        <v>84000</v>
      </c>
      <c r="BR107" s="101"/>
      <c r="BS107" s="92">
        <f t="shared" si="50"/>
        <v>120000</v>
      </c>
      <c r="BT107" s="92">
        <f t="shared" si="51"/>
        <v>318900</v>
      </c>
      <c r="BU107" s="124">
        <f t="shared" si="53"/>
        <v>1.6575000000000002</v>
      </c>
      <c r="BV107" s="65" t="s">
        <v>350</v>
      </c>
    </row>
    <row r="108" spans="1:74" ht="86.25" thickBot="1">
      <c r="A108" s="125">
        <v>70955751</v>
      </c>
      <c r="B108" s="126" t="s">
        <v>166</v>
      </c>
      <c r="C108" s="126" t="s">
        <v>47</v>
      </c>
      <c r="D108" s="126" t="s">
        <v>152</v>
      </c>
      <c r="E108" s="126" t="s">
        <v>167</v>
      </c>
      <c r="F108" s="127">
        <v>2996635</v>
      </c>
      <c r="G108" s="281"/>
      <c r="H108" s="127">
        <v>35</v>
      </c>
      <c r="I108" s="127">
        <v>0</v>
      </c>
      <c r="J108" s="127">
        <v>0</v>
      </c>
      <c r="K108" s="127">
        <v>0</v>
      </c>
      <c r="L108" s="127">
        <v>0</v>
      </c>
      <c r="M108" s="127">
        <v>0</v>
      </c>
      <c r="N108" s="127">
        <v>0.4</v>
      </c>
      <c r="O108" s="127">
        <v>0</v>
      </c>
      <c r="P108" s="242" t="s">
        <v>280</v>
      </c>
      <c r="Q108" s="129">
        <v>0</v>
      </c>
      <c r="R108" s="129">
        <v>128600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  <c r="X108" s="129">
        <v>0</v>
      </c>
      <c r="Y108" s="129">
        <v>0</v>
      </c>
      <c r="Z108" s="129">
        <v>0</v>
      </c>
      <c r="AA108" s="129">
        <v>10000</v>
      </c>
      <c r="AB108" s="129">
        <v>0</v>
      </c>
      <c r="AC108" s="129">
        <v>0</v>
      </c>
      <c r="AD108" s="129">
        <v>0</v>
      </c>
      <c r="AE108" s="129">
        <v>0</v>
      </c>
      <c r="AF108" s="129">
        <v>0</v>
      </c>
      <c r="AG108" s="129">
        <v>0</v>
      </c>
      <c r="AH108" s="129">
        <v>0</v>
      </c>
      <c r="AI108" s="129">
        <v>5000</v>
      </c>
      <c r="AJ108" s="129">
        <v>0</v>
      </c>
      <c r="AK108" s="129"/>
      <c r="AL108" s="129">
        <v>15000</v>
      </c>
      <c r="AM108" s="130">
        <v>128600</v>
      </c>
      <c r="AN108" s="78"/>
      <c r="AO108" s="349">
        <v>117000</v>
      </c>
      <c r="AP108" s="135">
        <f t="shared" si="63"/>
        <v>0.9097978227060654</v>
      </c>
      <c r="AQ108" s="131"/>
      <c r="AR108" s="82"/>
      <c r="AS108" s="132">
        <f t="shared" si="65"/>
        <v>117000</v>
      </c>
      <c r="AT108" s="133">
        <f t="shared" si="66"/>
        <v>7.8</v>
      </c>
      <c r="AU108" s="134">
        <f t="shared" si="67"/>
        <v>0</v>
      </c>
      <c r="AV108" s="135">
        <f t="shared" si="68"/>
        <v>0.9097978227060654</v>
      </c>
      <c r="AW108" s="248">
        <f t="shared" si="69"/>
        <v>11600</v>
      </c>
      <c r="AX108" s="249">
        <f t="shared" si="78"/>
        <v>0</v>
      </c>
      <c r="AY108" s="88"/>
      <c r="AZ108" s="137">
        <f t="shared" si="79"/>
        <v>292500</v>
      </c>
      <c r="BA108" s="138" t="e">
        <f t="shared" si="80"/>
        <v>#DIV/0!</v>
      </c>
      <c r="BB108" s="88"/>
      <c r="BC108" s="287">
        <v>0</v>
      </c>
      <c r="BD108" s="140"/>
      <c r="BE108" s="141">
        <f t="shared" si="59"/>
        <v>0</v>
      </c>
      <c r="BF108" s="142"/>
      <c r="BG108" s="141"/>
      <c r="BH108" s="141">
        <v>0</v>
      </c>
      <c r="BI108" s="143">
        <v>0</v>
      </c>
      <c r="BJ108" s="144" t="s">
        <v>155</v>
      </c>
      <c r="BK108" s="145" t="s">
        <v>56</v>
      </c>
      <c r="BL108" s="97" t="e">
        <f t="shared" si="47"/>
        <v>#DIV/0!</v>
      </c>
      <c r="BM108" s="98"/>
      <c r="BN108" s="146">
        <f t="shared" si="81"/>
        <v>7.8</v>
      </c>
      <c r="BO108" s="146">
        <f t="shared" si="48"/>
        <v>0.9097978227060654</v>
      </c>
      <c r="BP108" s="82"/>
      <c r="BQ108" s="147">
        <f t="shared" si="49"/>
        <v>0</v>
      </c>
      <c r="BR108" s="101"/>
      <c r="BS108" s="141">
        <f t="shared" si="50"/>
        <v>0</v>
      </c>
      <c r="BT108" s="141">
        <f t="shared" si="51"/>
        <v>117000</v>
      </c>
      <c r="BU108" s="235"/>
      <c r="BV108" s="66" t="s">
        <v>356</v>
      </c>
    </row>
    <row r="109" spans="1:74" ht="15" thickBot="1">
      <c r="A109" s="167" t="s">
        <v>61</v>
      </c>
      <c r="B109" s="71"/>
      <c r="C109" s="71"/>
      <c r="D109" s="71"/>
      <c r="E109" s="7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2">
        <f>SUM(Q95:Q108)</f>
        <v>3069500</v>
      </c>
      <c r="R109" s="152">
        <f aca="true" t="shared" si="83" ref="R109:AM109">SUM(R95:R108)</f>
        <v>5217072</v>
      </c>
      <c r="S109" s="152">
        <f t="shared" si="83"/>
        <v>11932</v>
      </c>
      <c r="T109" s="152">
        <f t="shared" si="83"/>
        <v>0</v>
      </c>
      <c r="U109" s="152">
        <f t="shared" si="83"/>
        <v>203091</v>
      </c>
      <c r="V109" s="152">
        <f t="shared" si="83"/>
        <v>60000</v>
      </c>
      <c r="W109" s="152">
        <f t="shared" si="83"/>
        <v>736157</v>
      </c>
      <c r="X109" s="152">
        <f t="shared" si="83"/>
        <v>897000</v>
      </c>
      <c r="Y109" s="152">
        <f t="shared" si="83"/>
        <v>730372</v>
      </c>
      <c r="Z109" s="152">
        <f t="shared" si="83"/>
        <v>949000</v>
      </c>
      <c r="AA109" s="152">
        <f t="shared" si="83"/>
        <v>95000</v>
      </c>
      <c r="AB109" s="152">
        <f t="shared" si="83"/>
        <v>546700</v>
      </c>
      <c r="AC109" s="152">
        <f t="shared" si="83"/>
        <v>10561</v>
      </c>
      <c r="AD109" s="152">
        <f t="shared" si="83"/>
        <v>0</v>
      </c>
      <c r="AE109" s="152">
        <f t="shared" si="83"/>
        <v>0</v>
      </c>
      <c r="AF109" s="152">
        <f t="shared" si="83"/>
        <v>0</v>
      </c>
      <c r="AG109" s="152">
        <f t="shared" si="83"/>
        <v>840000</v>
      </c>
      <c r="AH109" s="152">
        <f t="shared" si="83"/>
        <v>0</v>
      </c>
      <c r="AI109" s="152">
        <f t="shared" si="83"/>
        <v>459136</v>
      </c>
      <c r="AJ109" s="152">
        <f t="shared" si="83"/>
        <v>395468</v>
      </c>
      <c r="AK109" s="152"/>
      <c r="AL109" s="152">
        <f t="shared" si="83"/>
        <v>6161467</v>
      </c>
      <c r="AM109" s="154">
        <f t="shared" si="83"/>
        <v>8017150</v>
      </c>
      <c r="AN109" s="153"/>
      <c r="AO109" s="154">
        <f>SUM(AO95:AO108)</f>
        <v>3686600</v>
      </c>
      <c r="AP109" s="41">
        <f t="shared" si="63"/>
        <v>0.706641579798017</v>
      </c>
      <c r="AQ109" s="40">
        <f>-1+AO109/Q109</f>
        <v>0.2010425150676005</v>
      </c>
      <c r="AR109" s="1"/>
      <c r="AS109" s="155">
        <f t="shared" si="65"/>
        <v>5637768</v>
      </c>
      <c r="AT109" s="207">
        <f t="shared" si="66"/>
        <v>0.9158541064621056</v>
      </c>
      <c r="AU109" s="156">
        <f>SUM(AU95:AU108)</f>
        <v>1268555</v>
      </c>
      <c r="AV109" s="157">
        <f t="shared" si="68"/>
        <v>0.7032134860891963</v>
      </c>
      <c r="AW109" s="156">
        <f>SUM(AW95:AW108)</f>
        <v>2379382</v>
      </c>
      <c r="AX109" s="210">
        <f>SUM(AX95:AX108)</f>
        <v>760857</v>
      </c>
      <c r="AY109" s="88"/>
      <c r="AZ109" s="158"/>
      <c r="BA109" s="158"/>
      <c r="BB109" s="88"/>
      <c r="BC109" s="160">
        <f>SUM(BC95:BC108)</f>
        <v>424166</v>
      </c>
      <c r="BD109" s="160">
        <f>SUM(BD95:BD108)</f>
        <v>906066.7000000004</v>
      </c>
      <c r="BE109" s="161">
        <f>SUM(BE95:BE108)</f>
        <v>305174.5000000001</v>
      </c>
      <c r="BF109" s="160"/>
      <c r="BG109" s="161">
        <f>SUM(BG95:BG108)</f>
        <v>0</v>
      </c>
      <c r="BH109" s="161">
        <f>SUM(BH95:BH108)</f>
        <v>305174</v>
      </c>
      <c r="BI109" s="57">
        <f>SUM(BI95:BI108)</f>
        <v>362120</v>
      </c>
      <c r="BJ109" s="162"/>
      <c r="BK109" s="162"/>
      <c r="BL109" s="97">
        <f t="shared" si="47"/>
        <v>1.1567353112134386</v>
      </c>
      <c r="BM109" s="98"/>
      <c r="BN109" s="82"/>
      <c r="BO109" s="82"/>
      <c r="BP109" s="82"/>
      <c r="BQ109" s="161">
        <f>SUM(BQ95:BQ108)</f>
        <v>786286</v>
      </c>
      <c r="BR109" s="101"/>
      <c r="BS109" s="161">
        <f t="shared" si="50"/>
        <v>3805657</v>
      </c>
      <c r="BT109" s="161">
        <f t="shared" si="51"/>
        <v>4472886</v>
      </c>
      <c r="BU109" s="163">
        <f t="shared" si="53"/>
        <v>0.1753255745328599</v>
      </c>
      <c r="BV109" s="67"/>
    </row>
    <row r="110" spans="1:74" ht="7.5" customHeight="1" thickBot="1">
      <c r="A110" s="149"/>
      <c r="B110" s="150"/>
      <c r="C110" s="150"/>
      <c r="D110" s="150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97"/>
      <c r="AQ110" s="97"/>
      <c r="AR110" s="97"/>
      <c r="AS110" s="164"/>
      <c r="AT110" s="82"/>
      <c r="AU110" s="165"/>
      <c r="AV110" s="215"/>
      <c r="AW110" s="164"/>
      <c r="AX110" s="165"/>
      <c r="AY110" s="88"/>
      <c r="AZ110" s="158"/>
      <c r="BA110" s="158"/>
      <c r="BB110" s="88"/>
      <c r="BC110" s="169"/>
      <c r="BD110" s="170"/>
      <c r="BE110" s="171"/>
      <c r="BF110" s="172"/>
      <c r="BG110" s="171"/>
      <c r="BH110" s="298"/>
      <c r="BI110" s="299"/>
      <c r="BJ110" s="162"/>
      <c r="BK110" s="162"/>
      <c r="BL110" s="97" t="e">
        <f t="shared" si="47"/>
        <v>#DIV/0!</v>
      </c>
      <c r="BM110" s="98"/>
      <c r="BN110" s="82"/>
      <c r="BO110" s="82"/>
      <c r="BP110" s="82"/>
      <c r="BQ110" s="298"/>
      <c r="BR110" s="101"/>
      <c r="BS110" s="298"/>
      <c r="BT110" s="298"/>
      <c r="BU110" s="300"/>
      <c r="BV110" s="67"/>
    </row>
    <row r="111" spans="1:74" ht="57.75" thickBot="1">
      <c r="A111" s="72">
        <v>45659028</v>
      </c>
      <c r="B111" s="73" t="s">
        <v>110</v>
      </c>
      <c r="C111" s="73" t="s">
        <v>47</v>
      </c>
      <c r="D111" s="73" t="s">
        <v>168</v>
      </c>
      <c r="E111" s="73" t="s">
        <v>169</v>
      </c>
      <c r="F111" s="74">
        <v>8199096</v>
      </c>
      <c r="G111" s="246"/>
      <c r="H111" s="74">
        <v>42</v>
      </c>
      <c r="I111" s="74">
        <v>0</v>
      </c>
      <c r="J111" s="74">
        <v>0</v>
      </c>
      <c r="K111" s="74">
        <v>0</v>
      </c>
      <c r="L111" s="74">
        <v>0</v>
      </c>
      <c r="M111" s="74">
        <v>0</v>
      </c>
      <c r="N111" s="74">
        <v>0.6</v>
      </c>
      <c r="O111" s="74">
        <v>0.4</v>
      </c>
      <c r="P111" s="175" t="s">
        <v>286</v>
      </c>
      <c r="Q111" s="76">
        <v>84300</v>
      </c>
      <c r="R111" s="76">
        <v>145000</v>
      </c>
      <c r="S111" s="76">
        <v>0</v>
      </c>
      <c r="T111" s="76">
        <v>0</v>
      </c>
      <c r="U111" s="76">
        <v>0</v>
      </c>
      <c r="V111" s="76">
        <v>0</v>
      </c>
      <c r="W111" s="76">
        <v>12849</v>
      </c>
      <c r="X111" s="76">
        <v>12648</v>
      </c>
      <c r="Y111" s="76">
        <v>29970</v>
      </c>
      <c r="Z111" s="76">
        <v>9000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45500</v>
      </c>
      <c r="AJ111" s="76">
        <v>24000</v>
      </c>
      <c r="AK111" s="76"/>
      <c r="AL111" s="76">
        <v>172619</v>
      </c>
      <c r="AM111" s="77">
        <v>190648</v>
      </c>
      <c r="AN111" s="78"/>
      <c r="AO111" s="342">
        <v>130000</v>
      </c>
      <c r="AP111" s="222">
        <f t="shared" si="63"/>
        <v>0.896551724137931</v>
      </c>
      <c r="AQ111" s="81">
        <f>-1+AO111/Q111</f>
        <v>0.5421115065243178</v>
      </c>
      <c r="AR111" s="82"/>
      <c r="AS111" s="176">
        <f t="shared" si="65"/>
        <v>163000</v>
      </c>
      <c r="AT111" s="177">
        <f t="shared" si="66"/>
        <v>0.9442761225589303</v>
      </c>
      <c r="AU111" s="85">
        <f t="shared" si="67"/>
        <v>9619</v>
      </c>
      <c r="AV111" s="86">
        <f t="shared" si="68"/>
        <v>0.854978809114179</v>
      </c>
      <c r="AW111" s="178">
        <f t="shared" si="69"/>
        <v>27648</v>
      </c>
      <c r="AX111" s="85">
        <f>IF(W111&gt;AU111,0,AU111-W111)</f>
        <v>0</v>
      </c>
      <c r="AY111" s="88"/>
      <c r="AZ111" s="89">
        <f aca="true" t="shared" si="84" ref="AZ111:BA113">$AO111/N111</f>
        <v>216666.6666666667</v>
      </c>
      <c r="BA111" s="90">
        <f t="shared" si="84"/>
        <v>325000</v>
      </c>
      <c r="BB111" s="88"/>
      <c r="BC111" s="224">
        <v>8994</v>
      </c>
      <c r="BD111" s="91"/>
      <c r="BE111" s="92">
        <f t="shared" si="59"/>
        <v>0</v>
      </c>
      <c r="BF111" s="93">
        <f t="shared" si="61"/>
        <v>1.4307301155956313</v>
      </c>
      <c r="BG111" s="100"/>
      <c r="BH111" s="100">
        <v>0</v>
      </c>
      <c r="BI111" s="180">
        <v>0</v>
      </c>
      <c r="BJ111" s="227" t="s">
        <v>170</v>
      </c>
      <c r="BK111" s="182" t="s">
        <v>56</v>
      </c>
      <c r="BL111" s="97">
        <f t="shared" si="47"/>
        <v>1.4307301155956313</v>
      </c>
      <c r="BM111" s="98"/>
      <c r="BN111" s="99">
        <f>($BI111+$BC111+$AO111+$AJ111+$AH111+$AF111+$AD111+$AB111+$Z111+$V111+$T111)/$AL111</f>
        <v>0.9963793093460164</v>
      </c>
      <c r="BO111" s="99">
        <f t="shared" si="48"/>
        <v>0.9021547564097184</v>
      </c>
      <c r="BP111" s="82"/>
      <c r="BQ111" s="100">
        <f t="shared" si="49"/>
        <v>8994</v>
      </c>
      <c r="BR111" s="101"/>
      <c r="BS111" s="100">
        <f t="shared" si="50"/>
        <v>97149</v>
      </c>
      <c r="BT111" s="100">
        <f t="shared" si="51"/>
        <v>138994</v>
      </c>
      <c r="BU111" s="102">
        <f t="shared" si="53"/>
        <v>0.43073011559563135</v>
      </c>
      <c r="BV111" s="64" t="s">
        <v>350</v>
      </c>
    </row>
    <row r="112" spans="1:74" ht="57">
      <c r="A112" s="301">
        <v>60554665</v>
      </c>
      <c r="B112" s="302" t="s">
        <v>263</v>
      </c>
      <c r="C112" s="302" t="s">
        <v>47</v>
      </c>
      <c r="D112" s="302" t="s">
        <v>168</v>
      </c>
      <c r="E112" s="302" t="s">
        <v>264</v>
      </c>
      <c r="F112" s="303">
        <v>4434694</v>
      </c>
      <c r="G112" s="304"/>
      <c r="H112" s="303">
        <v>17</v>
      </c>
      <c r="I112" s="303">
        <v>0</v>
      </c>
      <c r="J112" s="303">
        <v>0</v>
      </c>
      <c r="K112" s="303">
        <v>0</v>
      </c>
      <c r="L112" s="303">
        <v>0</v>
      </c>
      <c r="M112" s="303">
        <v>0</v>
      </c>
      <c r="N112" s="303">
        <v>1</v>
      </c>
      <c r="O112" s="303">
        <v>0.6</v>
      </c>
      <c r="P112" s="302" t="s">
        <v>290</v>
      </c>
      <c r="Q112" s="305">
        <v>80000</v>
      </c>
      <c r="R112" s="305">
        <v>203644</v>
      </c>
      <c r="S112" s="305">
        <v>0</v>
      </c>
      <c r="T112" s="305">
        <v>0</v>
      </c>
      <c r="U112" s="305">
        <v>0</v>
      </c>
      <c r="V112" s="305">
        <v>0</v>
      </c>
      <c r="W112" s="305">
        <v>40000</v>
      </c>
      <c r="X112" s="305">
        <v>82730</v>
      </c>
      <c r="Y112" s="305">
        <v>0</v>
      </c>
      <c r="Z112" s="305">
        <v>0</v>
      </c>
      <c r="AA112" s="305">
        <v>0</v>
      </c>
      <c r="AB112" s="305">
        <v>0</v>
      </c>
      <c r="AC112" s="305">
        <v>0</v>
      </c>
      <c r="AD112" s="305">
        <v>0</v>
      </c>
      <c r="AE112" s="305">
        <v>0</v>
      </c>
      <c r="AF112" s="305">
        <v>0</v>
      </c>
      <c r="AG112" s="305">
        <v>0</v>
      </c>
      <c r="AH112" s="305">
        <v>0</v>
      </c>
      <c r="AI112" s="305">
        <v>25000</v>
      </c>
      <c r="AJ112" s="305">
        <v>8785</v>
      </c>
      <c r="AK112" s="305"/>
      <c r="AL112" s="305">
        <v>145000</v>
      </c>
      <c r="AM112" s="306">
        <v>295159</v>
      </c>
      <c r="AN112" s="78"/>
      <c r="AO112" s="356">
        <v>88000</v>
      </c>
      <c r="AP112" s="355">
        <f t="shared" si="63"/>
        <v>0.4321266523933924</v>
      </c>
      <c r="AQ112" s="81">
        <f>-1+AO112/Q112</f>
        <v>0.10000000000000009</v>
      </c>
      <c r="AR112" s="82"/>
      <c r="AS112" s="206">
        <f t="shared" si="65"/>
        <v>96785</v>
      </c>
      <c r="AT112" s="307">
        <f t="shared" si="66"/>
        <v>0.6674827586206896</v>
      </c>
      <c r="AU112" s="85">
        <f t="shared" si="67"/>
        <v>48215</v>
      </c>
      <c r="AV112" s="82">
        <f t="shared" si="68"/>
        <v>0.32790800890367566</v>
      </c>
      <c r="AW112" s="178">
        <f t="shared" si="69"/>
        <v>198374</v>
      </c>
      <c r="AX112" s="85">
        <f>IF(W112&gt;AU112,0,AU112-W112)</f>
        <v>8215</v>
      </c>
      <c r="AY112" s="88"/>
      <c r="AZ112" s="89">
        <f t="shared" si="84"/>
        <v>88000</v>
      </c>
      <c r="BA112" s="90">
        <f t="shared" si="84"/>
        <v>146666.6666666667</v>
      </c>
      <c r="BB112" s="88"/>
      <c r="BC112" s="140">
        <v>0</v>
      </c>
      <c r="BD112" s="91">
        <f>(Q112+W112)*1.1-AO112-BC112</f>
        <v>44000</v>
      </c>
      <c r="BE112" s="92">
        <f t="shared" si="59"/>
        <v>44000</v>
      </c>
      <c r="BF112" s="93">
        <f t="shared" si="61"/>
        <v>1.1</v>
      </c>
      <c r="BG112" s="92"/>
      <c r="BH112" s="212">
        <v>44000</v>
      </c>
      <c r="BI112" s="213">
        <v>44000</v>
      </c>
      <c r="BJ112" s="95" t="s">
        <v>170</v>
      </c>
      <c r="BK112" s="308" t="s">
        <v>56</v>
      </c>
      <c r="BL112" s="97">
        <f t="shared" si="47"/>
        <v>1.1</v>
      </c>
      <c r="BM112" s="98"/>
      <c r="BN112" s="99">
        <f>($BI112+$BC112+$AO112+$AJ112+$AH112+$AF112+$AD112+$AB112+$Z112+$V112+$T112)/$AL112</f>
        <v>0.9709310344827586</v>
      </c>
      <c r="BO112" s="99">
        <f t="shared" si="48"/>
        <v>0.4769802038901067</v>
      </c>
      <c r="BP112" s="82"/>
      <c r="BQ112" s="212">
        <f t="shared" si="49"/>
        <v>44000</v>
      </c>
      <c r="BR112" s="101"/>
      <c r="BS112" s="212">
        <f t="shared" si="50"/>
        <v>120000</v>
      </c>
      <c r="BT112" s="212">
        <f t="shared" si="51"/>
        <v>132000</v>
      </c>
      <c r="BU112" s="148">
        <f t="shared" si="53"/>
        <v>0.10000000000000009</v>
      </c>
      <c r="BV112" s="65" t="s">
        <v>357</v>
      </c>
    </row>
    <row r="113" spans="1:74" ht="72" thickBot="1">
      <c r="A113" s="125">
        <v>70870896</v>
      </c>
      <c r="B113" s="126" t="s">
        <v>114</v>
      </c>
      <c r="C113" s="126" t="s">
        <v>47</v>
      </c>
      <c r="D113" s="126" t="s">
        <v>168</v>
      </c>
      <c r="E113" s="126" t="s">
        <v>171</v>
      </c>
      <c r="F113" s="127">
        <v>8652328</v>
      </c>
      <c r="G113" s="281"/>
      <c r="H113" s="127">
        <v>75</v>
      </c>
      <c r="I113" s="127">
        <v>0</v>
      </c>
      <c r="J113" s="127">
        <v>0</v>
      </c>
      <c r="K113" s="127">
        <v>0</v>
      </c>
      <c r="L113" s="127">
        <v>0</v>
      </c>
      <c r="M113" s="127">
        <v>0</v>
      </c>
      <c r="N113" s="127">
        <v>5.1</v>
      </c>
      <c r="O113" s="127">
        <v>4.5</v>
      </c>
      <c r="P113" s="242" t="s">
        <v>289</v>
      </c>
      <c r="Q113" s="129">
        <v>854400</v>
      </c>
      <c r="R113" s="129">
        <v>925200</v>
      </c>
      <c r="S113" s="129">
        <v>212000</v>
      </c>
      <c r="T113" s="129">
        <v>0</v>
      </c>
      <c r="U113" s="129">
        <v>0</v>
      </c>
      <c r="V113" s="129">
        <v>0</v>
      </c>
      <c r="W113" s="129">
        <v>50000</v>
      </c>
      <c r="X113" s="129">
        <v>40000</v>
      </c>
      <c r="Y113" s="129">
        <v>155000</v>
      </c>
      <c r="Z113" s="129">
        <v>50000</v>
      </c>
      <c r="AA113" s="129">
        <v>0</v>
      </c>
      <c r="AB113" s="129">
        <v>0</v>
      </c>
      <c r="AC113" s="129">
        <v>0</v>
      </c>
      <c r="AD113" s="129">
        <v>0</v>
      </c>
      <c r="AE113" s="129">
        <v>0</v>
      </c>
      <c r="AF113" s="129">
        <v>0</v>
      </c>
      <c r="AG113" s="129">
        <v>210000</v>
      </c>
      <c r="AH113" s="129">
        <v>457540</v>
      </c>
      <c r="AI113" s="129">
        <v>0</v>
      </c>
      <c r="AJ113" s="129">
        <v>0</v>
      </c>
      <c r="AK113" s="129"/>
      <c r="AL113" s="129">
        <v>1481400</v>
      </c>
      <c r="AM113" s="130">
        <v>1472740</v>
      </c>
      <c r="AN113" s="78"/>
      <c r="AO113" s="349">
        <v>900000</v>
      </c>
      <c r="AP113" s="135">
        <f t="shared" si="63"/>
        <v>0.9727626459143969</v>
      </c>
      <c r="AQ113" s="131">
        <f>-1+AO113/Q113</f>
        <v>0.05337078651685401</v>
      </c>
      <c r="AR113" s="82"/>
      <c r="AS113" s="132">
        <f t="shared" si="65"/>
        <v>1407540</v>
      </c>
      <c r="AT113" s="133">
        <f t="shared" si="66"/>
        <v>0.9501417577966789</v>
      </c>
      <c r="AU113" s="134">
        <f t="shared" si="67"/>
        <v>73860</v>
      </c>
      <c r="AV113" s="135">
        <f t="shared" si="68"/>
        <v>0.9557287776525388</v>
      </c>
      <c r="AW113" s="248">
        <f t="shared" si="69"/>
        <v>65200</v>
      </c>
      <c r="AX113" s="249">
        <f>IF(W113&gt;AU113,0,AU113-W113)</f>
        <v>23860</v>
      </c>
      <c r="AY113" s="88"/>
      <c r="AZ113" s="137">
        <f t="shared" si="84"/>
        <v>176470.58823529413</v>
      </c>
      <c r="BA113" s="138">
        <f t="shared" si="84"/>
        <v>200000</v>
      </c>
      <c r="BB113" s="88"/>
      <c r="BC113" s="193">
        <v>35000</v>
      </c>
      <c r="BD113" s="140">
        <f>(Q113+W113)*1.1-AO113-BC113</f>
        <v>59840.00000000012</v>
      </c>
      <c r="BE113" s="141">
        <f t="shared" si="59"/>
        <v>5000</v>
      </c>
      <c r="BF113" s="142">
        <f t="shared" si="61"/>
        <v>1.0393631136665193</v>
      </c>
      <c r="BG113" s="212"/>
      <c r="BH113" s="295">
        <v>5000</v>
      </c>
      <c r="BI113" s="296">
        <v>30000</v>
      </c>
      <c r="BJ113" s="196" t="s">
        <v>170</v>
      </c>
      <c r="BK113" s="145" t="s">
        <v>56</v>
      </c>
      <c r="BL113" s="97">
        <f t="shared" si="47"/>
        <v>0.841992117520602</v>
      </c>
      <c r="BM113" s="98">
        <f>(0.9*(Q113+S113+W113))-(T113+AO113+BC113+BH113)</f>
        <v>64760</v>
      </c>
      <c r="BN113" s="146">
        <f>($BI113+$BC113+$AO113+$AJ113+$AH113+$AF113+$AD113+$AB113+$Z113+$V113+$T113)/$AL113</f>
        <v>0.994019171054408</v>
      </c>
      <c r="BO113" s="146">
        <f t="shared" si="48"/>
        <v>0.9998641987044556</v>
      </c>
      <c r="BP113" s="82"/>
      <c r="BQ113" s="295">
        <f t="shared" si="49"/>
        <v>65000</v>
      </c>
      <c r="BR113" s="101"/>
      <c r="BS113" s="295">
        <f t="shared" si="50"/>
        <v>904400</v>
      </c>
      <c r="BT113" s="295">
        <f t="shared" si="51"/>
        <v>965000</v>
      </c>
      <c r="BU113" s="309">
        <f t="shared" si="53"/>
        <v>0.06700574966828832</v>
      </c>
      <c r="BV113" s="66" t="s">
        <v>358</v>
      </c>
    </row>
    <row r="114" spans="1:74" ht="15" thickBot="1">
      <c r="A114" s="167" t="s">
        <v>61</v>
      </c>
      <c r="B114" s="71"/>
      <c r="C114" s="71"/>
      <c r="D114" s="71"/>
      <c r="E114" s="7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2">
        <f>SUM(Q111:Q113)</f>
        <v>1018700</v>
      </c>
      <c r="R114" s="152">
        <f aca="true" t="shared" si="85" ref="R114:AM114">SUM(R111:R113)</f>
        <v>1273844</v>
      </c>
      <c r="S114" s="152">
        <f t="shared" si="85"/>
        <v>212000</v>
      </c>
      <c r="T114" s="152">
        <f t="shared" si="85"/>
        <v>0</v>
      </c>
      <c r="U114" s="152">
        <f t="shared" si="85"/>
        <v>0</v>
      </c>
      <c r="V114" s="152">
        <f t="shared" si="85"/>
        <v>0</v>
      </c>
      <c r="W114" s="152">
        <f t="shared" si="85"/>
        <v>102849</v>
      </c>
      <c r="X114" s="152">
        <f t="shared" si="85"/>
        <v>135378</v>
      </c>
      <c r="Y114" s="152">
        <f t="shared" si="85"/>
        <v>184970</v>
      </c>
      <c r="Z114" s="152">
        <f t="shared" si="85"/>
        <v>59000</v>
      </c>
      <c r="AA114" s="152">
        <f t="shared" si="85"/>
        <v>0</v>
      </c>
      <c r="AB114" s="152">
        <f t="shared" si="85"/>
        <v>0</v>
      </c>
      <c r="AC114" s="152">
        <f t="shared" si="85"/>
        <v>0</v>
      </c>
      <c r="AD114" s="152">
        <f t="shared" si="85"/>
        <v>0</v>
      </c>
      <c r="AE114" s="152">
        <f t="shared" si="85"/>
        <v>0</v>
      </c>
      <c r="AF114" s="152">
        <f t="shared" si="85"/>
        <v>0</v>
      </c>
      <c r="AG114" s="152">
        <f t="shared" si="85"/>
        <v>210000</v>
      </c>
      <c r="AH114" s="152">
        <f t="shared" si="85"/>
        <v>457540</v>
      </c>
      <c r="AI114" s="152">
        <f t="shared" si="85"/>
        <v>70500</v>
      </c>
      <c r="AJ114" s="152">
        <f t="shared" si="85"/>
        <v>32785</v>
      </c>
      <c r="AK114" s="152"/>
      <c r="AL114" s="152">
        <f t="shared" si="85"/>
        <v>1799019</v>
      </c>
      <c r="AM114" s="154">
        <f t="shared" si="85"/>
        <v>1958547</v>
      </c>
      <c r="AN114" s="153"/>
      <c r="AO114" s="154">
        <f>SUM(AO111:AO113)</f>
        <v>1118000</v>
      </c>
      <c r="AP114" s="41">
        <f>AO114/R114</f>
        <v>0.8776584887945462</v>
      </c>
      <c r="AQ114" s="40">
        <f>-1+AO114/Q114</f>
        <v>0.09747717679395307</v>
      </c>
      <c r="AR114" s="1"/>
      <c r="AS114" s="155">
        <f t="shared" si="65"/>
        <v>1667325</v>
      </c>
      <c r="AT114" s="207">
        <f t="shared" si="66"/>
        <v>0.9267967709068109</v>
      </c>
      <c r="AU114" s="156">
        <f>SUM(AU111:AU113)</f>
        <v>131694</v>
      </c>
      <c r="AV114" s="215">
        <f t="shared" si="68"/>
        <v>0.8513071169596644</v>
      </c>
      <c r="AW114" s="216">
        <f>SUM(AW111:AW113)</f>
        <v>291222</v>
      </c>
      <c r="AX114" s="210">
        <f>SUM(AX111:AX113)</f>
        <v>32075</v>
      </c>
      <c r="AY114" s="88"/>
      <c r="AZ114" s="158"/>
      <c r="BA114" s="158"/>
      <c r="BB114" s="88"/>
      <c r="BC114" s="160">
        <f>SUM(BC111:BC113)</f>
        <v>43994</v>
      </c>
      <c r="BD114" s="160">
        <f>SUM(BD111:BD113)</f>
        <v>103840.00000000012</v>
      </c>
      <c r="BE114" s="161">
        <f>SUM(BE111:BE113)</f>
        <v>49000</v>
      </c>
      <c r="BF114" s="160"/>
      <c r="BG114" s="161">
        <f>SUM(BG111:BG113)</f>
        <v>0</v>
      </c>
      <c r="BH114" s="161">
        <f>SUM(BH111:BH113)</f>
        <v>49000</v>
      </c>
      <c r="BI114" s="57">
        <f>SUM(BI111:BI113)</f>
        <v>74000</v>
      </c>
      <c r="BJ114" s="162"/>
      <c r="BK114" s="162"/>
      <c r="BL114" s="97">
        <f t="shared" si="47"/>
        <v>0.9080986150490158</v>
      </c>
      <c r="BM114" s="98"/>
      <c r="BN114" s="82"/>
      <c r="BO114" s="82"/>
      <c r="BP114" s="82"/>
      <c r="BQ114" s="161">
        <f>SUM(BQ111:BQ113)</f>
        <v>117994</v>
      </c>
      <c r="BR114" s="101"/>
      <c r="BS114" s="161">
        <f t="shared" si="50"/>
        <v>1121549</v>
      </c>
      <c r="BT114" s="161">
        <f t="shared" si="51"/>
        <v>1235994</v>
      </c>
      <c r="BU114" s="163">
        <f t="shared" si="53"/>
        <v>0.10204190811101421</v>
      </c>
      <c r="BV114" s="67"/>
    </row>
    <row r="115" spans="1:74" ht="7.5" customHeight="1" thickBot="1">
      <c r="A115" s="149"/>
      <c r="B115" s="150"/>
      <c r="C115" s="150"/>
      <c r="D115" s="150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97"/>
      <c r="AQ115" s="97"/>
      <c r="AR115" s="97"/>
      <c r="AS115" s="164"/>
      <c r="AT115" s="82"/>
      <c r="AU115" s="165"/>
      <c r="AV115" s="215"/>
      <c r="AW115" s="164"/>
      <c r="AX115" s="165"/>
      <c r="AY115" s="88"/>
      <c r="AZ115" s="158"/>
      <c r="BA115" s="158"/>
      <c r="BB115" s="88"/>
      <c r="BC115" s="169"/>
      <c r="BD115" s="170"/>
      <c r="BE115" s="171"/>
      <c r="BF115" s="172"/>
      <c r="BG115" s="171"/>
      <c r="BH115" s="171"/>
      <c r="BI115" s="173"/>
      <c r="BJ115" s="162"/>
      <c r="BK115" s="162"/>
      <c r="BL115" s="97" t="e">
        <f t="shared" si="47"/>
        <v>#DIV/0!</v>
      </c>
      <c r="BM115" s="98"/>
      <c r="BN115" s="82"/>
      <c r="BO115" s="82"/>
      <c r="BP115" s="82"/>
      <c r="BQ115" s="171"/>
      <c r="BR115" s="101"/>
      <c r="BS115" s="171"/>
      <c r="BT115" s="171"/>
      <c r="BU115" s="174"/>
      <c r="BV115" s="67"/>
    </row>
    <row r="116" spans="1:74" ht="85.5">
      <c r="A116" s="72">
        <v>15060233</v>
      </c>
      <c r="B116" s="73" t="s">
        <v>46</v>
      </c>
      <c r="C116" s="73" t="s">
        <v>47</v>
      </c>
      <c r="D116" s="73" t="s">
        <v>172</v>
      </c>
      <c r="E116" s="73" t="s">
        <v>173</v>
      </c>
      <c r="F116" s="74">
        <v>8855871</v>
      </c>
      <c r="G116" s="74">
        <v>0</v>
      </c>
      <c r="H116" s="74">
        <v>20</v>
      </c>
      <c r="I116" s="74">
        <v>0</v>
      </c>
      <c r="J116" s="74">
        <v>0</v>
      </c>
      <c r="K116" s="74">
        <v>0</v>
      </c>
      <c r="L116" s="74">
        <v>0</v>
      </c>
      <c r="M116" s="74">
        <v>0</v>
      </c>
      <c r="N116" s="74">
        <v>1.9</v>
      </c>
      <c r="O116" s="74">
        <v>1.4</v>
      </c>
      <c r="P116" s="175" t="s">
        <v>284</v>
      </c>
      <c r="Q116" s="76">
        <v>0</v>
      </c>
      <c r="R116" s="76">
        <v>502800</v>
      </c>
      <c r="S116" s="76">
        <v>0</v>
      </c>
      <c r="T116" s="76">
        <v>0</v>
      </c>
      <c r="U116" s="76">
        <v>0</v>
      </c>
      <c r="V116" s="76">
        <v>0</v>
      </c>
      <c r="W116" s="76">
        <v>0</v>
      </c>
      <c r="X116" s="76">
        <v>97200</v>
      </c>
      <c r="Y116" s="76">
        <v>0</v>
      </c>
      <c r="Z116" s="76">
        <v>50000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150000</v>
      </c>
      <c r="AJ116" s="76">
        <v>50000</v>
      </c>
      <c r="AK116" s="76"/>
      <c r="AL116" s="76">
        <v>150000</v>
      </c>
      <c r="AM116" s="77">
        <v>700000</v>
      </c>
      <c r="AN116" s="78"/>
      <c r="AO116" s="342">
        <v>391000</v>
      </c>
      <c r="AP116" s="222">
        <f aca="true" t="shared" si="86" ref="AP116:AP170">AO116/R116</f>
        <v>0.7776451869530628</v>
      </c>
      <c r="AQ116" s="81"/>
      <c r="AR116" s="82"/>
      <c r="AS116" s="176">
        <f t="shared" si="65"/>
        <v>491000</v>
      </c>
      <c r="AT116" s="177">
        <f t="shared" si="66"/>
        <v>3.2733333333333334</v>
      </c>
      <c r="AU116" s="85">
        <f t="shared" si="67"/>
        <v>0</v>
      </c>
      <c r="AV116" s="86">
        <f t="shared" si="68"/>
        <v>0.7014285714285714</v>
      </c>
      <c r="AW116" s="178">
        <f t="shared" si="69"/>
        <v>209000</v>
      </c>
      <c r="AX116" s="85">
        <f>IF(W116&gt;AU116,0,AU116-W116)</f>
        <v>0</v>
      </c>
      <c r="AY116" s="88"/>
      <c r="AZ116" s="89">
        <f aca="true" t="shared" si="87" ref="AZ116:BA120">$AO116/N116</f>
        <v>205789.47368421053</v>
      </c>
      <c r="BA116" s="90">
        <f t="shared" si="87"/>
        <v>279285.7142857143</v>
      </c>
      <c r="BB116" s="88"/>
      <c r="BC116" s="179">
        <v>0</v>
      </c>
      <c r="BD116" s="91"/>
      <c r="BE116" s="92">
        <f t="shared" si="59"/>
        <v>0</v>
      </c>
      <c r="BF116" s="93"/>
      <c r="BG116" s="92"/>
      <c r="BH116" s="92">
        <v>0</v>
      </c>
      <c r="BI116" s="94">
        <v>0</v>
      </c>
      <c r="BJ116" s="227" t="s">
        <v>174</v>
      </c>
      <c r="BK116" s="182" t="s">
        <v>51</v>
      </c>
      <c r="BL116" s="97" t="e">
        <f t="shared" si="47"/>
        <v>#DIV/0!</v>
      </c>
      <c r="BM116" s="98"/>
      <c r="BN116" s="99">
        <f>($BI116+$BC116+$AO116+$AJ116+$AH116+$AF116+$AD116+$AB116+$Z116+$V116+$T116)/$AL116</f>
        <v>3.2733333333333334</v>
      </c>
      <c r="BO116" s="99">
        <f t="shared" si="48"/>
        <v>0.7014285714285714</v>
      </c>
      <c r="BP116" s="82"/>
      <c r="BQ116" s="100">
        <f t="shared" si="49"/>
        <v>0</v>
      </c>
      <c r="BR116" s="101"/>
      <c r="BS116" s="92">
        <f t="shared" si="50"/>
        <v>0</v>
      </c>
      <c r="BT116" s="92">
        <f t="shared" si="51"/>
        <v>391000</v>
      </c>
      <c r="BU116" s="102"/>
      <c r="BV116" s="64" t="s">
        <v>356</v>
      </c>
    </row>
    <row r="117" spans="1:74" ht="85.5">
      <c r="A117" s="103">
        <v>15060306</v>
      </c>
      <c r="B117" s="104" t="s">
        <v>68</v>
      </c>
      <c r="C117" s="104" t="s">
        <v>47</v>
      </c>
      <c r="D117" s="104" t="s">
        <v>172</v>
      </c>
      <c r="E117" s="104" t="s">
        <v>175</v>
      </c>
      <c r="F117" s="105">
        <v>1238866</v>
      </c>
      <c r="G117" s="105">
        <v>0</v>
      </c>
      <c r="H117" s="105">
        <v>14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1</v>
      </c>
      <c r="O117" s="105">
        <v>0.8</v>
      </c>
      <c r="P117" s="184" t="s">
        <v>291</v>
      </c>
      <c r="Q117" s="108">
        <v>190000</v>
      </c>
      <c r="R117" s="108">
        <v>219000</v>
      </c>
      <c r="S117" s="108">
        <v>0</v>
      </c>
      <c r="T117" s="108">
        <v>0</v>
      </c>
      <c r="U117" s="108">
        <v>0</v>
      </c>
      <c r="V117" s="108">
        <v>0</v>
      </c>
      <c r="W117" s="108">
        <v>47850</v>
      </c>
      <c r="X117" s="108">
        <v>70000</v>
      </c>
      <c r="Y117" s="108">
        <v>29008</v>
      </c>
      <c r="Z117" s="108">
        <v>25000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08">
        <v>0</v>
      </c>
      <c r="AG117" s="108">
        <v>0</v>
      </c>
      <c r="AH117" s="108">
        <v>0</v>
      </c>
      <c r="AI117" s="108">
        <v>0</v>
      </c>
      <c r="AJ117" s="108">
        <v>5590</v>
      </c>
      <c r="AK117" s="108">
        <v>266858</v>
      </c>
      <c r="AL117" s="108">
        <v>266858</v>
      </c>
      <c r="AM117" s="109">
        <v>319590</v>
      </c>
      <c r="AN117" s="78"/>
      <c r="AO117" s="348">
        <v>219000</v>
      </c>
      <c r="AP117" s="192">
        <f t="shared" si="86"/>
        <v>1</v>
      </c>
      <c r="AQ117" s="112">
        <f>-1+AO117/Q117</f>
        <v>0.15263157894736845</v>
      </c>
      <c r="AR117" s="82"/>
      <c r="AS117" s="113">
        <f t="shared" si="65"/>
        <v>249590</v>
      </c>
      <c r="AT117" s="114">
        <f t="shared" si="66"/>
        <v>0.9352914284001229</v>
      </c>
      <c r="AU117" s="115">
        <f t="shared" si="67"/>
        <v>17268</v>
      </c>
      <c r="AV117" s="86">
        <f t="shared" si="68"/>
        <v>0.7809693670014707</v>
      </c>
      <c r="AW117" s="185">
        <f t="shared" si="69"/>
        <v>70000</v>
      </c>
      <c r="AX117" s="186">
        <f>IF(W117&gt;AU117,0,AU117-W117)</f>
        <v>0</v>
      </c>
      <c r="AY117" s="88"/>
      <c r="AZ117" s="117">
        <f t="shared" si="87"/>
        <v>219000</v>
      </c>
      <c r="BA117" s="118">
        <f t="shared" si="87"/>
        <v>273750</v>
      </c>
      <c r="BB117" s="88"/>
      <c r="BC117" s="187">
        <v>15510</v>
      </c>
      <c r="BD117" s="91">
        <f>(Q117+W117)*1.1-AO117-BC117</f>
        <v>27125.00000000003</v>
      </c>
      <c r="BE117" s="92">
        <f t="shared" si="59"/>
        <v>27125.00000000003</v>
      </c>
      <c r="BF117" s="93">
        <f t="shared" si="61"/>
        <v>1.1</v>
      </c>
      <c r="BG117" s="92"/>
      <c r="BH117" s="92">
        <v>27125</v>
      </c>
      <c r="BI117" s="94">
        <v>50000</v>
      </c>
      <c r="BJ117" s="120" t="s">
        <v>174</v>
      </c>
      <c r="BK117" s="121" t="s">
        <v>56</v>
      </c>
      <c r="BL117" s="97">
        <f t="shared" si="47"/>
        <v>1.1</v>
      </c>
      <c r="BM117" s="98"/>
      <c r="BN117" s="122">
        <f>($BI117+$BC117+$AO117+$AJ117+$AH117+$AF117+$AD117+$AB117+$Z117+$V117+$T117)/$AL117</f>
        <v>1.1807777919342872</v>
      </c>
      <c r="BO117" s="122">
        <f t="shared" si="48"/>
        <v>0.9859507493976658</v>
      </c>
      <c r="BP117" s="82"/>
      <c r="BQ117" s="123">
        <f t="shared" si="49"/>
        <v>65510</v>
      </c>
      <c r="BR117" s="101"/>
      <c r="BS117" s="92">
        <f t="shared" si="50"/>
        <v>237850</v>
      </c>
      <c r="BT117" s="92">
        <f t="shared" si="51"/>
        <v>284510</v>
      </c>
      <c r="BU117" s="124">
        <f t="shared" si="53"/>
        <v>0.19617405928105947</v>
      </c>
      <c r="BV117" s="65" t="s">
        <v>355</v>
      </c>
    </row>
    <row r="118" spans="1:74" ht="114">
      <c r="A118" s="103">
        <v>15060306</v>
      </c>
      <c r="B118" s="104" t="s">
        <v>68</v>
      </c>
      <c r="C118" s="104" t="s">
        <v>47</v>
      </c>
      <c r="D118" s="104" t="s">
        <v>172</v>
      </c>
      <c r="E118" s="104" t="s">
        <v>176</v>
      </c>
      <c r="F118" s="105">
        <v>4228518</v>
      </c>
      <c r="G118" s="105">
        <v>0</v>
      </c>
      <c r="H118" s="105">
        <v>28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2.2</v>
      </c>
      <c r="O118" s="105">
        <v>1.7</v>
      </c>
      <c r="P118" s="184" t="s">
        <v>282</v>
      </c>
      <c r="Q118" s="108">
        <v>380000</v>
      </c>
      <c r="R118" s="108">
        <v>497000</v>
      </c>
      <c r="S118" s="108">
        <v>0</v>
      </c>
      <c r="T118" s="108">
        <v>0</v>
      </c>
      <c r="U118" s="108">
        <v>0</v>
      </c>
      <c r="V118" s="108">
        <v>0</v>
      </c>
      <c r="W118" s="108">
        <v>93400</v>
      </c>
      <c r="X118" s="108">
        <v>120000</v>
      </c>
      <c r="Y118" s="108">
        <v>10824</v>
      </c>
      <c r="Z118" s="108">
        <v>50000</v>
      </c>
      <c r="AA118" s="108">
        <v>0</v>
      </c>
      <c r="AB118" s="108">
        <v>0</v>
      </c>
      <c r="AC118" s="108">
        <v>0</v>
      </c>
      <c r="AD118" s="108">
        <v>0</v>
      </c>
      <c r="AE118" s="108">
        <v>0</v>
      </c>
      <c r="AF118" s="108">
        <v>0</v>
      </c>
      <c r="AG118" s="108">
        <v>0</v>
      </c>
      <c r="AH118" s="108">
        <v>0</v>
      </c>
      <c r="AI118" s="108">
        <v>0</v>
      </c>
      <c r="AJ118" s="108">
        <v>5000</v>
      </c>
      <c r="AK118" s="108">
        <v>484224</v>
      </c>
      <c r="AL118" s="108">
        <v>484224</v>
      </c>
      <c r="AM118" s="109">
        <v>672000</v>
      </c>
      <c r="AN118" s="78"/>
      <c r="AO118" s="348">
        <v>492000</v>
      </c>
      <c r="AP118" s="192">
        <f t="shared" si="86"/>
        <v>0.9899396378269618</v>
      </c>
      <c r="AQ118" s="112">
        <f>-1+AO118/Q118</f>
        <v>0.2947368421052632</v>
      </c>
      <c r="AR118" s="82"/>
      <c r="AS118" s="113">
        <f t="shared" si="65"/>
        <v>547000</v>
      </c>
      <c r="AT118" s="114">
        <f t="shared" si="66"/>
        <v>1.1296424795136135</v>
      </c>
      <c r="AU118" s="115">
        <f t="shared" si="67"/>
        <v>0</v>
      </c>
      <c r="AV118" s="86">
        <f t="shared" si="68"/>
        <v>0.8139880952380952</v>
      </c>
      <c r="AW118" s="185">
        <f t="shared" si="69"/>
        <v>125000</v>
      </c>
      <c r="AX118" s="186">
        <f>IF(W118&gt;AU118,0,AU118-W118)</f>
        <v>0</v>
      </c>
      <c r="AY118" s="88"/>
      <c r="AZ118" s="117">
        <f t="shared" si="87"/>
        <v>223636.36363636362</v>
      </c>
      <c r="BA118" s="118">
        <f t="shared" si="87"/>
        <v>289411.76470588235</v>
      </c>
      <c r="BB118" s="88"/>
      <c r="BC118" s="187">
        <v>0</v>
      </c>
      <c r="BD118" s="91">
        <f>(Q118+W118)*1.1-AO118-BC118</f>
        <v>28740.00000000006</v>
      </c>
      <c r="BE118" s="92">
        <f t="shared" si="59"/>
        <v>28740.00000000006</v>
      </c>
      <c r="BF118" s="93">
        <f t="shared" si="61"/>
        <v>1.1</v>
      </c>
      <c r="BG118" s="92"/>
      <c r="BH118" s="92">
        <v>28740</v>
      </c>
      <c r="BI118" s="94">
        <v>85000</v>
      </c>
      <c r="BJ118" s="120" t="s">
        <v>174</v>
      </c>
      <c r="BK118" s="121" t="s">
        <v>56</v>
      </c>
      <c r="BL118" s="97">
        <f t="shared" si="47"/>
        <v>1.1</v>
      </c>
      <c r="BM118" s="98"/>
      <c r="BN118" s="122">
        <f>($BI118+$BC118+$AO118+$AJ118+$AH118+$AF118+$AD118+$AB118+$Z118+$V118+$T118)/$AL118</f>
        <v>1.3051810732223104</v>
      </c>
      <c r="BO118" s="122">
        <f t="shared" si="48"/>
        <v>0.9404761904761905</v>
      </c>
      <c r="BP118" s="82"/>
      <c r="BQ118" s="123">
        <f t="shared" si="49"/>
        <v>85000</v>
      </c>
      <c r="BR118" s="101"/>
      <c r="BS118" s="92">
        <f t="shared" si="50"/>
        <v>473400</v>
      </c>
      <c r="BT118" s="92">
        <f t="shared" si="51"/>
        <v>577000</v>
      </c>
      <c r="BU118" s="124">
        <f t="shared" si="53"/>
        <v>0.21884241656104764</v>
      </c>
      <c r="BV118" s="65" t="s">
        <v>359</v>
      </c>
    </row>
    <row r="119" spans="1:74" ht="114">
      <c r="A119" s="103">
        <v>26304856</v>
      </c>
      <c r="B119" s="104" t="s">
        <v>52</v>
      </c>
      <c r="C119" s="104" t="s">
        <v>47</v>
      </c>
      <c r="D119" s="104" t="s">
        <v>172</v>
      </c>
      <c r="E119" s="104" t="s">
        <v>177</v>
      </c>
      <c r="F119" s="105">
        <v>3573071</v>
      </c>
      <c r="G119" s="105">
        <v>0</v>
      </c>
      <c r="H119" s="105">
        <v>20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1.4</v>
      </c>
      <c r="O119" s="105">
        <v>1</v>
      </c>
      <c r="P119" s="184" t="s">
        <v>280</v>
      </c>
      <c r="Q119" s="108">
        <v>69000</v>
      </c>
      <c r="R119" s="108">
        <v>334399</v>
      </c>
      <c r="S119" s="108">
        <v>0</v>
      </c>
      <c r="T119" s="108">
        <v>0</v>
      </c>
      <c r="U119" s="108">
        <v>78000</v>
      </c>
      <c r="V119" s="108">
        <v>40000</v>
      </c>
      <c r="W119" s="108">
        <v>35000</v>
      </c>
      <c r="X119" s="108">
        <v>35000</v>
      </c>
      <c r="Y119" s="108">
        <v>3000</v>
      </c>
      <c r="Z119" s="108">
        <v>3000</v>
      </c>
      <c r="AA119" s="108">
        <v>0</v>
      </c>
      <c r="AB119" s="108">
        <v>0</v>
      </c>
      <c r="AC119" s="108">
        <v>0</v>
      </c>
      <c r="AD119" s="108">
        <v>0</v>
      </c>
      <c r="AE119" s="108">
        <v>0</v>
      </c>
      <c r="AF119" s="108">
        <v>0</v>
      </c>
      <c r="AG119" s="108">
        <v>0</v>
      </c>
      <c r="AH119" s="108">
        <v>0</v>
      </c>
      <c r="AI119" s="108">
        <v>121000</v>
      </c>
      <c r="AJ119" s="108">
        <v>65313</v>
      </c>
      <c r="AK119" s="108"/>
      <c r="AL119" s="108">
        <v>306000</v>
      </c>
      <c r="AM119" s="109">
        <v>477712</v>
      </c>
      <c r="AN119" s="78"/>
      <c r="AO119" s="348">
        <v>138000</v>
      </c>
      <c r="AP119" s="192">
        <f t="shared" si="86"/>
        <v>0.41268065993020314</v>
      </c>
      <c r="AQ119" s="112">
        <f>-1+AO119/Q119</f>
        <v>1</v>
      </c>
      <c r="AR119" s="82"/>
      <c r="AS119" s="113">
        <f t="shared" si="65"/>
        <v>246313</v>
      </c>
      <c r="AT119" s="114">
        <f t="shared" si="66"/>
        <v>0.8049444444444445</v>
      </c>
      <c r="AU119" s="115">
        <f t="shared" si="67"/>
        <v>59687</v>
      </c>
      <c r="AV119" s="86">
        <f t="shared" si="68"/>
        <v>0.5156098234919785</v>
      </c>
      <c r="AW119" s="185">
        <f t="shared" si="69"/>
        <v>231399</v>
      </c>
      <c r="AX119" s="186">
        <f>IF(W119&gt;AU119,0,AU119-W119)</f>
        <v>24687</v>
      </c>
      <c r="AY119" s="88"/>
      <c r="AZ119" s="117">
        <f t="shared" si="87"/>
        <v>98571.42857142858</v>
      </c>
      <c r="BA119" s="118">
        <f t="shared" si="87"/>
        <v>138000</v>
      </c>
      <c r="BB119" s="88"/>
      <c r="BC119" s="187">
        <v>24500</v>
      </c>
      <c r="BD119" s="91"/>
      <c r="BE119" s="92">
        <f t="shared" si="59"/>
        <v>0</v>
      </c>
      <c r="BF119" s="93">
        <f t="shared" si="61"/>
        <v>1.5625</v>
      </c>
      <c r="BG119" s="92"/>
      <c r="BH119" s="92">
        <v>0</v>
      </c>
      <c r="BI119" s="94">
        <v>0</v>
      </c>
      <c r="BJ119" s="120" t="s">
        <v>174</v>
      </c>
      <c r="BK119" s="121" t="s">
        <v>54</v>
      </c>
      <c r="BL119" s="97">
        <f t="shared" si="47"/>
        <v>1.5625</v>
      </c>
      <c r="BM119" s="98"/>
      <c r="BN119" s="122">
        <f>($BI119+$BC119+$AO119+$AJ119+$AH119+$AF119+$AD119+$AB119+$Z119+$V119+$T119)/$AL119</f>
        <v>0.8850098039215686</v>
      </c>
      <c r="BO119" s="122">
        <f t="shared" si="48"/>
        <v>0.566895954047627</v>
      </c>
      <c r="BP119" s="82"/>
      <c r="BQ119" s="123">
        <f t="shared" si="49"/>
        <v>24500</v>
      </c>
      <c r="BR119" s="101"/>
      <c r="BS119" s="92">
        <f t="shared" si="50"/>
        <v>104000</v>
      </c>
      <c r="BT119" s="92">
        <f t="shared" si="51"/>
        <v>162500</v>
      </c>
      <c r="BU119" s="124">
        <f t="shared" si="53"/>
        <v>0.5625</v>
      </c>
      <c r="BV119" s="65" t="s">
        <v>359</v>
      </c>
    </row>
    <row r="120" spans="1:74" ht="86.25" thickBot="1">
      <c r="A120" s="125">
        <v>65761979</v>
      </c>
      <c r="B120" s="126" t="s">
        <v>57</v>
      </c>
      <c r="C120" s="126" t="s">
        <v>47</v>
      </c>
      <c r="D120" s="126" t="s">
        <v>172</v>
      </c>
      <c r="E120" s="126" t="s">
        <v>178</v>
      </c>
      <c r="F120" s="127">
        <v>1704464</v>
      </c>
      <c r="G120" s="127">
        <v>0</v>
      </c>
      <c r="H120" s="127">
        <v>30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1.9</v>
      </c>
      <c r="O120" s="127">
        <v>1.7</v>
      </c>
      <c r="P120" s="242" t="s">
        <v>280</v>
      </c>
      <c r="Q120" s="129">
        <v>0</v>
      </c>
      <c r="R120" s="129">
        <v>506247</v>
      </c>
      <c r="S120" s="129">
        <v>0</v>
      </c>
      <c r="T120" s="129">
        <v>0</v>
      </c>
      <c r="U120" s="129">
        <v>0</v>
      </c>
      <c r="V120" s="129">
        <v>0</v>
      </c>
      <c r="W120" s="129">
        <v>0</v>
      </c>
      <c r="X120" s="129">
        <v>0</v>
      </c>
      <c r="Y120" s="129">
        <v>0</v>
      </c>
      <c r="Z120" s="129">
        <v>0</v>
      </c>
      <c r="AA120" s="129">
        <v>0</v>
      </c>
      <c r="AB120" s="129">
        <v>0</v>
      </c>
      <c r="AC120" s="129">
        <v>0</v>
      </c>
      <c r="AD120" s="129">
        <v>0</v>
      </c>
      <c r="AE120" s="129">
        <v>0</v>
      </c>
      <c r="AF120" s="129">
        <v>0</v>
      </c>
      <c r="AG120" s="129">
        <v>13376225</v>
      </c>
      <c r="AH120" s="129">
        <v>458898</v>
      </c>
      <c r="AI120" s="129">
        <v>0</v>
      </c>
      <c r="AJ120" s="129">
        <v>128400</v>
      </c>
      <c r="AK120" s="129"/>
      <c r="AL120" s="129">
        <v>13376225</v>
      </c>
      <c r="AM120" s="130">
        <v>1093545</v>
      </c>
      <c r="AN120" s="78"/>
      <c r="AO120" s="348">
        <v>497000</v>
      </c>
      <c r="AP120" s="192">
        <f t="shared" si="86"/>
        <v>0.9817342127459521</v>
      </c>
      <c r="AQ120" s="112"/>
      <c r="AR120" s="82"/>
      <c r="AS120" s="113">
        <f t="shared" si="65"/>
        <v>1084298</v>
      </c>
      <c r="AT120" s="114">
        <f t="shared" si="66"/>
        <v>0.08106158501370903</v>
      </c>
      <c r="AU120" s="115">
        <f t="shared" si="67"/>
        <v>12291927</v>
      </c>
      <c r="AV120" s="86">
        <f t="shared" si="68"/>
        <v>0.9915440151068314</v>
      </c>
      <c r="AW120" s="185">
        <f t="shared" si="69"/>
        <v>9247</v>
      </c>
      <c r="AX120" s="186">
        <f>IF(W120&gt;AU120,0,AU120-W120)</f>
        <v>12291927</v>
      </c>
      <c r="AY120" s="88"/>
      <c r="AZ120" s="117">
        <f t="shared" si="87"/>
        <v>261578.94736842107</v>
      </c>
      <c r="BA120" s="118">
        <f t="shared" si="87"/>
        <v>292352.9411764706</v>
      </c>
      <c r="BB120" s="88"/>
      <c r="BC120" s="287">
        <v>0</v>
      </c>
      <c r="BD120" s="91"/>
      <c r="BE120" s="92">
        <f t="shared" si="59"/>
        <v>0</v>
      </c>
      <c r="BF120" s="93"/>
      <c r="BG120" s="92"/>
      <c r="BH120" s="92">
        <v>0</v>
      </c>
      <c r="BI120" s="94">
        <v>0</v>
      </c>
      <c r="BJ120" s="120" t="s">
        <v>174</v>
      </c>
      <c r="BK120" s="121" t="s">
        <v>56</v>
      </c>
      <c r="BL120" s="97" t="e">
        <f t="shared" si="47"/>
        <v>#DIV/0!</v>
      </c>
      <c r="BM120" s="98"/>
      <c r="BN120" s="122">
        <f>($BI120+$BC120+$AO120+$AJ120+$AH120+$AF120+$AD120+$AB120+$Z120+$V120+$T120)/$AL120</f>
        <v>0.08106158501370903</v>
      </c>
      <c r="BO120" s="122">
        <f t="shared" si="48"/>
        <v>0.9915440151068314</v>
      </c>
      <c r="BP120" s="82"/>
      <c r="BQ120" s="123">
        <f t="shared" si="49"/>
        <v>0</v>
      </c>
      <c r="BR120" s="101"/>
      <c r="BS120" s="92">
        <f t="shared" si="50"/>
        <v>0</v>
      </c>
      <c r="BT120" s="92">
        <f t="shared" si="51"/>
        <v>497000</v>
      </c>
      <c r="BU120" s="124"/>
      <c r="BV120" s="66" t="s">
        <v>356</v>
      </c>
    </row>
    <row r="121" spans="1:74" ht="15" thickBot="1">
      <c r="A121" s="167" t="s">
        <v>61</v>
      </c>
      <c r="B121" s="71"/>
      <c r="C121" s="71"/>
      <c r="D121" s="71"/>
      <c r="E121" s="7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2">
        <f aca="true" t="shared" si="88" ref="Q121:AJ121">SUM(Q116:Q120)</f>
        <v>639000</v>
      </c>
      <c r="R121" s="152">
        <f t="shared" si="88"/>
        <v>2059446</v>
      </c>
      <c r="S121" s="152">
        <f t="shared" si="88"/>
        <v>0</v>
      </c>
      <c r="T121" s="152">
        <f t="shared" si="88"/>
        <v>0</v>
      </c>
      <c r="U121" s="152">
        <f t="shared" si="88"/>
        <v>78000</v>
      </c>
      <c r="V121" s="152">
        <f t="shared" si="88"/>
        <v>40000</v>
      </c>
      <c r="W121" s="152">
        <f t="shared" si="88"/>
        <v>176250</v>
      </c>
      <c r="X121" s="152">
        <f t="shared" si="88"/>
        <v>322200</v>
      </c>
      <c r="Y121" s="152">
        <f t="shared" si="88"/>
        <v>42832</v>
      </c>
      <c r="Z121" s="152">
        <f t="shared" si="88"/>
        <v>128000</v>
      </c>
      <c r="AA121" s="152">
        <f t="shared" si="88"/>
        <v>0</v>
      </c>
      <c r="AB121" s="152">
        <f t="shared" si="88"/>
        <v>0</v>
      </c>
      <c r="AC121" s="152">
        <f t="shared" si="88"/>
        <v>0</v>
      </c>
      <c r="AD121" s="152">
        <f t="shared" si="88"/>
        <v>0</v>
      </c>
      <c r="AE121" s="152">
        <f t="shared" si="88"/>
        <v>0</v>
      </c>
      <c r="AF121" s="152">
        <f t="shared" si="88"/>
        <v>0</v>
      </c>
      <c r="AG121" s="152">
        <f t="shared" si="88"/>
        <v>13376225</v>
      </c>
      <c r="AH121" s="152">
        <f t="shared" si="88"/>
        <v>458898</v>
      </c>
      <c r="AI121" s="152">
        <f t="shared" si="88"/>
        <v>271000</v>
      </c>
      <c r="AJ121" s="152">
        <f t="shared" si="88"/>
        <v>254303</v>
      </c>
      <c r="AK121" s="152"/>
      <c r="AL121" s="152">
        <f>SUM(AL116:AL120)</f>
        <v>14583307</v>
      </c>
      <c r="AM121" s="243">
        <f>SUM(AM116:AM120)</f>
        <v>3262847</v>
      </c>
      <c r="AN121" s="153"/>
      <c r="AO121" s="154">
        <f>SUM(AO116:AO120)</f>
        <v>1737000</v>
      </c>
      <c r="AP121" s="157">
        <f t="shared" si="86"/>
        <v>0.8434307090353426</v>
      </c>
      <c r="AQ121" s="42">
        <f>-1+AO121/Q121</f>
        <v>1.7183098591549295</v>
      </c>
      <c r="AR121" s="82"/>
      <c r="AS121" s="155">
        <f t="shared" si="65"/>
        <v>2618201</v>
      </c>
      <c r="AT121" s="207">
        <f t="shared" si="66"/>
        <v>0.17953410704444472</v>
      </c>
      <c r="AU121" s="156">
        <f>SUM(AU116:AU120)</f>
        <v>12368882</v>
      </c>
      <c r="AV121" s="215">
        <f t="shared" si="68"/>
        <v>0.8024283700706776</v>
      </c>
      <c r="AW121" s="216">
        <f>SUM(AW116:AW120)</f>
        <v>644646</v>
      </c>
      <c r="AX121" s="210">
        <f>SUM(AX116:AX120)</f>
        <v>12316614</v>
      </c>
      <c r="AY121" s="88"/>
      <c r="AZ121" s="158"/>
      <c r="BA121" s="158"/>
      <c r="BB121" s="88"/>
      <c r="BC121" s="160">
        <f>SUM(BC116:BC120)</f>
        <v>40010</v>
      </c>
      <c r="BD121" s="160">
        <f>SUM(BD116:BD120)</f>
        <v>55865.00000000009</v>
      </c>
      <c r="BE121" s="161">
        <f>SUM(BE116:BE120)</f>
        <v>55865.00000000009</v>
      </c>
      <c r="BF121" s="160"/>
      <c r="BG121" s="161">
        <f>SUM(BG116:BG120)</f>
        <v>0</v>
      </c>
      <c r="BH121" s="161">
        <f>SUM(BH116:BH120)</f>
        <v>55865</v>
      </c>
      <c r="BI121" s="57">
        <f>SUM(BI116:BI120)</f>
        <v>135000</v>
      </c>
      <c r="BJ121" s="162"/>
      <c r="BK121" s="162"/>
      <c r="BL121" s="97">
        <f t="shared" si="47"/>
        <v>2.2482367371971788</v>
      </c>
      <c r="BM121" s="98"/>
      <c r="BN121" s="82"/>
      <c r="BO121" s="82"/>
      <c r="BP121" s="82"/>
      <c r="BQ121" s="161">
        <f>SUM(BQ116:BQ120)</f>
        <v>175010</v>
      </c>
      <c r="BR121" s="101"/>
      <c r="BS121" s="161">
        <f t="shared" si="50"/>
        <v>815250</v>
      </c>
      <c r="BT121" s="161">
        <f t="shared" si="51"/>
        <v>1912010</v>
      </c>
      <c r="BU121" s="163">
        <f t="shared" si="53"/>
        <v>1.3453051211284883</v>
      </c>
      <c r="BV121" s="67"/>
    </row>
    <row r="122" spans="1:74" ht="7.5" customHeight="1" thickBot="1">
      <c r="A122" s="149"/>
      <c r="B122" s="150"/>
      <c r="C122" s="150"/>
      <c r="D122" s="150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97"/>
      <c r="AQ122" s="97"/>
      <c r="AR122" s="97"/>
      <c r="AS122" s="164"/>
      <c r="AT122" s="82"/>
      <c r="AU122" s="165"/>
      <c r="AV122" s="215"/>
      <c r="AW122" s="164"/>
      <c r="AX122" s="165"/>
      <c r="AY122" s="88"/>
      <c r="AZ122" s="158"/>
      <c r="BA122" s="158"/>
      <c r="BB122" s="88"/>
      <c r="BC122" s="169"/>
      <c r="BD122" s="170"/>
      <c r="BE122" s="171"/>
      <c r="BF122" s="172"/>
      <c r="BG122" s="171"/>
      <c r="BH122" s="171"/>
      <c r="BI122" s="173"/>
      <c r="BJ122" s="162"/>
      <c r="BK122" s="162"/>
      <c r="BL122" s="97" t="e">
        <f t="shared" si="47"/>
        <v>#DIV/0!</v>
      </c>
      <c r="BM122" s="98">
        <f>(0.9*(Q122+S122+W122))-(T122+AO122+BC122+BI122)</f>
        <v>0</v>
      </c>
      <c r="BN122" s="82"/>
      <c r="BO122" s="82"/>
      <c r="BP122" s="82"/>
      <c r="BQ122" s="171"/>
      <c r="BR122" s="101"/>
      <c r="BS122" s="171"/>
      <c r="BT122" s="171"/>
      <c r="BU122" s="174"/>
      <c r="BV122" s="67"/>
    </row>
    <row r="123" spans="1:74" ht="54.75" customHeight="1">
      <c r="A123" s="72">
        <v>15060233</v>
      </c>
      <c r="B123" s="73" t="s">
        <v>46</v>
      </c>
      <c r="C123" s="73" t="s">
        <v>47</v>
      </c>
      <c r="D123" s="73" t="s">
        <v>179</v>
      </c>
      <c r="E123" s="73" t="s">
        <v>180</v>
      </c>
      <c r="F123" s="74">
        <v>8496850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3</v>
      </c>
      <c r="O123" s="74">
        <v>2</v>
      </c>
      <c r="P123" s="175" t="s">
        <v>282</v>
      </c>
      <c r="Q123" s="76">
        <v>570000</v>
      </c>
      <c r="R123" s="76">
        <v>757500</v>
      </c>
      <c r="S123" s="76">
        <v>0</v>
      </c>
      <c r="T123" s="76">
        <v>0</v>
      </c>
      <c r="U123" s="76">
        <v>0</v>
      </c>
      <c r="V123" s="76">
        <v>0</v>
      </c>
      <c r="W123" s="76">
        <v>70299</v>
      </c>
      <c r="X123" s="76">
        <v>90000</v>
      </c>
      <c r="Y123" s="76">
        <v>46050</v>
      </c>
      <c r="Z123" s="76">
        <v>70000</v>
      </c>
      <c r="AA123" s="76">
        <v>0</v>
      </c>
      <c r="AB123" s="76">
        <v>0</v>
      </c>
      <c r="AC123" s="76">
        <v>0</v>
      </c>
      <c r="AD123" s="76">
        <v>0</v>
      </c>
      <c r="AE123" s="76">
        <v>0</v>
      </c>
      <c r="AF123" s="76">
        <v>0</v>
      </c>
      <c r="AG123" s="76">
        <v>0</v>
      </c>
      <c r="AH123" s="76">
        <v>0</v>
      </c>
      <c r="AI123" s="76">
        <v>18095</v>
      </c>
      <c r="AJ123" s="76">
        <v>44000</v>
      </c>
      <c r="AK123" s="76">
        <v>704444</v>
      </c>
      <c r="AL123" s="76">
        <v>696651</v>
      </c>
      <c r="AM123" s="77">
        <v>961500</v>
      </c>
      <c r="AN123" s="78"/>
      <c r="AO123" s="342">
        <v>627000</v>
      </c>
      <c r="AP123" s="222">
        <f t="shared" si="86"/>
        <v>0.8277227722772277</v>
      </c>
      <c r="AQ123" s="81">
        <f aca="true" t="shared" si="89" ref="AQ123:AQ133">-1+AO123/Q123</f>
        <v>0.10000000000000009</v>
      </c>
      <c r="AR123" s="82"/>
      <c r="AS123" s="176">
        <f t="shared" si="65"/>
        <v>741000</v>
      </c>
      <c r="AT123" s="177">
        <f t="shared" si="66"/>
        <v>1.0518934081346423</v>
      </c>
      <c r="AU123" s="85">
        <f t="shared" si="67"/>
        <v>0</v>
      </c>
      <c r="AV123" s="86">
        <f t="shared" si="68"/>
        <v>0.7706708268330733</v>
      </c>
      <c r="AW123" s="178">
        <f t="shared" si="69"/>
        <v>220500</v>
      </c>
      <c r="AX123" s="85">
        <f aca="true" t="shared" si="90" ref="AX123:AX148">IF(W123&gt;AU123,0,AU123-W123)</f>
        <v>0</v>
      </c>
      <c r="AY123" s="88"/>
      <c r="AZ123" s="89">
        <f aca="true" t="shared" si="91" ref="AZ123:AZ134">$AO123/N123</f>
        <v>209000</v>
      </c>
      <c r="BA123" s="90">
        <f aca="true" t="shared" si="92" ref="BA123:BA134">$AO123/O123</f>
        <v>313500</v>
      </c>
      <c r="BB123" s="88"/>
      <c r="BC123" s="224">
        <v>0</v>
      </c>
      <c r="BD123" s="91">
        <f>(Q123+W123)*1.1-AO123-BC123</f>
        <v>77328.90000000002</v>
      </c>
      <c r="BE123" s="92">
        <f t="shared" si="59"/>
        <v>77328.90000000002</v>
      </c>
      <c r="BF123" s="93">
        <f t="shared" si="61"/>
        <v>1.1</v>
      </c>
      <c r="BG123" s="92"/>
      <c r="BH123" s="92">
        <v>77329</v>
      </c>
      <c r="BI123" s="94">
        <v>77329</v>
      </c>
      <c r="BJ123" s="227" t="s">
        <v>182</v>
      </c>
      <c r="BK123" s="182" t="s">
        <v>51</v>
      </c>
      <c r="BL123" s="97">
        <f t="shared" si="47"/>
        <v>1.100000156177036</v>
      </c>
      <c r="BM123" s="98"/>
      <c r="BN123" s="99">
        <f aca="true" t="shared" si="93" ref="BN123:BN148">($BI123+$BC123+$AO123+$AJ123+$AH123+$AF123+$AD123+$AB123+$Z123+$V123+$T123)/$AL123</f>
        <v>1.1746613440589333</v>
      </c>
      <c r="BO123" s="99">
        <f t="shared" si="48"/>
        <v>0.8510962038481539</v>
      </c>
      <c r="BP123" s="82"/>
      <c r="BQ123" s="100">
        <f t="shared" si="49"/>
        <v>77329</v>
      </c>
      <c r="BR123" s="101"/>
      <c r="BS123" s="92">
        <f t="shared" si="50"/>
        <v>640299</v>
      </c>
      <c r="BT123" s="92">
        <f t="shared" si="51"/>
        <v>704329</v>
      </c>
      <c r="BU123" s="102">
        <f t="shared" si="53"/>
        <v>0.10000015617703606</v>
      </c>
      <c r="BV123" s="64" t="s">
        <v>360</v>
      </c>
    </row>
    <row r="124" spans="1:74" ht="42.75">
      <c r="A124" s="103">
        <v>15060306</v>
      </c>
      <c r="B124" s="104" t="s">
        <v>68</v>
      </c>
      <c r="C124" s="104" t="s">
        <v>47</v>
      </c>
      <c r="D124" s="104" t="s">
        <v>179</v>
      </c>
      <c r="E124" s="104" t="s">
        <v>181</v>
      </c>
      <c r="F124" s="105">
        <v>1922103</v>
      </c>
      <c r="G124" s="106"/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1.9</v>
      </c>
      <c r="O124" s="105">
        <v>1.9</v>
      </c>
      <c r="P124" s="184" t="s">
        <v>291</v>
      </c>
      <c r="Q124" s="108">
        <v>472000</v>
      </c>
      <c r="R124" s="108">
        <v>510000</v>
      </c>
      <c r="S124" s="108">
        <v>0</v>
      </c>
      <c r="T124" s="108">
        <v>0</v>
      </c>
      <c r="U124" s="108">
        <v>0</v>
      </c>
      <c r="V124" s="108">
        <v>14400</v>
      </c>
      <c r="W124" s="108">
        <v>123160</v>
      </c>
      <c r="X124" s="108">
        <v>125000</v>
      </c>
      <c r="Y124" s="108">
        <v>18295</v>
      </c>
      <c r="Z124" s="108">
        <v>63000</v>
      </c>
      <c r="AA124" s="108">
        <v>0</v>
      </c>
      <c r="AB124" s="108">
        <v>0</v>
      </c>
      <c r="AC124" s="108">
        <v>0</v>
      </c>
      <c r="AD124" s="108">
        <v>0</v>
      </c>
      <c r="AE124" s="108">
        <v>0</v>
      </c>
      <c r="AF124" s="108">
        <v>0</v>
      </c>
      <c r="AG124" s="108">
        <v>0</v>
      </c>
      <c r="AH124" s="108">
        <v>0</v>
      </c>
      <c r="AI124" s="108">
        <v>0</v>
      </c>
      <c r="AJ124" s="108">
        <v>10724</v>
      </c>
      <c r="AK124" s="108">
        <v>613455</v>
      </c>
      <c r="AL124" s="108">
        <v>613455</v>
      </c>
      <c r="AM124" s="109">
        <v>722724</v>
      </c>
      <c r="AN124" s="78"/>
      <c r="AO124" s="348">
        <v>375000</v>
      </c>
      <c r="AP124" s="192">
        <f t="shared" si="86"/>
        <v>0.7352941176470589</v>
      </c>
      <c r="AQ124" s="112">
        <f t="shared" si="89"/>
        <v>-0.2055084745762712</v>
      </c>
      <c r="AR124" s="82"/>
      <c r="AS124" s="113">
        <f t="shared" si="65"/>
        <v>463124</v>
      </c>
      <c r="AT124" s="114">
        <f t="shared" si="66"/>
        <v>0.7549437204032896</v>
      </c>
      <c r="AU124" s="115">
        <f t="shared" si="67"/>
        <v>150331</v>
      </c>
      <c r="AV124" s="86">
        <f t="shared" si="68"/>
        <v>0.6408034048959216</v>
      </c>
      <c r="AW124" s="185">
        <f t="shared" si="69"/>
        <v>259600</v>
      </c>
      <c r="AX124" s="186">
        <f t="shared" si="90"/>
        <v>27171</v>
      </c>
      <c r="AY124" s="88"/>
      <c r="AZ124" s="117">
        <f t="shared" si="91"/>
        <v>197368.4210526316</v>
      </c>
      <c r="BA124" s="118">
        <f t="shared" si="92"/>
        <v>197368.4210526316</v>
      </c>
      <c r="BB124" s="88"/>
      <c r="BC124" s="119">
        <v>86212</v>
      </c>
      <c r="BD124" s="91">
        <f>(Q124+W124)*1.1-AO124-BC124</f>
        <v>193464</v>
      </c>
      <c r="BE124" s="92">
        <f t="shared" si="59"/>
        <v>38788</v>
      </c>
      <c r="BF124" s="93">
        <f t="shared" si="61"/>
        <v>0.8401102224611869</v>
      </c>
      <c r="BG124" s="92"/>
      <c r="BH124" s="92">
        <v>38788</v>
      </c>
      <c r="BI124" s="94">
        <v>110000</v>
      </c>
      <c r="BJ124" s="120" t="s">
        <v>182</v>
      </c>
      <c r="BK124" s="121" t="s">
        <v>56</v>
      </c>
      <c r="BL124" s="97">
        <f t="shared" si="47"/>
        <v>0.8401102224611869</v>
      </c>
      <c r="BM124" s="98">
        <f>(0.9*(Q124+S124+W124))-(T124+AO124+BC124+BH124)</f>
        <v>35644</v>
      </c>
      <c r="BN124" s="122">
        <f t="shared" si="93"/>
        <v>1.074791141974554</v>
      </c>
      <c r="BO124" s="122">
        <f t="shared" si="48"/>
        <v>0.9122929361692707</v>
      </c>
      <c r="BP124" s="82"/>
      <c r="BQ124" s="123">
        <f t="shared" si="49"/>
        <v>196212</v>
      </c>
      <c r="BR124" s="101"/>
      <c r="BS124" s="92">
        <f t="shared" si="50"/>
        <v>595160</v>
      </c>
      <c r="BT124" s="92">
        <f t="shared" si="51"/>
        <v>571212</v>
      </c>
      <c r="BU124" s="124">
        <f t="shared" si="53"/>
        <v>-0.04023791921500097</v>
      </c>
      <c r="BV124" s="65" t="s">
        <v>328</v>
      </c>
    </row>
    <row r="125" spans="1:74" ht="42.75">
      <c r="A125" s="103">
        <v>15060306</v>
      </c>
      <c r="B125" s="104" t="s">
        <v>68</v>
      </c>
      <c r="C125" s="104" t="s">
        <v>47</v>
      </c>
      <c r="D125" s="104" t="s">
        <v>179</v>
      </c>
      <c r="E125" s="104" t="s">
        <v>183</v>
      </c>
      <c r="F125" s="105">
        <v>9457050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2</v>
      </c>
      <c r="O125" s="105">
        <v>1.6</v>
      </c>
      <c r="P125" s="184" t="s">
        <v>282</v>
      </c>
      <c r="Q125" s="108">
        <v>624000</v>
      </c>
      <c r="R125" s="108">
        <v>671000</v>
      </c>
      <c r="S125" s="108">
        <v>0</v>
      </c>
      <c r="T125" s="108">
        <v>0</v>
      </c>
      <c r="U125" s="108">
        <v>38585</v>
      </c>
      <c r="V125" s="108">
        <v>0</v>
      </c>
      <c r="W125" s="108">
        <v>162980</v>
      </c>
      <c r="X125" s="108">
        <v>150000</v>
      </c>
      <c r="Y125" s="108">
        <v>0</v>
      </c>
      <c r="Z125" s="108">
        <v>90000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08">
        <v>0</v>
      </c>
      <c r="AG125" s="108">
        <v>0</v>
      </c>
      <c r="AH125" s="108">
        <v>0</v>
      </c>
      <c r="AI125" s="108">
        <v>0</v>
      </c>
      <c r="AJ125" s="108">
        <v>5339</v>
      </c>
      <c r="AK125" s="108">
        <v>825565</v>
      </c>
      <c r="AL125" s="108">
        <v>825565</v>
      </c>
      <c r="AM125" s="109">
        <v>916339</v>
      </c>
      <c r="AN125" s="78"/>
      <c r="AO125" s="348">
        <v>472000</v>
      </c>
      <c r="AP125" s="192">
        <f t="shared" si="86"/>
        <v>0.7034277198211625</v>
      </c>
      <c r="AQ125" s="112">
        <f t="shared" si="89"/>
        <v>-0.2435897435897436</v>
      </c>
      <c r="AR125" s="82"/>
      <c r="AS125" s="113">
        <f t="shared" si="65"/>
        <v>567339</v>
      </c>
      <c r="AT125" s="114">
        <f t="shared" si="66"/>
        <v>0.6872129995821044</v>
      </c>
      <c r="AU125" s="115">
        <f t="shared" si="67"/>
        <v>258226</v>
      </c>
      <c r="AV125" s="86">
        <f t="shared" si="68"/>
        <v>0.619136585914165</v>
      </c>
      <c r="AW125" s="185">
        <f t="shared" si="69"/>
        <v>349000</v>
      </c>
      <c r="AX125" s="186">
        <f t="shared" si="90"/>
        <v>95246</v>
      </c>
      <c r="AY125" s="88"/>
      <c r="AZ125" s="117">
        <f t="shared" si="91"/>
        <v>236000</v>
      </c>
      <c r="BA125" s="118">
        <f t="shared" si="92"/>
        <v>295000</v>
      </c>
      <c r="BB125" s="88"/>
      <c r="BC125" s="119">
        <v>114086</v>
      </c>
      <c r="BD125" s="91">
        <f>(Q125+W125)*1.1-AO125-BC125</f>
        <v>279592.0000000001</v>
      </c>
      <c r="BE125" s="92">
        <f t="shared" si="59"/>
        <v>35914</v>
      </c>
      <c r="BF125" s="93">
        <f t="shared" si="61"/>
        <v>0.7903631604360974</v>
      </c>
      <c r="BG125" s="92"/>
      <c r="BH125" s="92">
        <v>150000</v>
      </c>
      <c r="BI125" s="94">
        <v>200000</v>
      </c>
      <c r="BJ125" s="120" t="s">
        <v>182</v>
      </c>
      <c r="BK125" s="121" t="s">
        <v>56</v>
      </c>
      <c r="BL125" s="97">
        <f t="shared" si="47"/>
        <v>0.9353299956796869</v>
      </c>
      <c r="BM125" s="98"/>
      <c r="BN125" s="122">
        <f t="shared" si="93"/>
        <v>1.0676627521757827</v>
      </c>
      <c r="BO125" s="122">
        <f t="shared" si="48"/>
        <v>0.9618983804028858</v>
      </c>
      <c r="BP125" s="82"/>
      <c r="BQ125" s="123">
        <f t="shared" si="49"/>
        <v>314086</v>
      </c>
      <c r="BR125" s="101"/>
      <c r="BS125" s="92">
        <f t="shared" si="50"/>
        <v>786980</v>
      </c>
      <c r="BT125" s="92">
        <f t="shared" si="51"/>
        <v>786086</v>
      </c>
      <c r="BU125" s="124">
        <f t="shared" si="53"/>
        <v>-0.0011359882080865802</v>
      </c>
      <c r="BV125" s="65" t="s">
        <v>361</v>
      </c>
    </row>
    <row r="126" spans="1:74" ht="71.25">
      <c r="A126" s="103">
        <v>15060306</v>
      </c>
      <c r="B126" s="104" t="s">
        <v>68</v>
      </c>
      <c r="C126" s="104" t="s">
        <v>47</v>
      </c>
      <c r="D126" s="104" t="s">
        <v>179</v>
      </c>
      <c r="E126" s="104" t="s">
        <v>184</v>
      </c>
      <c r="F126" s="105">
        <v>5067947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0.6</v>
      </c>
      <c r="O126" s="105">
        <v>0.5</v>
      </c>
      <c r="P126" s="184" t="s">
        <v>285</v>
      </c>
      <c r="Q126" s="108">
        <v>31000</v>
      </c>
      <c r="R126" s="108">
        <v>55000</v>
      </c>
      <c r="S126" s="108">
        <v>0</v>
      </c>
      <c r="T126" s="108">
        <v>0</v>
      </c>
      <c r="U126" s="108">
        <v>0</v>
      </c>
      <c r="V126" s="108">
        <v>0</v>
      </c>
      <c r="W126" s="108">
        <v>32000</v>
      </c>
      <c r="X126" s="108">
        <v>50000</v>
      </c>
      <c r="Y126" s="108">
        <v>67342</v>
      </c>
      <c r="Z126" s="108">
        <v>70000</v>
      </c>
      <c r="AA126" s="108">
        <v>0</v>
      </c>
      <c r="AB126" s="108">
        <v>0</v>
      </c>
      <c r="AC126" s="108">
        <v>0</v>
      </c>
      <c r="AD126" s="108">
        <v>0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5000</v>
      </c>
      <c r="AK126" s="108">
        <v>130342</v>
      </c>
      <c r="AL126" s="108">
        <v>130342</v>
      </c>
      <c r="AM126" s="109">
        <v>180000</v>
      </c>
      <c r="AN126" s="78"/>
      <c r="AO126" s="348">
        <v>55000</v>
      </c>
      <c r="AP126" s="192">
        <f t="shared" si="86"/>
        <v>1</v>
      </c>
      <c r="AQ126" s="112">
        <f t="shared" si="89"/>
        <v>0.7741935483870968</v>
      </c>
      <c r="AR126" s="82"/>
      <c r="AS126" s="113">
        <f t="shared" si="65"/>
        <v>130000</v>
      </c>
      <c r="AT126" s="114">
        <f t="shared" si="66"/>
        <v>0.9973761335563364</v>
      </c>
      <c r="AU126" s="115">
        <f t="shared" si="67"/>
        <v>342</v>
      </c>
      <c r="AV126" s="86">
        <f t="shared" si="68"/>
        <v>0.7222222222222222</v>
      </c>
      <c r="AW126" s="185">
        <f t="shared" si="69"/>
        <v>50000</v>
      </c>
      <c r="AX126" s="186">
        <f t="shared" si="90"/>
        <v>0</v>
      </c>
      <c r="AY126" s="88"/>
      <c r="AZ126" s="117">
        <f t="shared" si="91"/>
        <v>91666.66666666667</v>
      </c>
      <c r="BA126" s="118">
        <f t="shared" si="92"/>
        <v>110000</v>
      </c>
      <c r="BB126" s="88"/>
      <c r="BC126" s="119">
        <v>13000</v>
      </c>
      <c r="BD126" s="91">
        <f>(Q126+W126)*1.1-AO126-BC126</f>
        <v>1300</v>
      </c>
      <c r="BE126" s="92">
        <f t="shared" si="59"/>
        <v>1300</v>
      </c>
      <c r="BF126" s="93">
        <f t="shared" si="61"/>
        <v>1.1</v>
      </c>
      <c r="BG126" s="92"/>
      <c r="BH126" s="92">
        <v>1300</v>
      </c>
      <c r="BI126" s="94">
        <v>35000</v>
      </c>
      <c r="BJ126" s="120" t="s">
        <v>182</v>
      </c>
      <c r="BK126" s="121" t="s">
        <v>56</v>
      </c>
      <c r="BL126" s="97">
        <f aca="true" t="shared" si="94" ref="BL126:BL182">(BH126+BC126+AO126+T126)/(Q126+S126+W126)</f>
        <v>1.1</v>
      </c>
      <c r="BM126" s="98"/>
      <c r="BN126" s="122">
        <f t="shared" si="93"/>
        <v>1.365638090561753</v>
      </c>
      <c r="BO126" s="122">
        <f aca="true" t="shared" si="95" ref="BO126:BO182">($BI126+$BC126+$AO126+$AJ126+$AH126+$AF126+$AD126+$AB126+$Z126+$V126+$T126)/$AM126</f>
        <v>0.9888888888888889</v>
      </c>
      <c r="BP126" s="82"/>
      <c r="BQ126" s="123">
        <f aca="true" t="shared" si="96" ref="BQ126:BQ182">BC126+BI126</f>
        <v>48000</v>
      </c>
      <c r="BR126" s="101"/>
      <c r="BS126" s="92">
        <f aca="true" t="shared" si="97" ref="BS126:BS182">Q126+W126</f>
        <v>63000</v>
      </c>
      <c r="BT126" s="92">
        <f aca="true" t="shared" si="98" ref="BT126:BT182">AO126+BQ126</f>
        <v>103000</v>
      </c>
      <c r="BU126" s="124">
        <f aca="true" t="shared" si="99" ref="BU126:BU182">-1+BT126/BS126</f>
        <v>0.6349206349206349</v>
      </c>
      <c r="BV126" s="65" t="s">
        <v>362</v>
      </c>
    </row>
    <row r="127" spans="1:74" ht="71.25">
      <c r="A127" s="103">
        <v>15060306</v>
      </c>
      <c r="B127" s="104" t="s">
        <v>68</v>
      </c>
      <c r="C127" s="104" t="s">
        <v>47</v>
      </c>
      <c r="D127" s="104" t="s">
        <v>179</v>
      </c>
      <c r="E127" s="104" t="s">
        <v>185</v>
      </c>
      <c r="F127" s="105">
        <v>9427815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0.7</v>
      </c>
      <c r="O127" s="105">
        <v>0.5</v>
      </c>
      <c r="P127" s="184" t="s">
        <v>285</v>
      </c>
      <c r="Q127" s="108">
        <v>37000</v>
      </c>
      <c r="R127" s="108">
        <v>85000</v>
      </c>
      <c r="S127" s="108">
        <v>0</v>
      </c>
      <c r="T127" s="108">
        <v>0</v>
      </c>
      <c r="U127" s="108">
        <v>0</v>
      </c>
      <c r="V127" s="108">
        <v>0</v>
      </c>
      <c r="W127" s="108">
        <v>38000</v>
      </c>
      <c r="X127" s="108">
        <v>60000</v>
      </c>
      <c r="Y127" s="108">
        <v>114828</v>
      </c>
      <c r="Z127" s="108">
        <v>70000</v>
      </c>
      <c r="AA127" s="108">
        <v>0</v>
      </c>
      <c r="AB127" s="108">
        <v>0</v>
      </c>
      <c r="AC127" s="108">
        <v>0</v>
      </c>
      <c r="AD127" s="108">
        <v>0</v>
      </c>
      <c r="AE127" s="108">
        <v>0</v>
      </c>
      <c r="AF127" s="108">
        <v>0</v>
      </c>
      <c r="AG127" s="108">
        <v>0</v>
      </c>
      <c r="AH127" s="108">
        <v>0</v>
      </c>
      <c r="AI127" s="108">
        <v>0</v>
      </c>
      <c r="AJ127" s="108">
        <v>5000</v>
      </c>
      <c r="AK127" s="108">
        <v>189828</v>
      </c>
      <c r="AL127" s="108">
        <v>189828</v>
      </c>
      <c r="AM127" s="109">
        <v>220000</v>
      </c>
      <c r="AN127" s="78"/>
      <c r="AO127" s="348">
        <v>85000</v>
      </c>
      <c r="AP127" s="192">
        <f t="shared" si="86"/>
        <v>1</v>
      </c>
      <c r="AQ127" s="112">
        <f t="shared" si="89"/>
        <v>1.2972972972972974</v>
      </c>
      <c r="AR127" s="82"/>
      <c r="AS127" s="113">
        <f t="shared" si="65"/>
        <v>160000</v>
      </c>
      <c r="AT127" s="114">
        <f t="shared" si="66"/>
        <v>0.8428682807594243</v>
      </c>
      <c r="AU127" s="115">
        <f t="shared" si="67"/>
        <v>29828</v>
      </c>
      <c r="AV127" s="86">
        <f t="shared" si="68"/>
        <v>0.7272727272727273</v>
      </c>
      <c r="AW127" s="185">
        <f t="shared" si="69"/>
        <v>60000</v>
      </c>
      <c r="AX127" s="186">
        <f t="shared" si="90"/>
        <v>0</v>
      </c>
      <c r="AY127" s="88"/>
      <c r="AZ127" s="117">
        <f t="shared" si="91"/>
        <v>121428.57142857143</v>
      </c>
      <c r="BA127" s="118">
        <f t="shared" si="92"/>
        <v>170000</v>
      </c>
      <c r="BB127" s="88"/>
      <c r="BC127" s="119">
        <v>0</v>
      </c>
      <c r="BD127" s="91"/>
      <c r="BE127" s="92">
        <f t="shared" si="59"/>
        <v>0</v>
      </c>
      <c r="BF127" s="93">
        <f t="shared" si="61"/>
        <v>1.1333333333333333</v>
      </c>
      <c r="BG127" s="92"/>
      <c r="BH127" s="92">
        <v>0</v>
      </c>
      <c r="BI127" s="94">
        <v>50000</v>
      </c>
      <c r="BJ127" s="120" t="s">
        <v>182</v>
      </c>
      <c r="BK127" s="121" t="s">
        <v>56</v>
      </c>
      <c r="BL127" s="97">
        <f t="shared" si="94"/>
        <v>1.1333333333333333</v>
      </c>
      <c r="BM127" s="98"/>
      <c r="BN127" s="122">
        <f t="shared" si="93"/>
        <v>1.1062646184967444</v>
      </c>
      <c r="BO127" s="122">
        <f t="shared" si="95"/>
        <v>0.9545454545454546</v>
      </c>
      <c r="BP127" s="82"/>
      <c r="BQ127" s="123">
        <f t="shared" si="96"/>
        <v>50000</v>
      </c>
      <c r="BR127" s="101"/>
      <c r="BS127" s="92">
        <f t="shared" si="97"/>
        <v>75000</v>
      </c>
      <c r="BT127" s="92">
        <f t="shared" si="98"/>
        <v>135000</v>
      </c>
      <c r="BU127" s="124">
        <f t="shared" si="99"/>
        <v>0.8</v>
      </c>
      <c r="BV127" s="65" t="s">
        <v>362</v>
      </c>
    </row>
    <row r="128" spans="1:74" ht="57">
      <c r="A128" s="103">
        <v>26304856</v>
      </c>
      <c r="B128" s="104" t="s">
        <v>52</v>
      </c>
      <c r="C128" s="104" t="s">
        <v>47</v>
      </c>
      <c r="D128" s="104" t="s">
        <v>179</v>
      </c>
      <c r="E128" s="104" t="s">
        <v>186</v>
      </c>
      <c r="F128" s="105">
        <v>3940396</v>
      </c>
      <c r="G128" s="106"/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1.4</v>
      </c>
      <c r="O128" s="105">
        <v>1</v>
      </c>
      <c r="P128" s="184" t="s">
        <v>280</v>
      </c>
      <c r="Q128" s="108">
        <v>136000</v>
      </c>
      <c r="R128" s="108">
        <v>501760</v>
      </c>
      <c r="S128" s="108">
        <v>0</v>
      </c>
      <c r="T128" s="108">
        <v>0</v>
      </c>
      <c r="U128" s="108">
        <v>104000</v>
      </c>
      <c r="V128" s="108">
        <v>39000</v>
      </c>
      <c r="W128" s="108">
        <v>256803</v>
      </c>
      <c r="X128" s="108">
        <v>46300</v>
      </c>
      <c r="Y128" s="108">
        <v>3000</v>
      </c>
      <c r="Z128" s="108">
        <v>4000</v>
      </c>
      <c r="AA128" s="108">
        <v>0</v>
      </c>
      <c r="AB128" s="108">
        <v>0</v>
      </c>
      <c r="AC128" s="108">
        <v>0</v>
      </c>
      <c r="AD128" s="108">
        <v>0</v>
      </c>
      <c r="AE128" s="108">
        <v>0</v>
      </c>
      <c r="AF128" s="108">
        <v>0</v>
      </c>
      <c r="AG128" s="108">
        <v>0</v>
      </c>
      <c r="AH128" s="108">
        <v>0</v>
      </c>
      <c r="AI128" s="108">
        <v>145400</v>
      </c>
      <c r="AJ128" s="108">
        <v>125740</v>
      </c>
      <c r="AK128" s="108"/>
      <c r="AL128" s="108">
        <v>434700</v>
      </c>
      <c r="AM128" s="109">
        <v>716800</v>
      </c>
      <c r="AN128" s="78"/>
      <c r="AO128" s="348">
        <v>264000</v>
      </c>
      <c r="AP128" s="192">
        <f t="shared" si="86"/>
        <v>0.5261479591836735</v>
      </c>
      <c r="AQ128" s="112">
        <f t="shared" si="89"/>
        <v>0.9411764705882353</v>
      </c>
      <c r="AR128" s="82"/>
      <c r="AS128" s="113">
        <f t="shared" si="65"/>
        <v>432740</v>
      </c>
      <c r="AT128" s="114">
        <f t="shared" si="66"/>
        <v>0.6707036390097381</v>
      </c>
      <c r="AU128" s="115">
        <f t="shared" si="67"/>
        <v>212463</v>
      </c>
      <c r="AV128" s="86">
        <f t="shared" si="68"/>
        <v>0.6037109375</v>
      </c>
      <c r="AW128" s="185">
        <f t="shared" si="69"/>
        <v>284060</v>
      </c>
      <c r="AX128" s="186">
        <f t="shared" si="90"/>
        <v>0</v>
      </c>
      <c r="AY128" s="88"/>
      <c r="AZ128" s="117">
        <f t="shared" si="91"/>
        <v>188571.42857142858</v>
      </c>
      <c r="BA128" s="118">
        <f t="shared" si="92"/>
        <v>264000</v>
      </c>
      <c r="BB128" s="88"/>
      <c r="BC128" s="119">
        <v>179762</v>
      </c>
      <c r="BD128" s="91"/>
      <c r="BE128" s="92"/>
      <c r="BF128" s="93">
        <f t="shared" si="61"/>
        <v>1.1297316975685012</v>
      </c>
      <c r="BG128" s="92"/>
      <c r="BH128" s="92">
        <v>0</v>
      </c>
      <c r="BI128" s="94">
        <v>0</v>
      </c>
      <c r="BJ128" s="120" t="s">
        <v>182</v>
      </c>
      <c r="BK128" s="121" t="s">
        <v>54</v>
      </c>
      <c r="BL128" s="97">
        <f t="shared" si="94"/>
        <v>1.1297316975685012</v>
      </c>
      <c r="BM128" s="98"/>
      <c r="BN128" s="122">
        <f t="shared" si="93"/>
        <v>1.4090223142397056</v>
      </c>
      <c r="BO128" s="122">
        <f t="shared" si="95"/>
        <v>0.8544949776785714</v>
      </c>
      <c r="BP128" s="82"/>
      <c r="BQ128" s="123">
        <f t="shared" si="96"/>
        <v>179762</v>
      </c>
      <c r="BR128" s="101"/>
      <c r="BS128" s="92">
        <f t="shared" si="97"/>
        <v>392803</v>
      </c>
      <c r="BT128" s="92">
        <f t="shared" si="98"/>
        <v>443762</v>
      </c>
      <c r="BU128" s="124">
        <f t="shared" si="99"/>
        <v>0.12973169756850123</v>
      </c>
      <c r="BV128" s="65" t="s">
        <v>350</v>
      </c>
    </row>
    <row r="129" spans="1:74" ht="42.75">
      <c r="A129" s="103">
        <v>26594706</v>
      </c>
      <c r="B129" s="104" t="s">
        <v>187</v>
      </c>
      <c r="C129" s="104" t="s">
        <v>47</v>
      </c>
      <c r="D129" s="104" t="s">
        <v>179</v>
      </c>
      <c r="E129" s="104" t="s">
        <v>188</v>
      </c>
      <c r="F129" s="105">
        <v>4576756</v>
      </c>
      <c r="G129" s="106"/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1.5</v>
      </c>
      <c r="O129" s="105">
        <v>1.3</v>
      </c>
      <c r="P129" s="184" t="s">
        <v>291</v>
      </c>
      <c r="Q129" s="108">
        <v>342400</v>
      </c>
      <c r="R129" s="108">
        <v>383918</v>
      </c>
      <c r="S129" s="108">
        <v>0</v>
      </c>
      <c r="T129" s="108">
        <v>0</v>
      </c>
      <c r="U129" s="108">
        <v>28740</v>
      </c>
      <c r="V129" s="108">
        <v>0</v>
      </c>
      <c r="W129" s="108">
        <v>67499</v>
      </c>
      <c r="X129" s="108">
        <v>50400</v>
      </c>
      <c r="Y129" s="108">
        <v>42208</v>
      </c>
      <c r="Z129" s="108">
        <v>28000</v>
      </c>
      <c r="AA129" s="108">
        <v>0</v>
      </c>
      <c r="AB129" s="108">
        <v>0</v>
      </c>
      <c r="AC129" s="108">
        <v>63320</v>
      </c>
      <c r="AD129" s="108">
        <v>3000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18250</v>
      </c>
      <c r="AJ129" s="108">
        <v>35400</v>
      </c>
      <c r="AK129" s="108"/>
      <c r="AL129" s="108">
        <v>562417</v>
      </c>
      <c r="AM129" s="109">
        <v>500718</v>
      </c>
      <c r="AN129" s="78"/>
      <c r="AO129" s="348">
        <v>376600</v>
      </c>
      <c r="AP129" s="192">
        <f t="shared" si="86"/>
        <v>0.9809386379383097</v>
      </c>
      <c r="AQ129" s="112">
        <f t="shared" si="89"/>
        <v>0.09988317757009346</v>
      </c>
      <c r="AR129" s="82"/>
      <c r="AS129" s="113">
        <f t="shared" si="65"/>
        <v>443000</v>
      </c>
      <c r="AT129" s="114">
        <f t="shared" si="66"/>
        <v>0.7876717809027821</v>
      </c>
      <c r="AU129" s="115">
        <f t="shared" si="67"/>
        <v>119417</v>
      </c>
      <c r="AV129" s="86">
        <f t="shared" si="68"/>
        <v>0.8847295283972216</v>
      </c>
      <c r="AW129" s="185">
        <f t="shared" si="69"/>
        <v>57718</v>
      </c>
      <c r="AX129" s="186">
        <f t="shared" si="90"/>
        <v>51918</v>
      </c>
      <c r="AY129" s="88"/>
      <c r="AZ129" s="117">
        <f t="shared" si="91"/>
        <v>251066.66666666666</v>
      </c>
      <c r="BA129" s="118">
        <f t="shared" si="92"/>
        <v>289692.3076923077</v>
      </c>
      <c r="BB129" s="88"/>
      <c r="BC129" s="119">
        <v>47249</v>
      </c>
      <c r="BD129" s="91">
        <f>(Q129+W129)*1.1-AO129-BC129</f>
        <v>27039.900000000023</v>
      </c>
      <c r="BE129" s="92">
        <f aca="true" t="shared" si="100" ref="BE129:BE185">IF(BD129+BC129&gt;X129,X129-BC129,BD129)</f>
        <v>3151</v>
      </c>
      <c r="BF129" s="93">
        <f t="shared" si="61"/>
        <v>1.04172003347166</v>
      </c>
      <c r="BG129" s="92"/>
      <c r="BH129" s="92">
        <v>3151</v>
      </c>
      <c r="BI129" s="94">
        <v>5000</v>
      </c>
      <c r="BJ129" s="120" t="s">
        <v>182</v>
      </c>
      <c r="BK129" s="121" t="s">
        <v>56</v>
      </c>
      <c r="BL129" s="97">
        <f t="shared" si="94"/>
        <v>1.04172003347166</v>
      </c>
      <c r="BM129" s="98"/>
      <c r="BN129" s="122">
        <f t="shared" si="93"/>
        <v>0.8805726000458735</v>
      </c>
      <c r="BO129" s="122">
        <f t="shared" si="95"/>
        <v>0.9890776844451368</v>
      </c>
      <c r="BP129" s="82"/>
      <c r="BQ129" s="123">
        <f t="shared" si="96"/>
        <v>52249</v>
      </c>
      <c r="BR129" s="101"/>
      <c r="BS129" s="92">
        <f t="shared" si="97"/>
        <v>409899</v>
      </c>
      <c r="BT129" s="92">
        <f t="shared" si="98"/>
        <v>428849</v>
      </c>
      <c r="BU129" s="124">
        <f t="shared" si="99"/>
        <v>0.04623090078287584</v>
      </c>
      <c r="BV129" s="65" t="s">
        <v>363</v>
      </c>
    </row>
    <row r="130" spans="1:74" ht="57">
      <c r="A130" s="103">
        <v>26594706</v>
      </c>
      <c r="B130" s="104" t="s">
        <v>187</v>
      </c>
      <c r="C130" s="104" t="s">
        <v>47</v>
      </c>
      <c r="D130" s="104" t="s">
        <v>179</v>
      </c>
      <c r="E130" s="104" t="s">
        <v>189</v>
      </c>
      <c r="F130" s="105">
        <v>7050514</v>
      </c>
      <c r="G130" s="106"/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1</v>
      </c>
      <c r="O130" s="105">
        <v>0.8</v>
      </c>
      <c r="P130" s="184" t="s">
        <v>289</v>
      </c>
      <c r="Q130" s="108">
        <v>342400</v>
      </c>
      <c r="R130" s="108">
        <v>278436</v>
      </c>
      <c r="S130" s="108">
        <v>0</v>
      </c>
      <c r="T130" s="108">
        <v>0</v>
      </c>
      <c r="U130" s="108">
        <v>28740</v>
      </c>
      <c r="V130" s="108">
        <v>0</v>
      </c>
      <c r="W130" s="108">
        <v>67499</v>
      </c>
      <c r="X130" s="108">
        <v>50400</v>
      </c>
      <c r="Y130" s="108">
        <v>42208</v>
      </c>
      <c r="Z130" s="108">
        <v>35000</v>
      </c>
      <c r="AA130" s="108">
        <v>0</v>
      </c>
      <c r="AB130" s="108">
        <v>0</v>
      </c>
      <c r="AC130" s="108">
        <v>63320</v>
      </c>
      <c r="AD130" s="108">
        <v>6500</v>
      </c>
      <c r="AE130" s="108">
        <v>0</v>
      </c>
      <c r="AF130" s="108">
        <v>0</v>
      </c>
      <c r="AG130" s="108">
        <v>0</v>
      </c>
      <c r="AH130" s="108">
        <v>0</v>
      </c>
      <c r="AI130" s="108">
        <v>18250</v>
      </c>
      <c r="AJ130" s="108">
        <v>49640</v>
      </c>
      <c r="AK130" s="108"/>
      <c r="AL130" s="108">
        <v>562417</v>
      </c>
      <c r="AM130" s="109">
        <v>419976</v>
      </c>
      <c r="AN130" s="78"/>
      <c r="AO130" s="348">
        <v>278000</v>
      </c>
      <c r="AP130" s="192">
        <f t="shared" si="86"/>
        <v>0.9984341105316841</v>
      </c>
      <c r="AQ130" s="112">
        <f t="shared" si="89"/>
        <v>-0.1880841121495327</v>
      </c>
      <c r="AR130" s="82"/>
      <c r="AS130" s="113">
        <f t="shared" si="65"/>
        <v>369140</v>
      </c>
      <c r="AT130" s="114">
        <f t="shared" si="66"/>
        <v>0.6563457363486523</v>
      </c>
      <c r="AU130" s="115">
        <f t="shared" si="67"/>
        <v>193277</v>
      </c>
      <c r="AV130" s="86">
        <f t="shared" si="68"/>
        <v>0.8789549879040707</v>
      </c>
      <c r="AW130" s="185">
        <f t="shared" si="69"/>
        <v>50836</v>
      </c>
      <c r="AX130" s="186">
        <f t="shared" si="90"/>
        <v>125778</v>
      </c>
      <c r="AY130" s="88"/>
      <c r="AZ130" s="117">
        <f t="shared" si="91"/>
        <v>278000</v>
      </c>
      <c r="BA130" s="118">
        <f t="shared" si="92"/>
        <v>347500</v>
      </c>
      <c r="BB130" s="88"/>
      <c r="BC130" s="119">
        <v>47249</v>
      </c>
      <c r="BD130" s="91">
        <f>(Q130+W130)*1.1-AO130-BC130</f>
        <v>125639.90000000002</v>
      </c>
      <c r="BE130" s="92">
        <f t="shared" si="100"/>
        <v>3151</v>
      </c>
      <c r="BF130" s="93">
        <f t="shared" si="61"/>
        <v>0.8011729718784384</v>
      </c>
      <c r="BG130" s="92"/>
      <c r="BH130" s="92">
        <v>3151</v>
      </c>
      <c r="BI130" s="94">
        <v>0</v>
      </c>
      <c r="BJ130" s="120" t="s">
        <v>182</v>
      </c>
      <c r="BK130" s="121" t="s">
        <v>56</v>
      </c>
      <c r="BL130" s="97">
        <f t="shared" si="94"/>
        <v>0.8011729718784384</v>
      </c>
      <c r="BM130" s="98">
        <f>(0.9*(Q130+S130+W130))-(T130+AO130+BC130+BH130)</f>
        <v>40509.100000000035</v>
      </c>
      <c r="BN130" s="122">
        <f t="shared" si="93"/>
        <v>0.7403563548043534</v>
      </c>
      <c r="BO130" s="122">
        <f t="shared" si="95"/>
        <v>0.9914590357544241</v>
      </c>
      <c r="BP130" s="82"/>
      <c r="BQ130" s="123">
        <f t="shared" si="96"/>
        <v>47249</v>
      </c>
      <c r="BR130" s="101"/>
      <c r="BS130" s="92">
        <f t="shared" si="97"/>
        <v>409899</v>
      </c>
      <c r="BT130" s="92">
        <f t="shared" si="98"/>
        <v>325249</v>
      </c>
      <c r="BU130" s="124">
        <f t="shared" si="99"/>
        <v>-0.206514287665986</v>
      </c>
      <c r="BV130" s="65" t="s">
        <v>364</v>
      </c>
    </row>
    <row r="131" spans="1:74" ht="42.75">
      <c r="A131" s="103">
        <v>26594706</v>
      </c>
      <c r="B131" s="104" t="s">
        <v>187</v>
      </c>
      <c r="C131" s="104" t="s">
        <v>47</v>
      </c>
      <c r="D131" s="104" t="s">
        <v>179</v>
      </c>
      <c r="E131" s="104" t="s">
        <v>190</v>
      </c>
      <c r="F131" s="105">
        <v>7192717</v>
      </c>
      <c r="G131" s="106"/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1.7</v>
      </c>
      <c r="O131" s="105">
        <v>1.5</v>
      </c>
      <c r="P131" s="184" t="s">
        <v>287</v>
      </c>
      <c r="Q131" s="108">
        <v>342400</v>
      </c>
      <c r="R131" s="108">
        <v>430211</v>
      </c>
      <c r="S131" s="108">
        <v>0</v>
      </c>
      <c r="T131" s="108">
        <v>0</v>
      </c>
      <c r="U131" s="108">
        <v>28740</v>
      </c>
      <c r="V131" s="108">
        <v>0</v>
      </c>
      <c r="W131" s="108">
        <v>67499</v>
      </c>
      <c r="X131" s="108">
        <v>50400</v>
      </c>
      <c r="Y131" s="108">
        <v>42208</v>
      </c>
      <c r="Z131" s="108">
        <v>37780</v>
      </c>
      <c r="AA131" s="108">
        <v>0</v>
      </c>
      <c r="AB131" s="108">
        <v>0</v>
      </c>
      <c r="AC131" s="108">
        <v>63320</v>
      </c>
      <c r="AD131" s="108">
        <v>4000</v>
      </c>
      <c r="AE131" s="108">
        <v>0</v>
      </c>
      <c r="AF131" s="108">
        <v>0</v>
      </c>
      <c r="AG131" s="108">
        <v>0</v>
      </c>
      <c r="AH131" s="108">
        <v>0</v>
      </c>
      <c r="AI131" s="108">
        <v>18250</v>
      </c>
      <c r="AJ131" s="108">
        <v>30400</v>
      </c>
      <c r="AK131" s="108"/>
      <c r="AL131" s="108">
        <v>562417</v>
      </c>
      <c r="AM131" s="109">
        <v>552791</v>
      </c>
      <c r="AN131" s="78"/>
      <c r="AO131" s="348">
        <v>376600</v>
      </c>
      <c r="AP131" s="192">
        <f t="shared" si="86"/>
        <v>0.8753844043969122</v>
      </c>
      <c r="AQ131" s="112">
        <f t="shared" si="89"/>
        <v>0.09988317757009346</v>
      </c>
      <c r="AR131" s="82"/>
      <c r="AS131" s="113">
        <f t="shared" si="65"/>
        <v>448780</v>
      </c>
      <c r="AT131" s="114">
        <f t="shared" si="66"/>
        <v>0.7979488528974054</v>
      </c>
      <c r="AU131" s="115">
        <f t="shared" si="67"/>
        <v>113637</v>
      </c>
      <c r="AV131" s="86">
        <f t="shared" si="68"/>
        <v>0.8118438976032533</v>
      </c>
      <c r="AW131" s="185">
        <f t="shared" si="69"/>
        <v>104011</v>
      </c>
      <c r="AX131" s="186">
        <f t="shared" si="90"/>
        <v>46138</v>
      </c>
      <c r="AY131" s="88"/>
      <c r="AZ131" s="117">
        <f t="shared" si="91"/>
        <v>221529.41176470587</v>
      </c>
      <c r="BA131" s="118">
        <f t="shared" si="92"/>
        <v>251066.66666666666</v>
      </c>
      <c r="BB131" s="88"/>
      <c r="BC131" s="119">
        <v>47249</v>
      </c>
      <c r="BD131" s="91">
        <f>(Q131+W131)*1.1-AO131-BC131</f>
        <v>27039.900000000023</v>
      </c>
      <c r="BE131" s="92">
        <f t="shared" si="100"/>
        <v>3151</v>
      </c>
      <c r="BF131" s="93">
        <f t="shared" si="61"/>
        <v>1.04172003347166</v>
      </c>
      <c r="BG131" s="92"/>
      <c r="BH131" s="92">
        <v>3151</v>
      </c>
      <c r="BI131" s="94">
        <v>20000</v>
      </c>
      <c r="BJ131" s="120" t="s">
        <v>182</v>
      </c>
      <c r="BK131" s="121" t="s">
        <v>56</v>
      </c>
      <c r="BL131" s="97">
        <f t="shared" si="94"/>
        <v>1.04172003347166</v>
      </c>
      <c r="BM131" s="98"/>
      <c r="BN131" s="122">
        <f t="shared" si="93"/>
        <v>0.9175202741026676</v>
      </c>
      <c r="BO131" s="122">
        <f t="shared" si="95"/>
        <v>0.9334974701107652</v>
      </c>
      <c r="BP131" s="82"/>
      <c r="BQ131" s="123">
        <f t="shared" si="96"/>
        <v>67249</v>
      </c>
      <c r="BR131" s="101"/>
      <c r="BS131" s="92">
        <f t="shared" si="97"/>
        <v>409899</v>
      </c>
      <c r="BT131" s="92">
        <f t="shared" si="98"/>
        <v>443849</v>
      </c>
      <c r="BU131" s="124">
        <f t="shared" si="99"/>
        <v>0.08282528134979583</v>
      </c>
      <c r="BV131" s="65" t="s">
        <v>365</v>
      </c>
    </row>
    <row r="132" spans="1:74" ht="57">
      <c r="A132" s="103">
        <v>26594706</v>
      </c>
      <c r="B132" s="104" t="s">
        <v>187</v>
      </c>
      <c r="C132" s="104" t="s">
        <v>47</v>
      </c>
      <c r="D132" s="104" t="s">
        <v>179</v>
      </c>
      <c r="E132" s="104" t="s">
        <v>191</v>
      </c>
      <c r="F132" s="105">
        <v>3994230</v>
      </c>
      <c r="G132" s="106"/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1</v>
      </c>
      <c r="O132" s="105">
        <v>0.8</v>
      </c>
      <c r="P132" s="184" t="s">
        <v>282</v>
      </c>
      <c r="Q132" s="108">
        <v>342400</v>
      </c>
      <c r="R132" s="108">
        <v>276671</v>
      </c>
      <c r="S132" s="108">
        <v>0</v>
      </c>
      <c r="T132" s="108">
        <v>0</v>
      </c>
      <c r="U132" s="108">
        <v>28740</v>
      </c>
      <c r="V132" s="108">
        <v>0</v>
      </c>
      <c r="W132" s="108">
        <v>67499</v>
      </c>
      <c r="X132" s="108">
        <v>50400</v>
      </c>
      <c r="Y132" s="108">
        <v>42208</v>
      </c>
      <c r="Z132" s="108">
        <v>45000</v>
      </c>
      <c r="AA132" s="108">
        <v>0</v>
      </c>
      <c r="AB132" s="108">
        <v>0</v>
      </c>
      <c r="AC132" s="108">
        <v>63320</v>
      </c>
      <c r="AD132" s="108">
        <v>3500</v>
      </c>
      <c r="AE132" s="108">
        <v>0</v>
      </c>
      <c r="AF132" s="108">
        <v>0</v>
      </c>
      <c r="AG132" s="108">
        <v>0</v>
      </c>
      <c r="AH132" s="108">
        <v>0</v>
      </c>
      <c r="AI132" s="108">
        <v>18250</v>
      </c>
      <c r="AJ132" s="108">
        <v>25900</v>
      </c>
      <c r="AK132" s="108"/>
      <c r="AL132" s="108">
        <v>562417</v>
      </c>
      <c r="AM132" s="109">
        <v>401471</v>
      </c>
      <c r="AN132" s="78"/>
      <c r="AO132" s="348">
        <v>276000</v>
      </c>
      <c r="AP132" s="192">
        <f t="shared" si="86"/>
        <v>0.9975747367812311</v>
      </c>
      <c r="AQ132" s="112">
        <f t="shared" si="89"/>
        <v>-0.1939252336448598</v>
      </c>
      <c r="AR132" s="82"/>
      <c r="AS132" s="113">
        <f t="shared" si="65"/>
        <v>350400</v>
      </c>
      <c r="AT132" s="114">
        <f t="shared" si="66"/>
        <v>0.6230252641723134</v>
      </c>
      <c r="AU132" s="115">
        <f t="shared" si="67"/>
        <v>212017</v>
      </c>
      <c r="AV132" s="86">
        <f t="shared" si="68"/>
        <v>0.8727903136216564</v>
      </c>
      <c r="AW132" s="185">
        <f t="shared" si="69"/>
        <v>51071</v>
      </c>
      <c r="AX132" s="186">
        <f t="shared" si="90"/>
        <v>144518</v>
      </c>
      <c r="AY132" s="88"/>
      <c r="AZ132" s="117">
        <f t="shared" si="91"/>
        <v>276000</v>
      </c>
      <c r="BA132" s="118">
        <f t="shared" si="92"/>
        <v>345000</v>
      </c>
      <c r="BB132" s="88"/>
      <c r="BC132" s="119">
        <v>47249</v>
      </c>
      <c r="BD132" s="91">
        <f>(Q132+W132)*1.1-AO132-BC132</f>
        <v>127639.90000000002</v>
      </c>
      <c r="BE132" s="92">
        <f t="shared" si="100"/>
        <v>3151</v>
      </c>
      <c r="BF132" s="93">
        <f>(BE132+BC132+AO132)/(Q132+W132)</f>
        <v>0.7962937211361824</v>
      </c>
      <c r="BG132" s="92"/>
      <c r="BH132" s="92">
        <v>3151</v>
      </c>
      <c r="BI132" s="94">
        <v>0</v>
      </c>
      <c r="BJ132" s="120" t="s">
        <v>182</v>
      </c>
      <c r="BK132" s="121" t="s">
        <v>56</v>
      </c>
      <c r="BL132" s="97">
        <f t="shared" si="94"/>
        <v>0.7962937211361824</v>
      </c>
      <c r="BM132" s="98">
        <f>(0.9*(Q132+S132+W132))-(T132+AO132+BC132+BH132)</f>
        <v>42509.100000000035</v>
      </c>
      <c r="BN132" s="122">
        <f t="shared" si="93"/>
        <v>0.7070358826280144</v>
      </c>
      <c r="BO132" s="122">
        <f t="shared" si="95"/>
        <v>0.9904800097640926</v>
      </c>
      <c r="BP132" s="82"/>
      <c r="BQ132" s="123">
        <f t="shared" si="96"/>
        <v>47249</v>
      </c>
      <c r="BR132" s="101"/>
      <c r="BS132" s="92">
        <f t="shared" si="97"/>
        <v>409899</v>
      </c>
      <c r="BT132" s="92">
        <f t="shared" si="98"/>
        <v>323249</v>
      </c>
      <c r="BU132" s="124">
        <f t="shared" si="99"/>
        <v>-0.21139353840824204</v>
      </c>
      <c r="BV132" s="65" t="s">
        <v>364</v>
      </c>
    </row>
    <row r="133" spans="1:74" ht="42.75">
      <c r="A133" s="103">
        <v>26594706</v>
      </c>
      <c r="B133" s="104" t="s">
        <v>187</v>
      </c>
      <c r="C133" s="104" t="s">
        <v>47</v>
      </c>
      <c r="D133" s="104" t="s">
        <v>179</v>
      </c>
      <c r="E133" s="104" t="s">
        <v>192</v>
      </c>
      <c r="F133" s="105">
        <v>8577498</v>
      </c>
      <c r="G133" s="106"/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1.5</v>
      </c>
      <c r="O133" s="105">
        <v>1.3</v>
      </c>
      <c r="P133" s="184" t="s">
        <v>280</v>
      </c>
      <c r="Q133" s="108">
        <v>342400</v>
      </c>
      <c r="R133" s="108">
        <v>413863</v>
      </c>
      <c r="S133" s="108">
        <v>0</v>
      </c>
      <c r="T133" s="108">
        <v>0</v>
      </c>
      <c r="U133" s="108">
        <v>28740</v>
      </c>
      <c r="V133" s="108">
        <v>0</v>
      </c>
      <c r="W133" s="108">
        <v>67499</v>
      </c>
      <c r="X133" s="108">
        <v>50400</v>
      </c>
      <c r="Y133" s="108">
        <v>42208</v>
      </c>
      <c r="Z133" s="108">
        <v>60000</v>
      </c>
      <c r="AA133" s="108">
        <v>0</v>
      </c>
      <c r="AB133" s="108">
        <v>0</v>
      </c>
      <c r="AC133" s="108">
        <v>63320</v>
      </c>
      <c r="AD133" s="108">
        <v>8300</v>
      </c>
      <c r="AE133" s="108">
        <v>0</v>
      </c>
      <c r="AF133" s="108">
        <v>0</v>
      </c>
      <c r="AG133" s="108">
        <v>0</v>
      </c>
      <c r="AH133" s="108">
        <v>0</v>
      </c>
      <c r="AI133" s="108">
        <v>18250</v>
      </c>
      <c r="AJ133" s="108">
        <v>30000</v>
      </c>
      <c r="AK133" s="108"/>
      <c r="AL133" s="108">
        <v>562417</v>
      </c>
      <c r="AM133" s="109">
        <v>562563</v>
      </c>
      <c r="AN133" s="78"/>
      <c r="AO133" s="348">
        <v>376600</v>
      </c>
      <c r="AP133" s="192">
        <f t="shared" si="86"/>
        <v>0.9099629587568833</v>
      </c>
      <c r="AQ133" s="112">
        <f t="shared" si="89"/>
        <v>0.09988317757009346</v>
      </c>
      <c r="AR133" s="82"/>
      <c r="AS133" s="113">
        <f t="shared" si="65"/>
        <v>474900</v>
      </c>
      <c r="AT133" s="114">
        <f t="shared" si="66"/>
        <v>0.8443912612883323</v>
      </c>
      <c r="AU133" s="115">
        <f t="shared" si="67"/>
        <v>87517</v>
      </c>
      <c r="AV133" s="86">
        <f t="shared" si="68"/>
        <v>0.844172119389295</v>
      </c>
      <c r="AW133" s="185">
        <f t="shared" si="69"/>
        <v>87663</v>
      </c>
      <c r="AX133" s="186">
        <f t="shared" si="90"/>
        <v>20018</v>
      </c>
      <c r="AY133" s="88"/>
      <c r="AZ133" s="117">
        <f t="shared" si="91"/>
        <v>251066.66666666666</v>
      </c>
      <c r="BA133" s="118">
        <f t="shared" si="92"/>
        <v>289692.3076923077</v>
      </c>
      <c r="BB133" s="88"/>
      <c r="BC133" s="119">
        <v>47249</v>
      </c>
      <c r="BD133" s="91">
        <f>(Q133+W133)*1.1-AO133-BC133</f>
        <v>27039.900000000023</v>
      </c>
      <c r="BE133" s="92">
        <f t="shared" si="100"/>
        <v>3151</v>
      </c>
      <c r="BF133" s="93">
        <f>(BE133+BC133+AO133)/(Q133+W133)</f>
        <v>1.04172003347166</v>
      </c>
      <c r="BG133" s="92"/>
      <c r="BH133" s="92">
        <v>3151</v>
      </c>
      <c r="BI133" s="94">
        <v>30000</v>
      </c>
      <c r="BJ133" s="120" t="s">
        <v>182</v>
      </c>
      <c r="BK133" s="121" t="s">
        <v>56</v>
      </c>
      <c r="BL133" s="97">
        <f t="shared" si="94"/>
        <v>1.04172003347166</v>
      </c>
      <c r="BM133" s="98"/>
      <c r="BN133" s="122">
        <f t="shared" si="93"/>
        <v>0.9817430838683753</v>
      </c>
      <c r="BO133" s="122">
        <f t="shared" si="95"/>
        <v>0.9814882955331226</v>
      </c>
      <c r="BP133" s="82"/>
      <c r="BQ133" s="123">
        <f t="shared" si="96"/>
        <v>77249</v>
      </c>
      <c r="BR133" s="101"/>
      <c r="BS133" s="92">
        <f t="shared" si="97"/>
        <v>409899</v>
      </c>
      <c r="BT133" s="92">
        <f t="shared" si="98"/>
        <v>453849</v>
      </c>
      <c r="BU133" s="124">
        <f t="shared" si="99"/>
        <v>0.10722153506107612</v>
      </c>
      <c r="BV133" s="65" t="s">
        <v>366</v>
      </c>
    </row>
    <row r="134" spans="1:74" ht="85.5">
      <c r="A134" s="103">
        <v>26652935</v>
      </c>
      <c r="B134" s="104" t="s">
        <v>71</v>
      </c>
      <c r="C134" s="104" t="s">
        <v>47</v>
      </c>
      <c r="D134" s="104" t="s">
        <v>179</v>
      </c>
      <c r="E134" s="104" t="s">
        <v>71</v>
      </c>
      <c r="F134" s="106"/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0.9</v>
      </c>
      <c r="O134" s="105">
        <v>0.9</v>
      </c>
      <c r="P134" s="184" t="s">
        <v>280</v>
      </c>
      <c r="Q134" s="108">
        <v>0</v>
      </c>
      <c r="R134" s="108">
        <v>234881</v>
      </c>
      <c r="S134" s="108">
        <v>0</v>
      </c>
      <c r="T134" s="108">
        <v>0</v>
      </c>
      <c r="U134" s="108">
        <v>0</v>
      </c>
      <c r="V134" s="108">
        <v>0</v>
      </c>
      <c r="W134" s="108">
        <v>0</v>
      </c>
      <c r="X134" s="108">
        <v>0</v>
      </c>
      <c r="Y134" s="108">
        <v>0</v>
      </c>
      <c r="Z134" s="108">
        <v>0</v>
      </c>
      <c r="AA134" s="108">
        <v>0</v>
      </c>
      <c r="AB134" s="108">
        <v>0</v>
      </c>
      <c r="AC134" s="108">
        <v>0</v>
      </c>
      <c r="AD134" s="108">
        <v>0</v>
      </c>
      <c r="AE134" s="108">
        <v>0</v>
      </c>
      <c r="AF134" s="108">
        <v>0</v>
      </c>
      <c r="AG134" s="108">
        <v>304000</v>
      </c>
      <c r="AH134" s="108">
        <v>134640</v>
      </c>
      <c r="AI134" s="108">
        <v>0</v>
      </c>
      <c r="AJ134" s="108">
        <v>0</v>
      </c>
      <c r="AK134" s="108"/>
      <c r="AL134" s="108">
        <v>304000</v>
      </c>
      <c r="AM134" s="109">
        <v>369521</v>
      </c>
      <c r="AN134" s="78"/>
      <c r="AO134" s="348">
        <v>234000</v>
      </c>
      <c r="AP134" s="192">
        <f t="shared" si="86"/>
        <v>0.9962491644705191</v>
      </c>
      <c r="AQ134" s="112"/>
      <c r="AR134" s="82"/>
      <c r="AS134" s="113">
        <f t="shared" si="65"/>
        <v>368640</v>
      </c>
      <c r="AT134" s="114">
        <f t="shared" si="66"/>
        <v>1.2126315789473685</v>
      </c>
      <c r="AU134" s="115">
        <f t="shared" si="67"/>
        <v>0</v>
      </c>
      <c r="AV134" s="86">
        <f t="shared" si="68"/>
        <v>0.9976158323884163</v>
      </c>
      <c r="AW134" s="185">
        <f t="shared" si="69"/>
        <v>881</v>
      </c>
      <c r="AX134" s="186">
        <f t="shared" si="90"/>
        <v>0</v>
      </c>
      <c r="AY134" s="88"/>
      <c r="AZ134" s="117">
        <f t="shared" si="91"/>
        <v>260000</v>
      </c>
      <c r="BA134" s="118">
        <f t="shared" si="92"/>
        <v>260000</v>
      </c>
      <c r="BB134" s="88"/>
      <c r="BC134" s="119">
        <v>0</v>
      </c>
      <c r="BD134" s="91"/>
      <c r="BE134" s="92">
        <f t="shared" si="100"/>
        <v>0</v>
      </c>
      <c r="BF134" s="93"/>
      <c r="BG134" s="92"/>
      <c r="BH134" s="92">
        <v>0</v>
      </c>
      <c r="BI134" s="94">
        <v>0</v>
      </c>
      <c r="BJ134" s="120" t="s">
        <v>182</v>
      </c>
      <c r="BK134" s="121" t="s">
        <v>56</v>
      </c>
      <c r="BL134" s="97" t="e">
        <f t="shared" si="94"/>
        <v>#DIV/0!</v>
      </c>
      <c r="BM134" s="98"/>
      <c r="BN134" s="122">
        <f t="shared" si="93"/>
        <v>1.2126315789473685</v>
      </c>
      <c r="BO134" s="122">
        <f t="shared" si="95"/>
        <v>0.9976158323884163</v>
      </c>
      <c r="BP134" s="82"/>
      <c r="BQ134" s="123">
        <f t="shared" si="96"/>
        <v>0</v>
      </c>
      <c r="BR134" s="101"/>
      <c r="BS134" s="92">
        <f t="shared" si="97"/>
        <v>0</v>
      </c>
      <c r="BT134" s="92">
        <f t="shared" si="98"/>
        <v>234000</v>
      </c>
      <c r="BU134" s="124"/>
      <c r="BV134" s="65" t="s">
        <v>356</v>
      </c>
    </row>
    <row r="135" spans="1:74" ht="99.75">
      <c r="A135" s="103">
        <v>26908042</v>
      </c>
      <c r="B135" s="104" t="s">
        <v>138</v>
      </c>
      <c r="C135" s="104" t="s">
        <v>47</v>
      </c>
      <c r="D135" s="104" t="s">
        <v>179</v>
      </c>
      <c r="E135" s="104" t="s">
        <v>186</v>
      </c>
      <c r="F135" s="105">
        <v>7781687</v>
      </c>
      <c r="G135" s="106"/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1</v>
      </c>
      <c r="O135" s="105">
        <v>0</v>
      </c>
      <c r="P135" s="184" t="s">
        <v>280</v>
      </c>
      <c r="Q135" s="108">
        <v>95000</v>
      </c>
      <c r="R135" s="108">
        <v>344000</v>
      </c>
      <c r="S135" s="108">
        <v>0</v>
      </c>
      <c r="T135" s="108">
        <v>0</v>
      </c>
      <c r="U135" s="108">
        <v>0</v>
      </c>
      <c r="V135" s="108">
        <v>0</v>
      </c>
      <c r="W135" s="108">
        <v>13500</v>
      </c>
      <c r="X135" s="108">
        <v>0</v>
      </c>
      <c r="Y135" s="108">
        <v>0</v>
      </c>
      <c r="Z135" s="108">
        <v>0</v>
      </c>
      <c r="AA135" s="108">
        <v>0</v>
      </c>
      <c r="AB135" s="108">
        <v>0</v>
      </c>
      <c r="AC135" s="108">
        <v>0</v>
      </c>
      <c r="AD135" s="108">
        <v>0</v>
      </c>
      <c r="AE135" s="108">
        <v>0</v>
      </c>
      <c r="AF135" s="108">
        <v>0</v>
      </c>
      <c r="AG135" s="108">
        <v>225000</v>
      </c>
      <c r="AH135" s="108">
        <v>0</v>
      </c>
      <c r="AI135" s="108">
        <v>0</v>
      </c>
      <c r="AJ135" s="108">
        <v>0</v>
      </c>
      <c r="AK135" s="108"/>
      <c r="AL135" s="108">
        <v>337000</v>
      </c>
      <c r="AM135" s="109">
        <v>344000</v>
      </c>
      <c r="AN135" s="78"/>
      <c r="AO135" s="348">
        <v>236000</v>
      </c>
      <c r="AP135" s="192">
        <f t="shared" si="86"/>
        <v>0.686046511627907</v>
      </c>
      <c r="AQ135" s="112">
        <f>-1+AO135/Q135</f>
        <v>1.4842105263157896</v>
      </c>
      <c r="AR135" s="82"/>
      <c r="AS135" s="113">
        <f t="shared" si="65"/>
        <v>236000</v>
      </c>
      <c r="AT135" s="114">
        <f t="shared" si="66"/>
        <v>0.7076461769115442</v>
      </c>
      <c r="AU135" s="115">
        <f t="shared" si="67"/>
        <v>97500</v>
      </c>
      <c r="AV135" s="86">
        <f t="shared" si="68"/>
        <v>0.686046511627907</v>
      </c>
      <c r="AW135" s="185">
        <f t="shared" si="69"/>
        <v>108000</v>
      </c>
      <c r="AX135" s="186">
        <f t="shared" si="90"/>
        <v>84000</v>
      </c>
      <c r="AY135" s="88"/>
      <c r="AZ135" s="117">
        <f aca="true" t="shared" si="101" ref="AZ135:AZ144">$AO135/N135</f>
        <v>236000</v>
      </c>
      <c r="BA135" s="118"/>
      <c r="BB135" s="88"/>
      <c r="BC135" s="119">
        <v>9450</v>
      </c>
      <c r="BD135" s="91"/>
      <c r="BE135" s="92"/>
      <c r="BF135" s="93">
        <f>(BE135+BC135+AO135)/(Q135+W135)</f>
        <v>2.2622119815668205</v>
      </c>
      <c r="BG135" s="92"/>
      <c r="BH135" s="92">
        <v>0</v>
      </c>
      <c r="BI135" s="94">
        <v>13500</v>
      </c>
      <c r="BJ135" s="120" t="s">
        <v>182</v>
      </c>
      <c r="BK135" s="121" t="s">
        <v>54</v>
      </c>
      <c r="BL135" s="97">
        <f t="shared" si="94"/>
        <v>2.2622119815668205</v>
      </c>
      <c r="BM135" s="98"/>
      <c r="BN135" s="122">
        <f t="shared" si="93"/>
        <v>0.7683976261127596</v>
      </c>
      <c r="BO135" s="122">
        <f t="shared" si="95"/>
        <v>0.7527616279069768</v>
      </c>
      <c r="BP135" s="82"/>
      <c r="BQ135" s="123">
        <f t="shared" si="96"/>
        <v>22950</v>
      </c>
      <c r="BR135" s="101"/>
      <c r="BS135" s="92">
        <f t="shared" si="97"/>
        <v>108500</v>
      </c>
      <c r="BT135" s="92">
        <f t="shared" si="98"/>
        <v>258950</v>
      </c>
      <c r="BU135" s="124">
        <f t="shared" si="99"/>
        <v>1.386635944700461</v>
      </c>
      <c r="BV135" s="65" t="s">
        <v>369</v>
      </c>
    </row>
    <row r="136" spans="1:74" ht="71.25">
      <c r="A136" s="103">
        <v>45659028</v>
      </c>
      <c r="B136" s="104" t="s">
        <v>110</v>
      </c>
      <c r="C136" s="104" t="s">
        <v>47</v>
      </c>
      <c r="D136" s="104" t="s">
        <v>179</v>
      </c>
      <c r="E136" s="104" t="s">
        <v>193</v>
      </c>
      <c r="F136" s="105">
        <v>9459540</v>
      </c>
      <c r="G136" s="106"/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2.4</v>
      </c>
      <c r="O136" s="105">
        <v>2</v>
      </c>
      <c r="P136" s="184" t="s">
        <v>286</v>
      </c>
      <c r="Q136" s="108">
        <v>451000</v>
      </c>
      <c r="R136" s="108">
        <v>686000</v>
      </c>
      <c r="S136" s="108">
        <v>0</v>
      </c>
      <c r="T136" s="108">
        <v>0</v>
      </c>
      <c r="U136" s="108">
        <v>0</v>
      </c>
      <c r="V136" s="108">
        <v>0</v>
      </c>
      <c r="W136" s="108">
        <v>52956</v>
      </c>
      <c r="X136" s="108">
        <v>53214</v>
      </c>
      <c r="Y136" s="108">
        <v>90000</v>
      </c>
      <c r="Z136" s="108">
        <v>100000</v>
      </c>
      <c r="AA136" s="108">
        <v>0</v>
      </c>
      <c r="AB136" s="108">
        <v>0</v>
      </c>
      <c r="AC136" s="108">
        <v>0</v>
      </c>
      <c r="AD136" s="108">
        <v>0</v>
      </c>
      <c r="AE136" s="108">
        <v>0</v>
      </c>
      <c r="AF136" s="108">
        <v>0</v>
      </c>
      <c r="AG136" s="108">
        <v>0</v>
      </c>
      <c r="AH136" s="108">
        <v>0</v>
      </c>
      <c r="AI136" s="108">
        <v>79625</v>
      </c>
      <c r="AJ136" s="108">
        <v>61000</v>
      </c>
      <c r="AK136" s="108">
        <v>673581</v>
      </c>
      <c r="AL136" s="108">
        <v>673581</v>
      </c>
      <c r="AM136" s="109">
        <v>900214</v>
      </c>
      <c r="AN136" s="78"/>
      <c r="AO136" s="348">
        <v>496100</v>
      </c>
      <c r="AP136" s="192">
        <f t="shared" si="86"/>
        <v>0.7231778425655977</v>
      </c>
      <c r="AQ136" s="112">
        <f>-1+AO136/Q136</f>
        <v>0.10000000000000009</v>
      </c>
      <c r="AR136" s="82"/>
      <c r="AS136" s="113">
        <f t="shared" si="65"/>
        <v>657100</v>
      </c>
      <c r="AT136" s="114">
        <f t="shared" si="66"/>
        <v>0.9755322670918568</v>
      </c>
      <c r="AU136" s="115">
        <f t="shared" si="67"/>
        <v>16481</v>
      </c>
      <c r="AV136" s="86">
        <f t="shared" si="68"/>
        <v>0.7299375481829876</v>
      </c>
      <c r="AW136" s="185">
        <f t="shared" si="69"/>
        <v>243114</v>
      </c>
      <c r="AX136" s="186">
        <f t="shared" si="90"/>
        <v>0</v>
      </c>
      <c r="AY136" s="88"/>
      <c r="AZ136" s="117">
        <f t="shared" si="101"/>
        <v>206708.33333333334</v>
      </c>
      <c r="BA136" s="118">
        <f aca="true" t="shared" si="102" ref="BA136:BA144">$AO136/O136</f>
        <v>248050</v>
      </c>
      <c r="BB136" s="88"/>
      <c r="BC136" s="119">
        <v>37069</v>
      </c>
      <c r="BD136" s="91">
        <f>(Q136+W136)*1.1-AO136-BC136</f>
        <v>21182.600000000093</v>
      </c>
      <c r="BE136" s="92">
        <f t="shared" si="100"/>
        <v>16145</v>
      </c>
      <c r="BF136" s="93">
        <f>(BE136+BC136+AO136)/(Q136+W136)</f>
        <v>1.0900038892284247</v>
      </c>
      <c r="BG136" s="92"/>
      <c r="BH136" s="92">
        <v>16145</v>
      </c>
      <c r="BI136" s="94">
        <v>16145</v>
      </c>
      <c r="BJ136" s="120" t="s">
        <v>182</v>
      </c>
      <c r="BK136" s="121" t="s">
        <v>56</v>
      </c>
      <c r="BL136" s="97">
        <f t="shared" si="94"/>
        <v>1.0900038892284247</v>
      </c>
      <c r="BM136" s="98"/>
      <c r="BN136" s="122">
        <f t="shared" si="93"/>
        <v>1.0545339016391495</v>
      </c>
      <c r="BO136" s="122">
        <f t="shared" si="95"/>
        <v>0.7890501591843717</v>
      </c>
      <c r="BP136" s="82"/>
      <c r="BQ136" s="123">
        <f t="shared" si="96"/>
        <v>53214</v>
      </c>
      <c r="BR136" s="101"/>
      <c r="BS136" s="92">
        <f t="shared" si="97"/>
        <v>503956</v>
      </c>
      <c r="BT136" s="92">
        <f t="shared" si="98"/>
        <v>549314</v>
      </c>
      <c r="BU136" s="124">
        <f t="shared" si="99"/>
        <v>0.09000388922842473</v>
      </c>
      <c r="BV136" s="65" t="s">
        <v>370</v>
      </c>
    </row>
    <row r="137" spans="1:74" ht="99.75">
      <c r="A137" s="103">
        <v>47224541</v>
      </c>
      <c r="B137" s="104" t="s">
        <v>129</v>
      </c>
      <c r="C137" s="104" t="s">
        <v>47</v>
      </c>
      <c r="D137" s="104" t="s">
        <v>179</v>
      </c>
      <c r="E137" s="104" t="s">
        <v>194</v>
      </c>
      <c r="F137" s="105">
        <v>1810833</v>
      </c>
      <c r="G137" s="106"/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2.8</v>
      </c>
      <c r="O137" s="105">
        <v>2.5</v>
      </c>
      <c r="P137" s="184" t="s">
        <v>291</v>
      </c>
      <c r="Q137" s="108">
        <v>427000</v>
      </c>
      <c r="R137" s="108">
        <v>631260</v>
      </c>
      <c r="S137" s="108">
        <v>0</v>
      </c>
      <c r="T137" s="108">
        <v>0</v>
      </c>
      <c r="U137" s="108">
        <v>0</v>
      </c>
      <c r="V137" s="108">
        <v>0</v>
      </c>
      <c r="W137" s="108">
        <v>117712</v>
      </c>
      <c r="X137" s="108">
        <v>80000</v>
      </c>
      <c r="Y137" s="108">
        <v>100000</v>
      </c>
      <c r="Z137" s="108">
        <v>120000</v>
      </c>
      <c r="AA137" s="108">
        <v>0</v>
      </c>
      <c r="AB137" s="108">
        <v>0</v>
      </c>
      <c r="AC137" s="108">
        <v>0</v>
      </c>
      <c r="AD137" s="108">
        <v>0</v>
      </c>
      <c r="AE137" s="108">
        <v>0</v>
      </c>
      <c r="AF137" s="108">
        <v>0</v>
      </c>
      <c r="AG137" s="108">
        <v>0</v>
      </c>
      <c r="AH137" s="108">
        <v>0</v>
      </c>
      <c r="AI137" s="108">
        <v>12518</v>
      </c>
      <c r="AJ137" s="108">
        <v>73085</v>
      </c>
      <c r="AK137" s="108">
        <v>657230</v>
      </c>
      <c r="AL137" s="108">
        <v>652230</v>
      </c>
      <c r="AM137" s="109">
        <v>904345</v>
      </c>
      <c r="AN137" s="78"/>
      <c r="AO137" s="348">
        <v>414700</v>
      </c>
      <c r="AP137" s="192">
        <f t="shared" si="86"/>
        <v>0.6569400880778127</v>
      </c>
      <c r="AQ137" s="112">
        <f>-1+AO137/Q137</f>
        <v>-0.02880562060889935</v>
      </c>
      <c r="AR137" s="82"/>
      <c r="AS137" s="113">
        <f t="shared" si="65"/>
        <v>607785</v>
      </c>
      <c r="AT137" s="114">
        <f t="shared" si="66"/>
        <v>0.9247675851680538</v>
      </c>
      <c r="AU137" s="115">
        <f t="shared" si="67"/>
        <v>49445</v>
      </c>
      <c r="AV137" s="86">
        <f t="shared" si="68"/>
        <v>0.6720720521482398</v>
      </c>
      <c r="AW137" s="185">
        <f t="shared" si="69"/>
        <v>296560</v>
      </c>
      <c r="AX137" s="186">
        <f t="shared" si="90"/>
        <v>0</v>
      </c>
      <c r="AY137" s="88"/>
      <c r="AZ137" s="117">
        <f t="shared" si="101"/>
        <v>148107.14285714287</v>
      </c>
      <c r="BA137" s="118">
        <f t="shared" si="102"/>
        <v>165880</v>
      </c>
      <c r="BB137" s="88"/>
      <c r="BC137" s="119">
        <v>51927</v>
      </c>
      <c r="BD137" s="91">
        <f>(Q137+W137)*1.1-AO137-BC137</f>
        <v>132556.20000000007</v>
      </c>
      <c r="BE137" s="92">
        <f t="shared" si="100"/>
        <v>28073</v>
      </c>
      <c r="BF137" s="93">
        <f>(BE137+BC137+AO137)/(Q137+W137)</f>
        <v>0.9081863443434328</v>
      </c>
      <c r="BG137" s="92"/>
      <c r="BH137" s="92">
        <v>128000</v>
      </c>
      <c r="BI137" s="94">
        <v>128000</v>
      </c>
      <c r="BJ137" s="120" t="s">
        <v>182</v>
      </c>
      <c r="BK137" s="121" t="s">
        <v>51</v>
      </c>
      <c r="BL137" s="97">
        <f t="shared" si="94"/>
        <v>1.0916355799027744</v>
      </c>
      <c r="BM137" s="98"/>
      <c r="BN137" s="122">
        <f t="shared" si="93"/>
        <v>1.2077212026432393</v>
      </c>
      <c r="BO137" s="122">
        <f t="shared" si="95"/>
        <v>0.871030414277737</v>
      </c>
      <c r="BP137" s="82"/>
      <c r="BQ137" s="123">
        <f t="shared" si="96"/>
        <v>179927</v>
      </c>
      <c r="BR137" s="101"/>
      <c r="BS137" s="92">
        <f t="shared" si="97"/>
        <v>544712</v>
      </c>
      <c r="BT137" s="92">
        <f t="shared" si="98"/>
        <v>594627</v>
      </c>
      <c r="BU137" s="124">
        <f t="shared" si="99"/>
        <v>0.09163557990277438</v>
      </c>
      <c r="BV137" s="65" t="s">
        <v>369</v>
      </c>
    </row>
    <row r="138" spans="1:74" ht="99.75">
      <c r="A138" s="103">
        <v>65761979</v>
      </c>
      <c r="B138" s="104" t="s">
        <v>57</v>
      </c>
      <c r="C138" s="104" t="s">
        <v>47</v>
      </c>
      <c r="D138" s="104" t="s">
        <v>179</v>
      </c>
      <c r="E138" s="104" t="s">
        <v>195</v>
      </c>
      <c r="F138" s="105">
        <v>3460645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0.6</v>
      </c>
      <c r="O138" s="105">
        <v>0.3</v>
      </c>
      <c r="P138" s="184" t="s">
        <v>280</v>
      </c>
      <c r="Q138" s="108">
        <v>0</v>
      </c>
      <c r="R138" s="108">
        <v>154759</v>
      </c>
      <c r="S138" s="108">
        <v>0</v>
      </c>
      <c r="T138" s="108">
        <v>0</v>
      </c>
      <c r="U138" s="108">
        <v>0</v>
      </c>
      <c r="V138" s="108">
        <v>0</v>
      </c>
      <c r="W138" s="108">
        <v>0</v>
      </c>
      <c r="X138" s="108">
        <v>0</v>
      </c>
      <c r="Y138" s="108">
        <v>0</v>
      </c>
      <c r="Z138" s="108">
        <v>0</v>
      </c>
      <c r="AA138" s="108">
        <v>0</v>
      </c>
      <c r="AB138" s="108">
        <v>0</v>
      </c>
      <c r="AC138" s="108">
        <v>0</v>
      </c>
      <c r="AD138" s="108">
        <v>0</v>
      </c>
      <c r="AE138" s="108">
        <v>0</v>
      </c>
      <c r="AF138" s="108">
        <v>0</v>
      </c>
      <c r="AG138" s="108">
        <v>495327</v>
      </c>
      <c r="AH138" s="108">
        <v>165181</v>
      </c>
      <c r="AI138" s="108">
        <v>0</v>
      </c>
      <c r="AJ138" s="108">
        <v>44332</v>
      </c>
      <c r="AK138" s="108"/>
      <c r="AL138" s="108">
        <v>495327</v>
      </c>
      <c r="AM138" s="109">
        <v>364272</v>
      </c>
      <c r="AN138" s="78"/>
      <c r="AO138" s="348">
        <v>98000</v>
      </c>
      <c r="AP138" s="192">
        <f t="shared" si="86"/>
        <v>0.6332426547082883</v>
      </c>
      <c r="AQ138" s="112"/>
      <c r="AR138" s="82"/>
      <c r="AS138" s="113">
        <f t="shared" si="65"/>
        <v>307513</v>
      </c>
      <c r="AT138" s="114">
        <f t="shared" si="66"/>
        <v>0.6208282609266202</v>
      </c>
      <c r="AU138" s="115">
        <f t="shared" si="67"/>
        <v>187814</v>
      </c>
      <c r="AV138" s="86">
        <f t="shared" si="68"/>
        <v>0.8441851144199939</v>
      </c>
      <c r="AW138" s="185">
        <f t="shared" si="69"/>
        <v>56759</v>
      </c>
      <c r="AX138" s="186">
        <f t="shared" si="90"/>
        <v>187814</v>
      </c>
      <c r="AY138" s="88"/>
      <c r="AZ138" s="117">
        <f t="shared" si="101"/>
        <v>163333.33333333334</v>
      </c>
      <c r="BA138" s="118">
        <f t="shared" si="102"/>
        <v>326666.6666666667</v>
      </c>
      <c r="BB138" s="88"/>
      <c r="BC138" s="119">
        <v>0</v>
      </c>
      <c r="BD138" s="91"/>
      <c r="BE138" s="92">
        <f t="shared" si="100"/>
        <v>0</v>
      </c>
      <c r="BF138" s="93"/>
      <c r="BG138" s="92"/>
      <c r="BH138" s="92">
        <v>0</v>
      </c>
      <c r="BI138" s="94">
        <v>0</v>
      </c>
      <c r="BJ138" s="120" t="s">
        <v>182</v>
      </c>
      <c r="BK138" s="121" t="s">
        <v>56</v>
      </c>
      <c r="BL138" s="97" t="e">
        <f t="shared" si="94"/>
        <v>#DIV/0!</v>
      </c>
      <c r="BM138" s="98"/>
      <c r="BN138" s="122">
        <f t="shared" si="93"/>
        <v>0.6208282609266202</v>
      </c>
      <c r="BO138" s="122">
        <f t="shared" si="95"/>
        <v>0.8441851144199939</v>
      </c>
      <c r="BP138" s="82"/>
      <c r="BQ138" s="123">
        <f t="shared" si="96"/>
        <v>0</v>
      </c>
      <c r="BR138" s="101"/>
      <c r="BS138" s="92">
        <f t="shared" si="97"/>
        <v>0</v>
      </c>
      <c r="BT138" s="92">
        <f t="shared" si="98"/>
        <v>98000</v>
      </c>
      <c r="BU138" s="124"/>
      <c r="BV138" s="65" t="s">
        <v>374</v>
      </c>
    </row>
    <row r="139" spans="1:74" ht="57">
      <c r="A139" s="103">
        <v>66597064</v>
      </c>
      <c r="B139" s="104" t="s">
        <v>196</v>
      </c>
      <c r="C139" s="104" t="s">
        <v>47</v>
      </c>
      <c r="D139" s="104" t="s">
        <v>179</v>
      </c>
      <c r="E139" s="104" t="s">
        <v>196</v>
      </c>
      <c r="F139" s="105">
        <v>8125444</v>
      </c>
      <c r="G139" s="106"/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3.8</v>
      </c>
      <c r="O139" s="105">
        <v>3</v>
      </c>
      <c r="P139" s="184" t="s">
        <v>280</v>
      </c>
      <c r="Q139" s="108">
        <v>513200</v>
      </c>
      <c r="R139" s="108">
        <v>1027760</v>
      </c>
      <c r="S139" s="108">
        <v>142000</v>
      </c>
      <c r="T139" s="108">
        <v>0</v>
      </c>
      <c r="U139" s="108">
        <v>0</v>
      </c>
      <c r="V139" s="108">
        <v>0</v>
      </c>
      <c r="W139" s="108">
        <v>105001</v>
      </c>
      <c r="X139" s="108">
        <v>105000</v>
      </c>
      <c r="Y139" s="108">
        <v>65000</v>
      </c>
      <c r="Z139" s="108">
        <v>80000</v>
      </c>
      <c r="AA139" s="108">
        <v>0</v>
      </c>
      <c r="AB139" s="108">
        <v>0</v>
      </c>
      <c r="AC139" s="108">
        <v>0</v>
      </c>
      <c r="AD139" s="108">
        <v>0</v>
      </c>
      <c r="AE139" s="108">
        <v>0</v>
      </c>
      <c r="AF139" s="108">
        <v>0</v>
      </c>
      <c r="AG139" s="108">
        <v>132600</v>
      </c>
      <c r="AH139" s="108">
        <v>220600</v>
      </c>
      <c r="AI139" s="108">
        <v>105000</v>
      </c>
      <c r="AJ139" s="108">
        <v>90000</v>
      </c>
      <c r="AK139" s="108">
        <v>967801</v>
      </c>
      <c r="AL139" s="108">
        <v>962801</v>
      </c>
      <c r="AM139" s="109">
        <v>1523360</v>
      </c>
      <c r="AN139" s="78"/>
      <c r="AO139" s="348">
        <v>667100</v>
      </c>
      <c r="AP139" s="192">
        <f t="shared" si="86"/>
        <v>0.6490814976259048</v>
      </c>
      <c r="AQ139" s="112">
        <f>-1+AO139/Q139</f>
        <v>0.2998830865159783</v>
      </c>
      <c r="AR139" s="82"/>
      <c r="AS139" s="113">
        <f t="shared" si="65"/>
        <v>1057700</v>
      </c>
      <c r="AT139" s="114">
        <f t="shared" si="66"/>
        <v>0.9952004185167308</v>
      </c>
      <c r="AU139" s="115">
        <f t="shared" si="67"/>
        <v>5101</v>
      </c>
      <c r="AV139" s="86">
        <f t="shared" si="68"/>
        <v>0.6943204495326121</v>
      </c>
      <c r="AW139" s="185">
        <f t="shared" si="69"/>
        <v>465660</v>
      </c>
      <c r="AX139" s="186">
        <f t="shared" si="90"/>
        <v>0</v>
      </c>
      <c r="AY139" s="88"/>
      <c r="AZ139" s="117">
        <f t="shared" si="101"/>
        <v>175552.6315789474</v>
      </c>
      <c r="BA139" s="118">
        <f t="shared" si="102"/>
        <v>222366.66666666666</v>
      </c>
      <c r="BB139" s="88"/>
      <c r="BC139" s="119">
        <v>62447</v>
      </c>
      <c r="BD139" s="91"/>
      <c r="BE139" s="92">
        <f t="shared" si="100"/>
        <v>0</v>
      </c>
      <c r="BF139" s="93">
        <f>(BE139+BC139+AO139)/(Q139+W139)</f>
        <v>1.1801129406131663</v>
      </c>
      <c r="BG139" s="92"/>
      <c r="BH139" s="92">
        <v>0</v>
      </c>
      <c r="BI139" s="94">
        <v>0</v>
      </c>
      <c r="BJ139" s="120" t="s">
        <v>182</v>
      </c>
      <c r="BK139" s="121" t="s">
        <v>56</v>
      </c>
      <c r="BL139" s="97">
        <f t="shared" si="94"/>
        <v>0.9596764539904578</v>
      </c>
      <c r="BM139" s="98"/>
      <c r="BN139" s="122">
        <f t="shared" si="93"/>
        <v>1.1634252561017282</v>
      </c>
      <c r="BO139" s="122">
        <f t="shared" si="95"/>
        <v>0.7353133861989287</v>
      </c>
      <c r="BP139" s="82"/>
      <c r="BQ139" s="123">
        <f t="shared" si="96"/>
        <v>62447</v>
      </c>
      <c r="BR139" s="101"/>
      <c r="BS139" s="92">
        <f t="shared" si="97"/>
        <v>618201</v>
      </c>
      <c r="BT139" s="92">
        <f t="shared" si="98"/>
        <v>729547</v>
      </c>
      <c r="BU139" s="124">
        <f t="shared" si="99"/>
        <v>0.1801129406131663</v>
      </c>
      <c r="BV139" s="65" t="s">
        <v>350</v>
      </c>
    </row>
    <row r="140" spans="1:74" ht="57">
      <c r="A140" s="103">
        <v>66597064</v>
      </c>
      <c r="B140" s="104" t="s">
        <v>196</v>
      </c>
      <c r="C140" s="104" t="s">
        <v>47</v>
      </c>
      <c r="D140" s="104" t="s">
        <v>179</v>
      </c>
      <c r="E140" s="104" t="s">
        <v>197</v>
      </c>
      <c r="F140" s="105">
        <v>9390296</v>
      </c>
      <c r="G140" s="106"/>
      <c r="H140" s="105">
        <v>0</v>
      </c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05">
        <v>0.2</v>
      </c>
      <c r="O140" s="105">
        <v>0.2</v>
      </c>
      <c r="P140" s="184" t="s">
        <v>300</v>
      </c>
      <c r="Q140" s="108">
        <v>51800</v>
      </c>
      <c r="R140" s="108">
        <v>51800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8">
        <v>0</v>
      </c>
      <c r="Y140" s="108">
        <v>5000</v>
      </c>
      <c r="Z140" s="108">
        <v>5000</v>
      </c>
      <c r="AA140" s="108">
        <v>0</v>
      </c>
      <c r="AB140" s="108">
        <v>0</v>
      </c>
      <c r="AC140" s="108">
        <v>0</v>
      </c>
      <c r="AD140" s="108">
        <v>0</v>
      </c>
      <c r="AE140" s="108">
        <v>0</v>
      </c>
      <c r="AF140" s="108">
        <v>0</v>
      </c>
      <c r="AG140" s="108">
        <v>0</v>
      </c>
      <c r="AH140" s="108">
        <v>0</v>
      </c>
      <c r="AI140" s="108">
        <v>0</v>
      </c>
      <c r="AJ140" s="108">
        <v>0</v>
      </c>
      <c r="AK140" s="108">
        <v>56800</v>
      </c>
      <c r="AL140" s="108">
        <v>56800</v>
      </c>
      <c r="AM140" s="109">
        <v>56800</v>
      </c>
      <c r="AN140" s="78"/>
      <c r="AO140" s="348">
        <v>51000</v>
      </c>
      <c r="AP140" s="192">
        <f t="shared" si="86"/>
        <v>0.9845559845559846</v>
      </c>
      <c r="AQ140" s="112">
        <f>-1+AO140/Q140</f>
        <v>-0.015444015444015413</v>
      </c>
      <c r="AR140" s="82"/>
      <c r="AS140" s="113">
        <f t="shared" si="65"/>
        <v>56000</v>
      </c>
      <c r="AT140" s="114">
        <f t="shared" si="66"/>
        <v>0.9859154929577465</v>
      </c>
      <c r="AU140" s="115">
        <f t="shared" si="67"/>
        <v>800</v>
      </c>
      <c r="AV140" s="86">
        <f t="shared" si="68"/>
        <v>0.9859154929577465</v>
      </c>
      <c r="AW140" s="185">
        <f t="shared" si="69"/>
        <v>800</v>
      </c>
      <c r="AX140" s="186">
        <f t="shared" si="90"/>
        <v>800</v>
      </c>
      <c r="AY140" s="88"/>
      <c r="AZ140" s="117">
        <f t="shared" si="101"/>
        <v>255000</v>
      </c>
      <c r="BA140" s="118">
        <f t="shared" si="102"/>
        <v>255000</v>
      </c>
      <c r="BB140" s="88"/>
      <c r="BC140" s="119">
        <v>0</v>
      </c>
      <c r="BD140" s="91">
        <f>(Q140+W140)*1.1-AO140-BC140</f>
        <v>5980.000000000007</v>
      </c>
      <c r="BE140" s="92">
        <f t="shared" si="100"/>
        <v>0</v>
      </c>
      <c r="BF140" s="93">
        <f>(BE140+BC140+AO140)/(Q140+W140)</f>
        <v>0.9845559845559846</v>
      </c>
      <c r="BG140" s="92"/>
      <c r="BH140" s="92">
        <v>0</v>
      </c>
      <c r="BI140" s="94">
        <v>0</v>
      </c>
      <c r="BJ140" s="120" t="s">
        <v>182</v>
      </c>
      <c r="BK140" s="121" t="s">
        <v>56</v>
      </c>
      <c r="BL140" s="97">
        <f t="shared" si="94"/>
        <v>0.9845559845559846</v>
      </c>
      <c r="BM140" s="98"/>
      <c r="BN140" s="122">
        <f t="shared" si="93"/>
        <v>0.9859154929577465</v>
      </c>
      <c r="BO140" s="122">
        <f t="shared" si="95"/>
        <v>0.9859154929577465</v>
      </c>
      <c r="BP140" s="82"/>
      <c r="BQ140" s="123">
        <f t="shared" si="96"/>
        <v>0</v>
      </c>
      <c r="BR140" s="101"/>
      <c r="BS140" s="92">
        <f t="shared" si="97"/>
        <v>51800</v>
      </c>
      <c r="BT140" s="92">
        <f t="shared" si="98"/>
        <v>51000</v>
      </c>
      <c r="BU140" s="124">
        <f t="shared" si="99"/>
        <v>-0.015444015444015413</v>
      </c>
      <c r="BV140" s="65" t="s">
        <v>371</v>
      </c>
    </row>
    <row r="141" spans="1:74" ht="85.5">
      <c r="A141" s="103">
        <v>69720649</v>
      </c>
      <c r="B141" s="104" t="s">
        <v>198</v>
      </c>
      <c r="C141" s="104" t="s">
        <v>47</v>
      </c>
      <c r="D141" s="104" t="s">
        <v>179</v>
      </c>
      <c r="E141" s="104" t="s">
        <v>198</v>
      </c>
      <c r="F141" s="105">
        <v>2029003</v>
      </c>
      <c r="G141" s="106"/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05">
        <v>2</v>
      </c>
      <c r="O141" s="105">
        <v>2</v>
      </c>
      <c r="P141" s="184" t="s">
        <v>287</v>
      </c>
      <c r="Q141" s="108">
        <v>0</v>
      </c>
      <c r="R141" s="108">
        <v>644000</v>
      </c>
      <c r="S141" s="108">
        <v>0</v>
      </c>
      <c r="T141" s="108">
        <v>0</v>
      </c>
      <c r="U141" s="108">
        <v>129600</v>
      </c>
      <c r="V141" s="108">
        <v>0</v>
      </c>
      <c r="W141" s="108">
        <v>0</v>
      </c>
      <c r="X141" s="108">
        <v>0</v>
      </c>
      <c r="Y141" s="108">
        <v>20000</v>
      </c>
      <c r="Z141" s="108">
        <v>0</v>
      </c>
      <c r="AA141" s="108">
        <v>0</v>
      </c>
      <c r="AB141" s="108">
        <v>0</v>
      </c>
      <c r="AC141" s="108">
        <v>0</v>
      </c>
      <c r="AD141" s="108">
        <v>0</v>
      </c>
      <c r="AE141" s="108">
        <v>0</v>
      </c>
      <c r="AF141" s="108">
        <v>0</v>
      </c>
      <c r="AG141" s="108">
        <v>0</v>
      </c>
      <c r="AH141" s="108">
        <v>0</v>
      </c>
      <c r="AI141" s="108">
        <v>420680</v>
      </c>
      <c r="AJ141" s="108">
        <v>0</v>
      </c>
      <c r="AK141" s="108"/>
      <c r="AL141" s="108">
        <v>570280</v>
      </c>
      <c r="AM141" s="109">
        <v>644000</v>
      </c>
      <c r="AN141" s="78"/>
      <c r="AO141" s="348">
        <v>450800</v>
      </c>
      <c r="AP141" s="192">
        <f t="shared" si="86"/>
        <v>0.7</v>
      </c>
      <c r="AQ141" s="112"/>
      <c r="AR141" s="82"/>
      <c r="AS141" s="113">
        <f t="shared" si="65"/>
        <v>450800</v>
      </c>
      <c r="AT141" s="114">
        <f t="shared" si="66"/>
        <v>0.7904888826541349</v>
      </c>
      <c r="AU141" s="115">
        <f t="shared" si="67"/>
        <v>119480</v>
      </c>
      <c r="AV141" s="86">
        <f t="shared" si="68"/>
        <v>0.7</v>
      </c>
      <c r="AW141" s="185">
        <f t="shared" si="69"/>
        <v>193200</v>
      </c>
      <c r="AX141" s="186">
        <f t="shared" si="90"/>
        <v>119480</v>
      </c>
      <c r="AY141" s="88"/>
      <c r="AZ141" s="117">
        <f t="shared" si="101"/>
        <v>225400</v>
      </c>
      <c r="BA141" s="118">
        <f t="shared" si="102"/>
        <v>225400</v>
      </c>
      <c r="BB141" s="88"/>
      <c r="BC141" s="119">
        <v>0</v>
      </c>
      <c r="BD141" s="91"/>
      <c r="BE141" s="92">
        <f t="shared" si="100"/>
        <v>0</v>
      </c>
      <c r="BF141" s="93"/>
      <c r="BG141" s="92"/>
      <c r="BH141" s="92">
        <v>0</v>
      </c>
      <c r="BI141" s="94">
        <v>0</v>
      </c>
      <c r="BJ141" s="120" t="s">
        <v>182</v>
      </c>
      <c r="BK141" s="121" t="s">
        <v>56</v>
      </c>
      <c r="BL141" s="97" t="e">
        <f t="shared" si="94"/>
        <v>#DIV/0!</v>
      </c>
      <c r="BM141" s="98"/>
      <c r="BN141" s="122">
        <f t="shared" si="93"/>
        <v>0.7904888826541349</v>
      </c>
      <c r="BO141" s="122">
        <f t="shared" si="95"/>
        <v>0.7</v>
      </c>
      <c r="BP141" s="82"/>
      <c r="BQ141" s="123">
        <f t="shared" si="96"/>
        <v>0</v>
      </c>
      <c r="BR141" s="101"/>
      <c r="BS141" s="92">
        <f t="shared" si="97"/>
        <v>0</v>
      </c>
      <c r="BT141" s="92">
        <f t="shared" si="98"/>
        <v>450800</v>
      </c>
      <c r="BU141" s="124"/>
      <c r="BV141" s="65" t="s">
        <v>368</v>
      </c>
    </row>
    <row r="142" spans="1:74" ht="99.75">
      <c r="A142" s="103">
        <v>70283966</v>
      </c>
      <c r="B142" s="104" t="s">
        <v>199</v>
      </c>
      <c r="C142" s="104" t="s">
        <v>47</v>
      </c>
      <c r="D142" s="104" t="s">
        <v>179</v>
      </c>
      <c r="E142" s="104" t="s">
        <v>199</v>
      </c>
      <c r="F142" s="105">
        <v>2560256</v>
      </c>
      <c r="G142" s="106"/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3.2</v>
      </c>
      <c r="O142" s="105">
        <v>2.7</v>
      </c>
      <c r="P142" s="184" t="s">
        <v>289</v>
      </c>
      <c r="Q142" s="108">
        <v>425000</v>
      </c>
      <c r="R142" s="108">
        <v>788537</v>
      </c>
      <c r="S142" s="108">
        <v>0</v>
      </c>
      <c r="T142" s="108">
        <v>0</v>
      </c>
      <c r="U142" s="108">
        <v>5500</v>
      </c>
      <c r="V142" s="108">
        <v>0</v>
      </c>
      <c r="W142" s="108">
        <v>126532</v>
      </c>
      <c r="X142" s="108">
        <v>113703</v>
      </c>
      <c r="Y142" s="108">
        <v>132740</v>
      </c>
      <c r="Z142" s="108">
        <v>120000</v>
      </c>
      <c r="AA142" s="108">
        <v>0</v>
      </c>
      <c r="AB142" s="108">
        <v>0</v>
      </c>
      <c r="AC142" s="108">
        <v>0</v>
      </c>
      <c r="AD142" s="108">
        <v>0</v>
      </c>
      <c r="AE142" s="108">
        <v>0</v>
      </c>
      <c r="AF142" s="108">
        <v>0</v>
      </c>
      <c r="AG142" s="108">
        <v>209775</v>
      </c>
      <c r="AH142" s="108">
        <v>59416</v>
      </c>
      <c r="AI142" s="108">
        <v>286680</v>
      </c>
      <c r="AJ142" s="108">
        <v>161250</v>
      </c>
      <c r="AK142" s="108">
        <v>1186227</v>
      </c>
      <c r="AL142" s="108">
        <v>1296433</v>
      </c>
      <c r="AM142" s="109">
        <v>1242906</v>
      </c>
      <c r="AN142" s="78"/>
      <c r="AO142" s="348">
        <v>487500</v>
      </c>
      <c r="AP142" s="192">
        <f t="shared" si="86"/>
        <v>0.6182335134559317</v>
      </c>
      <c r="AQ142" s="112">
        <f>-1+AO142/Q142</f>
        <v>0.1470588235294117</v>
      </c>
      <c r="AR142" s="82"/>
      <c r="AS142" s="113">
        <f t="shared" si="65"/>
        <v>828166</v>
      </c>
      <c r="AT142" s="114">
        <f t="shared" si="66"/>
        <v>0.698151365632379</v>
      </c>
      <c r="AU142" s="115">
        <f t="shared" si="67"/>
        <v>358061</v>
      </c>
      <c r="AV142" s="86">
        <f t="shared" si="68"/>
        <v>0.6663142667265264</v>
      </c>
      <c r="AW142" s="185">
        <f t="shared" si="69"/>
        <v>414740</v>
      </c>
      <c r="AX142" s="186">
        <f t="shared" si="90"/>
        <v>231529</v>
      </c>
      <c r="AY142" s="88"/>
      <c r="AZ142" s="117">
        <f t="shared" si="101"/>
        <v>152343.75</v>
      </c>
      <c r="BA142" s="118">
        <f t="shared" si="102"/>
        <v>180555.55555555553</v>
      </c>
      <c r="BB142" s="88"/>
      <c r="BC142" s="119">
        <v>88436</v>
      </c>
      <c r="BD142" s="91">
        <f>(Q142+W142)*1.1-AO142-BC142</f>
        <v>30749.20000000007</v>
      </c>
      <c r="BE142" s="92">
        <f t="shared" si="100"/>
        <v>25267</v>
      </c>
      <c r="BF142" s="93">
        <f>(BE142+BC142+AO142)/(Q142+W142)</f>
        <v>1.0900600509127303</v>
      </c>
      <c r="BG142" s="92"/>
      <c r="BH142" s="92">
        <v>25267</v>
      </c>
      <c r="BI142" s="94">
        <v>25267</v>
      </c>
      <c r="BJ142" s="120" t="s">
        <v>182</v>
      </c>
      <c r="BK142" s="121" t="s">
        <v>56</v>
      </c>
      <c r="BL142" s="97">
        <f t="shared" si="94"/>
        <v>1.0900600509127303</v>
      </c>
      <c r="BM142" s="98"/>
      <c r="BN142" s="122">
        <f t="shared" si="93"/>
        <v>0.7265080416805187</v>
      </c>
      <c r="BO142" s="122">
        <f t="shared" si="95"/>
        <v>0.7577958429680121</v>
      </c>
      <c r="BP142" s="82"/>
      <c r="BQ142" s="123">
        <f t="shared" si="96"/>
        <v>113703</v>
      </c>
      <c r="BR142" s="101"/>
      <c r="BS142" s="92">
        <f t="shared" si="97"/>
        <v>551532</v>
      </c>
      <c r="BT142" s="92">
        <f t="shared" si="98"/>
        <v>601203</v>
      </c>
      <c r="BU142" s="124">
        <f t="shared" si="99"/>
        <v>0.09006005091273028</v>
      </c>
      <c r="BV142" s="65" t="s">
        <v>372</v>
      </c>
    </row>
    <row r="143" spans="1:74" ht="99.75">
      <c r="A143" s="103">
        <v>70803978</v>
      </c>
      <c r="B143" s="104" t="s">
        <v>121</v>
      </c>
      <c r="C143" s="104" t="s">
        <v>59</v>
      </c>
      <c r="D143" s="104" t="s">
        <v>179</v>
      </c>
      <c r="E143" s="104" t="s">
        <v>200</v>
      </c>
      <c r="F143" s="105">
        <v>7780361</v>
      </c>
      <c r="G143" s="106"/>
      <c r="H143" s="105">
        <v>350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1</v>
      </c>
      <c r="O143" s="105">
        <v>0.5</v>
      </c>
      <c r="P143" s="184" t="s">
        <v>286</v>
      </c>
      <c r="Q143" s="108">
        <v>301000</v>
      </c>
      <c r="R143" s="108">
        <v>990000</v>
      </c>
      <c r="S143" s="108">
        <v>0</v>
      </c>
      <c r="T143" s="108">
        <v>0</v>
      </c>
      <c r="U143" s="108">
        <v>734712</v>
      </c>
      <c r="V143" s="108">
        <v>800000</v>
      </c>
      <c r="W143" s="108">
        <v>265055</v>
      </c>
      <c r="X143" s="108">
        <v>230000</v>
      </c>
      <c r="Y143" s="108">
        <v>395000</v>
      </c>
      <c r="Z143" s="108">
        <v>380000</v>
      </c>
      <c r="AA143" s="108">
        <v>0</v>
      </c>
      <c r="AB143" s="108">
        <v>0</v>
      </c>
      <c r="AC143" s="108">
        <v>0</v>
      </c>
      <c r="AD143" s="108">
        <v>0</v>
      </c>
      <c r="AE143" s="108">
        <v>0</v>
      </c>
      <c r="AF143" s="108">
        <v>0</v>
      </c>
      <c r="AG143" s="108">
        <v>0</v>
      </c>
      <c r="AH143" s="108">
        <v>0</v>
      </c>
      <c r="AI143" s="108">
        <v>1070000</v>
      </c>
      <c r="AJ143" s="108">
        <v>1000000</v>
      </c>
      <c r="AK143" s="108"/>
      <c r="AL143" s="108">
        <v>2765767</v>
      </c>
      <c r="AM143" s="109">
        <v>3400000</v>
      </c>
      <c r="AN143" s="78"/>
      <c r="AO143" s="348">
        <v>800000</v>
      </c>
      <c r="AP143" s="192">
        <f t="shared" si="86"/>
        <v>0.8080808080808081</v>
      </c>
      <c r="AQ143" s="112">
        <f>-1+AO143/Q143</f>
        <v>1.6578073089700998</v>
      </c>
      <c r="AR143" s="82"/>
      <c r="AS143" s="113">
        <f aca="true" t="shared" si="103" ref="AS143:AS192">T143+V143+Z143+AB143+AD143+AF143+AH143+AJ143+AO143</f>
        <v>2980000</v>
      </c>
      <c r="AT143" s="114">
        <f aca="true" t="shared" si="104" ref="AT143:AT192">AS143/(Q143+S143+U143+W143+Y143+AA143+AC143+AE143+AG143+AI143)</f>
        <v>1.0774588025672445</v>
      </c>
      <c r="AU143" s="115">
        <f aca="true" t="shared" si="105" ref="AU143:AU188">IF(AT143&gt;=100%,0,(Q143+S143+U143+W143+Y143+AA143+AC143+AE143+AG143+AI143)-(T143+V143+Z143+AB143+AD143+AF143+AH143+AJ143+AO143))</f>
        <v>0</v>
      </c>
      <c r="AV143" s="86">
        <f aca="true" t="shared" si="106" ref="AV143:AV192">AS143/AM143</f>
        <v>0.8764705882352941</v>
      </c>
      <c r="AW143" s="185">
        <f aca="true" t="shared" si="107" ref="AW143:AW148">IF(AS143&lt;AM143,AM143-AS143,0)</f>
        <v>420000</v>
      </c>
      <c r="AX143" s="186">
        <f t="shared" si="90"/>
        <v>0</v>
      </c>
      <c r="AY143" s="88"/>
      <c r="AZ143" s="117">
        <f t="shared" si="101"/>
        <v>800000</v>
      </c>
      <c r="BA143" s="118">
        <f t="shared" si="102"/>
        <v>1600000</v>
      </c>
      <c r="BB143" s="88"/>
      <c r="BC143" s="119">
        <v>0</v>
      </c>
      <c r="BD143" s="91">
        <f>(Q143+W143)*1.1-AO143-BC143</f>
        <v>-177339.5</v>
      </c>
      <c r="BE143" s="92">
        <f t="shared" si="100"/>
        <v>-177339.5</v>
      </c>
      <c r="BF143" s="93">
        <f>(BE143+BC143+AO143)/(Q143+W143)</f>
        <v>1.1</v>
      </c>
      <c r="BG143" s="92">
        <f>IF(BF143&lt;$BG$3,(0.7*(Q143+W143))-(AO143+BC143),0)</f>
        <v>-403761.5</v>
      </c>
      <c r="BH143" s="92">
        <v>22000</v>
      </c>
      <c r="BI143" s="94">
        <v>222000</v>
      </c>
      <c r="BJ143" s="120" t="s">
        <v>182</v>
      </c>
      <c r="BK143" s="121" t="s">
        <v>56</v>
      </c>
      <c r="BL143" s="97">
        <f t="shared" si="94"/>
        <v>1.452155709250868</v>
      </c>
      <c r="BM143" s="98"/>
      <c r="BN143" s="122">
        <f t="shared" si="93"/>
        <v>1.1577258677249385</v>
      </c>
      <c r="BO143" s="122">
        <f t="shared" si="95"/>
        <v>0.941764705882353</v>
      </c>
      <c r="BP143" s="82"/>
      <c r="BQ143" s="123">
        <f t="shared" si="96"/>
        <v>222000</v>
      </c>
      <c r="BR143" s="101"/>
      <c r="BS143" s="92">
        <f t="shared" si="97"/>
        <v>566055</v>
      </c>
      <c r="BT143" s="92">
        <f t="shared" si="98"/>
        <v>1022000</v>
      </c>
      <c r="BU143" s="124">
        <f t="shared" si="99"/>
        <v>0.8054782662462128</v>
      </c>
      <c r="BV143" s="65" t="s">
        <v>373</v>
      </c>
    </row>
    <row r="144" spans="1:74" ht="51">
      <c r="A144" s="103">
        <v>70955751</v>
      </c>
      <c r="B144" s="104" t="s">
        <v>166</v>
      </c>
      <c r="C144" s="104" t="s">
        <v>47</v>
      </c>
      <c r="D144" s="104" t="s">
        <v>179</v>
      </c>
      <c r="E144" s="104" t="s">
        <v>201</v>
      </c>
      <c r="F144" s="105">
        <v>7914461</v>
      </c>
      <c r="G144" s="106"/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1.1</v>
      </c>
      <c r="O144" s="105">
        <v>0.3</v>
      </c>
      <c r="P144" s="184" t="s">
        <v>280</v>
      </c>
      <c r="Q144" s="108">
        <v>0</v>
      </c>
      <c r="R144" s="108">
        <v>425500</v>
      </c>
      <c r="S144" s="108">
        <v>0</v>
      </c>
      <c r="T144" s="108">
        <v>0</v>
      </c>
      <c r="U144" s="108">
        <v>0</v>
      </c>
      <c r="V144" s="108">
        <v>0</v>
      </c>
      <c r="W144" s="108">
        <v>0</v>
      </c>
      <c r="X144" s="108">
        <v>0</v>
      </c>
      <c r="Y144" s="108">
        <v>30000</v>
      </c>
      <c r="Z144" s="108">
        <v>30000</v>
      </c>
      <c r="AA144" s="108">
        <v>0</v>
      </c>
      <c r="AB144" s="108">
        <v>0</v>
      </c>
      <c r="AC144" s="108">
        <v>0</v>
      </c>
      <c r="AD144" s="108">
        <v>0</v>
      </c>
      <c r="AE144" s="108">
        <v>0</v>
      </c>
      <c r="AF144" s="108">
        <v>0</v>
      </c>
      <c r="AG144" s="108">
        <v>144000</v>
      </c>
      <c r="AH144" s="108">
        <v>0</v>
      </c>
      <c r="AI144" s="108">
        <v>0</v>
      </c>
      <c r="AJ144" s="108">
        <v>0</v>
      </c>
      <c r="AK144" s="108"/>
      <c r="AL144" s="108">
        <v>174000</v>
      </c>
      <c r="AM144" s="109">
        <v>455500</v>
      </c>
      <c r="AN144" s="78"/>
      <c r="AO144" s="348">
        <v>204000</v>
      </c>
      <c r="AP144" s="192">
        <f t="shared" si="86"/>
        <v>0.4794359576968273</v>
      </c>
      <c r="AQ144" s="112"/>
      <c r="AR144" s="82"/>
      <c r="AS144" s="113">
        <f t="shared" si="103"/>
        <v>234000</v>
      </c>
      <c r="AT144" s="114">
        <f t="shared" si="104"/>
        <v>1.3448275862068966</v>
      </c>
      <c r="AU144" s="115">
        <f t="shared" si="105"/>
        <v>0</v>
      </c>
      <c r="AV144" s="86">
        <f t="shared" si="106"/>
        <v>0.5137211855104281</v>
      </c>
      <c r="AW144" s="185">
        <f t="shared" si="107"/>
        <v>221500</v>
      </c>
      <c r="AX144" s="186">
        <f t="shared" si="90"/>
        <v>0</v>
      </c>
      <c r="AY144" s="88"/>
      <c r="AZ144" s="117">
        <f t="shared" si="101"/>
        <v>185454.54545454544</v>
      </c>
      <c r="BA144" s="118">
        <f t="shared" si="102"/>
        <v>680000</v>
      </c>
      <c r="BB144" s="88"/>
      <c r="BC144" s="119">
        <v>0</v>
      </c>
      <c r="BD144" s="91"/>
      <c r="BE144" s="92">
        <f t="shared" si="100"/>
        <v>0</v>
      </c>
      <c r="BF144" s="93"/>
      <c r="BG144" s="92"/>
      <c r="BH144" s="92">
        <v>0</v>
      </c>
      <c r="BI144" s="94">
        <v>0</v>
      </c>
      <c r="BJ144" s="120" t="s">
        <v>182</v>
      </c>
      <c r="BK144" s="121" t="s">
        <v>56</v>
      </c>
      <c r="BL144" s="97" t="e">
        <f t="shared" si="94"/>
        <v>#DIV/0!</v>
      </c>
      <c r="BM144" s="98"/>
      <c r="BN144" s="122">
        <f t="shared" si="93"/>
        <v>1.3448275862068966</v>
      </c>
      <c r="BO144" s="122">
        <f t="shared" si="95"/>
        <v>0.5137211855104281</v>
      </c>
      <c r="BP144" s="82"/>
      <c r="BQ144" s="123">
        <f t="shared" si="96"/>
        <v>0</v>
      </c>
      <c r="BR144" s="101"/>
      <c r="BS144" s="92">
        <f t="shared" si="97"/>
        <v>0</v>
      </c>
      <c r="BT144" s="92">
        <f t="shared" si="98"/>
        <v>204000</v>
      </c>
      <c r="BU144" s="124"/>
      <c r="BV144" s="65" t="s">
        <v>367</v>
      </c>
    </row>
    <row r="145" spans="1:74" ht="51">
      <c r="A145" s="103">
        <v>70955751</v>
      </c>
      <c r="B145" s="104" t="s">
        <v>166</v>
      </c>
      <c r="C145" s="104" t="s">
        <v>47</v>
      </c>
      <c r="D145" s="104" t="s">
        <v>179</v>
      </c>
      <c r="E145" s="104" t="s">
        <v>202</v>
      </c>
      <c r="F145" s="105">
        <v>1177442</v>
      </c>
      <c r="G145" s="106"/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84" t="s">
        <v>282</v>
      </c>
      <c r="Q145" s="108">
        <v>0</v>
      </c>
      <c r="R145" s="108">
        <v>15000</v>
      </c>
      <c r="S145" s="108">
        <v>0</v>
      </c>
      <c r="T145" s="108">
        <v>0</v>
      </c>
      <c r="U145" s="108">
        <v>0</v>
      </c>
      <c r="V145" s="108">
        <v>0</v>
      </c>
      <c r="W145" s="108">
        <v>0</v>
      </c>
      <c r="X145" s="108">
        <v>0</v>
      </c>
      <c r="Y145" s="108">
        <v>16000</v>
      </c>
      <c r="Z145" s="108">
        <v>8000</v>
      </c>
      <c r="AA145" s="108">
        <v>5000</v>
      </c>
      <c r="AB145" s="108">
        <v>0</v>
      </c>
      <c r="AC145" s="108">
        <v>0</v>
      </c>
      <c r="AD145" s="108">
        <v>0</v>
      </c>
      <c r="AE145" s="108">
        <v>0</v>
      </c>
      <c r="AF145" s="108">
        <v>0</v>
      </c>
      <c r="AG145" s="108">
        <v>0</v>
      </c>
      <c r="AH145" s="108">
        <v>0</v>
      </c>
      <c r="AI145" s="108">
        <v>0</v>
      </c>
      <c r="AJ145" s="108">
        <v>0</v>
      </c>
      <c r="AK145" s="108"/>
      <c r="AL145" s="108">
        <v>21000</v>
      </c>
      <c r="AM145" s="109">
        <v>23000</v>
      </c>
      <c r="AN145" s="78"/>
      <c r="AO145" s="348">
        <v>15000</v>
      </c>
      <c r="AP145" s="192">
        <f t="shared" si="86"/>
        <v>1</v>
      </c>
      <c r="AQ145" s="112"/>
      <c r="AR145" s="82"/>
      <c r="AS145" s="113">
        <f t="shared" si="103"/>
        <v>23000</v>
      </c>
      <c r="AT145" s="114">
        <f t="shared" si="104"/>
        <v>1.0952380952380953</v>
      </c>
      <c r="AU145" s="115">
        <f t="shared" si="105"/>
        <v>0</v>
      </c>
      <c r="AV145" s="86">
        <f t="shared" si="106"/>
        <v>1</v>
      </c>
      <c r="AW145" s="185">
        <f t="shared" si="107"/>
        <v>0</v>
      </c>
      <c r="AX145" s="186">
        <f t="shared" si="90"/>
        <v>0</v>
      </c>
      <c r="AY145" s="88"/>
      <c r="AZ145" s="117"/>
      <c r="BA145" s="118"/>
      <c r="BB145" s="88"/>
      <c r="BC145" s="119">
        <v>0</v>
      </c>
      <c r="BD145" s="91"/>
      <c r="BE145" s="92">
        <f t="shared" si="100"/>
        <v>0</v>
      </c>
      <c r="BF145" s="93"/>
      <c r="BG145" s="92"/>
      <c r="BH145" s="92">
        <v>0</v>
      </c>
      <c r="BI145" s="94">
        <v>0</v>
      </c>
      <c r="BJ145" s="120" t="s">
        <v>182</v>
      </c>
      <c r="BK145" s="121" t="s">
        <v>56</v>
      </c>
      <c r="BL145" s="97" t="e">
        <f t="shared" si="94"/>
        <v>#DIV/0!</v>
      </c>
      <c r="BM145" s="98"/>
      <c r="BN145" s="122">
        <f t="shared" si="93"/>
        <v>1.0952380952380953</v>
      </c>
      <c r="BO145" s="122">
        <f t="shared" si="95"/>
        <v>1</v>
      </c>
      <c r="BP145" s="82"/>
      <c r="BQ145" s="123">
        <f t="shared" si="96"/>
        <v>0</v>
      </c>
      <c r="BR145" s="101"/>
      <c r="BS145" s="92">
        <f t="shared" si="97"/>
        <v>0</v>
      </c>
      <c r="BT145" s="92">
        <f t="shared" si="98"/>
        <v>15000</v>
      </c>
      <c r="BU145" s="124"/>
      <c r="BV145" s="65" t="s">
        <v>367</v>
      </c>
    </row>
    <row r="146" spans="1:74" ht="51">
      <c r="A146" s="103">
        <v>70955751</v>
      </c>
      <c r="B146" s="104" t="s">
        <v>166</v>
      </c>
      <c r="C146" s="104" t="s">
        <v>47</v>
      </c>
      <c r="D146" s="104" t="s">
        <v>179</v>
      </c>
      <c r="E146" s="104" t="s">
        <v>203</v>
      </c>
      <c r="F146" s="105">
        <v>8805047</v>
      </c>
      <c r="G146" s="106"/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84" t="s">
        <v>289</v>
      </c>
      <c r="Q146" s="108">
        <v>0</v>
      </c>
      <c r="R146" s="108">
        <v>15000</v>
      </c>
      <c r="S146" s="108">
        <v>0</v>
      </c>
      <c r="T146" s="108">
        <v>0</v>
      </c>
      <c r="U146" s="108">
        <v>0</v>
      </c>
      <c r="V146" s="108">
        <v>0</v>
      </c>
      <c r="W146" s="108">
        <v>0</v>
      </c>
      <c r="X146" s="108">
        <v>0</v>
      </c>
      <c r="Y146" s="108">
        <v>0</v>
      </c>
      <c r="Z146" s="108">
        <v>5000</v>
      </c>
      <c r="AA146" s="108">
        <v>15000</v>
      </c>
      <c r="AB146" s="108">
        <v>0</v>
      </c>
      <c r="AC146" s="108">
        <v>0</v>
      </c>
      <c r="AD146" s="108">
        <v>0</v>
      </c>
      <c r="AE146" s="108">
        <v>0</v>
      </c>
      <c r="AF146" s="108">
        <v>0</v>
      </c>
      <c r="AG146" s="108">
        <v>8000</v>
      </c>
      <c r="AH146" s="108">
        <v>0</v>
      </c>
      <c r="AI146" s="108">
        <v>0</v>
      </c>
      <c r="AJ146" s="108">
        <v>0</v>
      </c>
      <c r="AK146" s="108"/>
      <c r="AL146" s="108">
        <v>23000</v>
      </c>
      <c r="AM146" s="109">
        <v>20000</v>
      </c>
      <c r="AN146" s="78"/>
      <c r="AO146" s="348">
        <v>15000</v>
      </c>
      <c r="AP146" s="192">
        <f t="shared" si="86"/>
        <v>1</v>
      </c>
      <c r="AQ146" s="112"/>
      <c r="AR146" s="82"/>
      <c r="AS146" s="113">
        <f t="shared" si="103"/>
        <v>20000</v>
      </c>
      <c r="AT146" s="114">
        <f t="shared" si="104"/>
        <v>0.8695652173913043</v>
      </c>
      <c r="AU146" s="115">
        <f t="shared" si="105"/>
        <v>3000</v>
      </c>
      <c r="AV146" s="86">
        <f t="shared" si="106"/>
        <v>1</v>
      </c>
      <c r="AW146" s="185">
        <f t="shared" si="107"/>
        <v>0</v>
      </c>
      <c r="AX146" s="186">
        <f t="shared" si="90"/>
        <v>3000</v>
      </c>
      <c r="AY146" s="88"/>
      <c r="AZ146" s="117"/>
      <c r="BA146" s="118"/>
      <c r="BB146" s="88"/>
      <c r="BC146" s="119">
        <v>0</v>
      </c>
      <c r="BD146" s="91"/>
      <c r="BE146" s="92">
        <f t="shared" si="100"/>
        <v>0</v>
      </c>
      <c r="BF146" s="93"/>
      <c r="BG146" s="92"/>
      <c r="BH146" s="92">
        <v>0</v>
      </c>
      <c r="BI146" s="94">
        <v>0</v>
      </c>
      <c r="BJ146" s="120" t="s">
        <v>182</v>
      </c>
      <c r="BK146" s="121" t="s">
        <v>56</v>
      </c>
      <c r="BL146" s="97" t="e">
        <f t="shared" si="94"/>
        <v>#DIV/0!</v>
      </c>
      <c r="BM146" s="98"/>
      <c r="BN146" s="122">
        <f t="shared" si="93"/>
        <v>0.8695652173913043</v>
      </c>
      <c r="BO146" s="122">
        <f t="shared" si="95"/>
        <v>1</v>
      </c>
      <c r="BP146" s="82"/>
      <c r="BQ146" s="123">
        <f t="shared" si="96"/>
        <v>0</v>
      </c>
      <c r="BR146" s="101"/>
      <c r="BS146" s="92">
        <f t="shared" si="97"/>
        <v>0</v>
      </c>
      <c r="BT146" s="92">
        <f t="shared" si="98"/>
        <v>15000</v>
      </c>
      <c r="BU146" s="124"/>
      <c r="BV146" s="65" t="s">
        <v>367</v>
      </c>
    </row>
    <row r="147" spans="1:74" ht="51">
      <c r="A147" s="103">
        <v>70955751</v>
      </c>
      <c r="B147" s="104" t="s">
        <v>166</v>
      </c>
      <c r="C147" s="104" t="s">
        <v>47</v>
      </c>
      <c r="D147" s="104" t="s">
        <v>179</v>
      </c>
      <c r="E147" s="104" t="s">
        <v>204</v>
      </c>
      <c r="F147" s="105">
        <v>7457654</v>
      </c>
      <c r="G147" s="106"/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84" t="s">
        <v>287</v>
      </c>
      <c r="Q147" s="108">
        <v>0</v>
      </c>
      <c r="R147" s="108">
        <v>15000</v>
      </c>
      <c r="S147" s="108">
        <v>0</v>
      </c>
      <c r="T147" s="108">
        <v>0</v>
      </c>
      <c r="U147" s="108">
        <v>0</v>
      </c>
      <c r="V147" s="108">
        <v>0</v>
      </c>
      <c r="W147" s="108">
        <v>0</v>
      </c>
      <c r="X147" s="108">
        <v>0</v>
      </c>
      <c r="Y147" s="108">
        <v>10000</v>
      </c>
      <c r="Z147" s="108">
        <v>10000</v>
      </c>
      <c r="AA147" s="108">
        <v>15000</v>
      </c>
      <c r="AB147" s="108">
        <v>0</v>
      </c>
      <c r="AC147" s="108">
        <v>0</v>
      </c>
      <c r="AD147" s="108">
        <v>0</v>
      </c>
      <c r="AE147" s="108">
        <v>0</v>
      </c>
      <c r="AF147" s="108">
        <v>0</v>
      </c>
      <c r="AG147" s="108">
        <v>0</v>
      </c>
      <c r="AH147" s="108">
        <v>0</v>
      </c>
      <c r="AI147" s="108">
        <v>0</v>
      </c>
      <c r="AJ147" s="108">
        <v>0</v>
      </c>
      <c r="AK147" s="108"/>
      <c r="AL147" s="108">
        <v>25000</v>
      </c>
      <c r="AM147" s="109">
        <v>25000</v>
      </c>
      <c r="AN147" s="78"/>
      <c r="AO147" s="348">
        <v>15000</v>
      </c>
      <c r="AP147" s="192">
        <f t="shared" si="86"/>
        <v>1</v>
      </c>
      <c r="AQ147" s="112"/>
      <c r="AR147" s="82"/>
      <c r="AS147" s="113">
        <f t="shared" si="103"/>
        <v>25000</v>
      </c>
      <c r="AT147" s="114">
        <f t="shared" si="104"/>
        <v>1</v>
      </c>
      <c r="AU147" s="115">
        <f t="shared" si="105"/>
        <v>0</v>
      </c>
      <c r="AV147" s="86">
        <f t="shared" si="106"/>
        <v>1</v>
      </c>
      <c r="AW147" s="185">
        <f t="shared" si="107"/>
        <v>0</v>
      </c>
      <c r="AX147" s="186">
        <f t="shared" si="90"/>
        <v>0</v>
      </c>
      <c r="AY147" s="88"/>
      <c r="AZ147" s="117"/>
      <c r="BA147" s="118"/>
      <c r="BB147" s="88"/>
      <c r="BC147" s="119">
        <v>0</v>
      </c>
      <c r="BD147" s="91"/>
      <c r="BE147" s="92">
        <f t="shared" si="100"/>
        <v>0</v>
      </c>
      <c r="BF147" s="93"/>
      <c r="BG147" s="92"/>
      <c r="BH147" s="92">
        <v>0</v>
      </c>
      <c r="BI147" s="94">
        <v>0</v>
      </c>
      <c r="BJ147" s="120" t="s">
        <v>182</v>
      </c>
      <c r="BK147" s="121" t="s">
        <v>56</v>
      </c>
      <c r="BL147" s="97" t="e">
        <f t="shared" si="94"/>
        <v>#DIV/0!</v>
      </c>
      <c r="BM147" s="98"/>
      <c r="BN147" s="122">
        <f t="shared" si="93"/>
        <v>1</v>
      </c>
      <c r="BO147" s="122">
        <f t="shared" si="95"/>
        <v>1</v>
      </c>
      <c r="BP147" s="82"/>
      <c r="BQ147" s="123">
        <f t="shared" si="96"/>
        <v>0</v>
      </c>
      <c r="BR147" s="101"/>
      <c r="BS147" s="92">
        <f t="shared" si="97"/>
        <v>0</v>
      </c>
      <c r="BT147" s="92">
        <f t="shared" si="98"/>
        <v>15000</v>
      </c>
      <c r="BU147" s="124"/>
      <c r="BV147" s="65" t="s">
        <v>367</v>
      </c>
    </row>
    <row r="148" spans="1:74" ht="51.75" thickBot="1">
      <c r="A148" s="125">
        <v>70955751</v>
      </c>
      <c r="B148" s="126" t="s">
        <v>166</v>
      </c>
      <c r="C148" s="126" t="s">
        <v>47</v>
      </c>
      <c r="D148" s="126" t="s">
        <v>179</v>
      </c>
      <c r="E148" s="126" t="s">
        <v>205</v>
      </c>
      <c r="F148" s="127">
        <v>9746758</v>
      </c>
      <c r="G148" s="281"/>
      <c r="H148" s="127">
        <v>0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42" t="s">
        <v>293</v>
      </c>
      <c r="Q148" s="129">
        <v>0</v>
      </c>
      <c r="R148" s="129">
        <v>15000</v>
      </c>
      <c r="S148" s="129">
        <v>0</v>
      </c>
      <c r="T148" s="129">
        <v>0</v>
      </c>
      <c r="U148" s="129">
        <v>0</v>
      </c>
      <c r="V148" s="129">
        <v>0</v>
      </c>
      <c r="W148" s="129">
        <v>0</v>
      </c>
      <c r="X148" s="129">
        <v>0</v>
      </c>
      <c r="Y148" s="129">
        <v>5000</v>
      </c>
      <c r="Z148" s="129">
        <v>5000</v>
      </c>
      <c r="AA148" s="129">
        <v>15000</v>
      </c>
      <c r="AB148" s="129">
        <v>0</v>
      </c>
      <c r="AC148" s="129">
        <v>0</v>
      </c>
      <c r="AD148" s="129">
        <v>0</v>
      </c>
      <c r="AE148" s="129">
        <v>0</v>
      </c>
      <c r="AF148" s="129">
        <v>0</v>
      </c>
      <c r="AG148" s="129">
        <v>0</v>
      </c>
      <c r="AH148" s="129">
        <v>0</v>
      </c>
      <c r="AI148" s="129">
        <v>0</v>
      </c>
      <c r="AJ148" s="129">
        <v>0</v>
      </c>
      <c r="AK148" s="129"/>
      <c r="AL148" s="129">
        <v>20000</v>
      </c>
      <c r="AM148" s="109">
        <v>20000</v>
      </c>
      <c r="AN148" s="78"/>
      <c r="AO148" s="348">
        <v>15000</v>
      </c>
      <c r="AP148" s="192">
        <f t="shared" si="86"/>
        <v>1</v>
      </c>
      <c r="AQ148" s="112"/>
      <c r="AR148" s="82"/>
      <c r="AS148" s="113">
        <f t="shared" si="103"/>
        <v>20000</v>
      </c>
      <c r="AT148" s="114">
        <f t="shared" si="104"/>
        <v>1</v>
      </c>
      <c r="AU148" s="115">
        <f t="shared" si="105"/>
        <v>0</v>
      </c>
      <c r="AV148" s="86">
        <f t="shared" si="106"/>
        <v>1</v>
      </c>
      <c r="AW148" s="185">
        <f t="shared" si="107"/>
        <v>0</v>
      </c>
      <c r="AX148" s="186">
        <f t="shared" si="90"/>
        <v>0</v>
      </c>
      <c r="AY148" s="88"/>
      <c r="AZ148" s="117"/>
      <c r="BA148" s="118"/>
      <c r="BB148" s="88"/>
      <c r="BC148" s="193">
        <v>0</v>
      </c>
      <c r="BD148" s="91"/>
      <c r="BE148" s="92">
        <f t="shared" si="100"/>
        <v>0</v>
      </c>
      <c r="BF148" s="93"/>
      <c r="BG148" s="92"/>
      <c r="BH148" s="92">
        <v>0</v>
      </c>
      <c r="BI148" s="94">
        <v>0</v>
      </c>
      <c r="BJ148" s="120" t="s">
        <v>182</v>
      </c>
      <c r="BK148" s="121" t="s">
        <v>56</v>
      </c>
      <c r="BL148" s="97" t="e">
        <f t="shared" si="94"/>
        <v>#DIV/0!</v>
      </c>
      <c r="BM148" s="98"/>
      <c r="BN148" s="122">
        <f t="shared" si="93"/>
        <v>1</v>
      </c>
      <c r="BO148" s="122">
        <f t="shared" si="95"/>
        <v>1</v>
      </c>
      <c r="BP148" s="82"/>
      <c r="BQ148" s="123">
        <f t="shared" si="96"/>
        <v>0</v>
      </c>
      <c r="BR148" s="101"/>
      <c r="BS148" s="92">
        <f t="shared" si="97"/>
        <v>0</v>
      </c>
      <c r="BT148" s="92">
        <f t="shared" si="98"/>
        <v>15000</v>
      </c>
      <c r="BU148" s="124"/>
      <c r="BV148" s="66" t="s">
        <v>367</v>
      </c>
    </row>
    <row r="149" spans="1:74" ht="15" thickBot="1">
      <c r="A149" s="167" t="s">
        <v>61</v>
      </c>
      <c r="B149" s="71"/>
      <c r="C149" s="71"/>
      <c r="D149" s="71"/>
      <c r="E149" s="7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2">
        <f aca="true" t="shared" si="108" ref="Q149:AJ149">SUM(Q123:Q148)</f>
        <v>5846000</v>
      </c>
      <c r="R149" s="152">
        <f t="shared" si="108"/>
        <v>10401856</v>
      </c>
      <c r="S149" s="152">
        <f t="shared" si="108"/>
        <v>142000</v>
      </c>
      <c r="T149" s="152">
        <f t="shared" si="108"/>
        <v>0</v>
      </c>
      <c r="U149" s="152">
        <f t="shared" si="108"/>
        <v>1156097</v>
      </c>
      <c r="V149" s="152">
        <f t="shared" si="108"/>
        <v>853400</v>
      </c>
      <c r="W149" s="152">
        <f t="shared" si="108"/>
        <v>1701493</v>
      </c>
      <c r="X149" s="152">
        <f t="shared" si="108"/>
        <v>1355217</v>
      </c>
      <c r="Y149" s="152">
        <f t="shared" si="108"/>
        <v>1329295</v>
      </c>
      <c r="Z149" s="152">
        <f t="shared" si="108"/>
        <v>1435780</v>
      </c>
      <c r="AA149" s="152">
        <f t="shared" si="108"/>
        <v>50000</v>
      </c>
      <c r="AB149" s="152">
        <f t="shared" si="108"/>
        <v>0</v>
      </c>
      <c r="AC149" s="152">
        <f t="shared" si="108"/>
        <v>316600</v>
      </c>
      <c r="AD149" s="152">
        <f t="shared" si="108"/>
        <v>25300</v>
      </c>
      <c r="AE149" s="152">
        <f t="shared" si="108"/>
        <v>0</v>
      </c>
      <c r="AF149" s="152">
        <f t="shared" si="108"/>
        <v>0</v>
      </c>
      <c r="AG149" s="152">
        <f t="shared" si="108"/>
        <v>1518702</v>
      </c>
      <c r="AH149" s="152">
        <f t="shared" si="108"/>
        <v>579837</v>
      </c>
      <c r="AI149" s="152">
        <f t="shared" si="108"/>
        <v>2229248</v>
      </c>
      <c r="AJ149" s="152">
        <f t="shared" si="108"/>
        <v>1796810</v>
      </c>
      <c r="AK149" s="152"/>
      <c r="AL149" s="152">
        <f>SUM(AL123:AL148)</f>
        <v>14079845</v>
      </c>
      <c r="AM149" s="154">
        <f>SUM(AM123:AM148)</f>
        <v>16447800</v>
      </c>
      <c r="AN149" s="153"/>
      <c r="AO149" s="154">
        <f>SUM(AO123:AO148)</f>
        <v>7761000</v>
      </c>
      <c r="AP149" s="41">
        <f>AO149/R149</f>
        <v>0.746116846839641</v>
      </c>
      <c r="AQ149" s="41">
        <f>-1+AO149/Q149</f>
        <v>0.32757440985289077</v>
      </c>
      <c r="AR149" s="1"/>
      <c r="AS149" s="155">
        <f t="shared" si="103"/>
        <v>12452127</v>
      </c>
      <c r="AT149" s="207">
        <f t="shared" si="104"/>
        <v>0.871421928158811</v>
      </c>
      <c r="AU149" s="156">
        <f>SUM(AU123:AU148)</f>
        <v>2214737</v>
      </c>
      <c r="AV149" s="157">
        <f t="shared" si="106"/>
        <v>0.757069456097472</v>
      </c>
      <c r="AW149" s="156">
        <f>SUM(AW123:AW148)</f>
        <v>3995673</v>
      </c>
      <c r="AX149" s="210">
        <f>SUM(AX123:AX148)</f>
        <v>1137410</v>
      </c>
      <c r="AY149" s="88"/>
      <c r="AZ149" s="158"/>
      <c r="BA149" s="158"/>
      <c r="BB149" s="88"/>
      <c r="BC149" s="160">
        <f>SUM(BC123:BC148)</f>
        <v>878634</v>
      </c>
      <c r="BD149" s="160">
        <f>SUM(BD123:BD148)</f>
        <v>899212.9000000004</v>
      </c>
      <c r="BE149" s="161">
        <f>SUM(BE123:BE148)</f>
        <v>61231.40000000002</v>
      </c>
      <c r="BF149" s="160"/>
      <c r="BG149" s="161">
        <f>SUM(BG123:BG148)</f>
        <v>-403761.5</v>
      </c>
      <c r="BH149" s="161">
        <f>SUM(BH123:BH148)</f>
        <v>474584</v>
      </c>
      <c r="BI149" s="57">
        <f>SUM(BI123:BI148)</f>
        <v>932241</v>
      </c>
      <c r="BJ149" s="162"/>
      <c r="BK149" s="162"/>
      <c r="BL149" s="97">
        <f t="shared" si="94"/>
        <v>1.1852820465536544</v>
      </c>
      <c r="BM149" s="98"/>
      <c r="BN149" s="82"/>
      <c r="BO149" s="82"/>
      <c r="BP149" s="82"/>
      <c r="BQ149" s="161">
        <f>SUM(BQ123:BQ148)</f>
        <v>1810875</v>
      </c>
      <c r="BR149" s="101"/>
      <c r="BS149" s="161">
        <f t="shared" si="97"/>
        <v>7547493</v>
      </c>
      <c r="BT149" s="161">
        <f t="shared" si="98"/>
        <v>9571875</v>
      </c>
      <c r="BU149" s="163">
        <f t="shared" si="99"/>
        <v>0.2682191291863405</v>
      </c>
      <c r="BV149" s="67"/>
    </row>
    <row r="150" spans="1:74" ht="15" thickBot="1">
      <c r="A150" s="149"/>
      <c r="B150" s="150"/>
      <c r="C150" s="150"/>
      <c r="D150" s="150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97"/>
      <c r="AQ150" s="97"/>
      <c r="AR150" s="97"/>
      <c r="AS150" s="164"/>
      <c r="AT150" s="82"/>
      <c r="AU150" s="165"/>
      <c r="AV150" s="215"/>
      <c r="AW150" s="164"/>
      <c r="AX150" s="165"/>
      <c r="AY150" s="88"/>
      <c r="AZ150" s="158"/>
      <c r="BA150" s="158"/>
      <c r="BB150" s="88"/>
      <c r="BC150" s="169"/>
      <c r="BD150" s="170"/>
      <c r="BE150" s="171"/>
      <c r="BF150" s="172"/>
      <c r="BG150" s="171"/>
      <c r="BH150" s="171"/>
      <c r="BI150" s="173"/>
      <c r="BJ150" s="162"/>
      <c r="BK150" s="162"/>
      <c r="BL150" s="97" t="e">
        <f t="shared" si="94"/>
        <v>#DIV/0!</v>
      </c>
      <c r="BM150" s="98"/>
      <c r="BN150" s="82"/>
      <c r="BO150" s="82"/>
      <c r="BP150" s="82"/>
      <c r="BQ150" s="171"/>
      <c r="BR150" s="101"/>
      <c r="BS150" s="171"/>
      <c r="BT150" s="171"/>
      <c r="BU150" s="174"/>
      <c r="BV150" s="67"/>
    </row>
    <row r="151" spans="1:74" ht="85.5">
      <c r="A151" s="72">
        <v>15060233</v>
      </c>
      <c r="B151" s="73" t="s">
        <v>46</v>
      </c>
      <c r="C151" s="73" t="s">
        <v>47</v>
      </c>
      <c r="D151" s="73" t="s">
        <v>206</v>
      </c>
      <c r="E151" s="73" t="s">
        <v>207</v>
      </c>
      <c r="F151" s="74">
        <v>5658028</v>
      </c>
      <c r="G151" s="74">
        <v>19</v>
      </c>
      <c r="H151" s="74">
        <v>19</v>
      </c>
      <c r="I151" s="74">
        <v>0</v>
      </c>
      <c r="J151" s="74">
        <v>0</v>
      </c>
      <c r="K151" s="74">
        <v>0</v>
      </c>
      <c r="L151" s="74">
        <v>0</v>
      </c>
      <c r="M151" s="74">
        <v>0</v>
      </c>
      <c r="N151" s="74">
        <v>1.1</v>
      </c>
      <c r="O151" s="74">
        <v>1</v>
      </c>
      <c r="P151" s="175" t="s">
        <v>282</v>
      </c>
      <c r="Q151" s="76">
        <v>0</v>
      </c>
      <c r="R151" s="76">
        <v>209400</v>
      </c>
      <c r="S151" s="76">
        <v>0</v>
      </c>
      <c r="T151" s="76">
        <v>0</v>
      </c>
      <c r="U151" s="76">
        <v>0</v>
      </c>
      <c r="V151" s="76">
        <v>0</v>
      </c>
      <c r="W151" s="76">
        <v>0</v>
      </c>
      <c r="X151" s="76">
        <v>50000</v>
      </c>
      <c r="Y151" s="76">
        <v>0</v>
      </c>
      <c r="Z151" s="76">
        <v>30000</v>
      </c>
      <c r="AA151" s="76">
        <v>0</v>
      </c>
      <c r="AB151" s="76">
        <v>0</v>
      </c>
      <c r="AC151" s="76">
        <v>150000</v>
      </c>
      <c r="AD151" s="76">
        <v>211975</v>
      </c>
      <c r="AE151" s="76">
        <v>0</v>
      </c>
      <c r="AF151" s="76">
        <v>0</v>
      </c>
      <c r="AG151" s="76">
        <v>0</v>
      </c>
      <c r="AH151" s="76">
        <v>0</v>
      </c>
      <c r="AI151" s="76">
        <v>0</v>
      </c>
      <c r="AJ151" s="76">
        <v>0</v>
      </c>
      <c r="AK151" s="76"/>
      <c r="AL151" s="76">
        <v>150000</v>
      </c>
      <c r="AM151" s="77">
        <v>501375</v>
      </c>
      <c r="AN151" s="78"/>
      <c r="AO151" s="342">
        <v>170000</v>
      </c>
      <c r="AP151" s="222">
        <f t="shared" si="86"/>
        <v>0.8118433619866284</v>
      </c>
      <c r="AQ151" s="81"/>
      <c r="AR151" s="82"/>
      <c r="AS151" s="176">
        <f t="shared" si="103"/>
        <v>411975</v>
      </c>
      <c r="AT151" s="177">
        <f t="shared" si="104"/>
        <v>2.7465</v>
      </c>
      <c r="AU151" s="85">
        <f t="shared" si="105"/>
        <v>0</v>
      </c>
      <c r="AV151" s="86">
        <f t="shared" si="106"/>
        <v>0.8216903515332835</v>
      </c>
      <c r="AW151" s="178">
        <f aca="true" t="shared" si="109" ref="AW151:AW158">IF(AS151&lt;AM151,AM151-AS151,0)</f>
        <v>89400</v>
      </c>
      <c r="AX151" s="85">
        <f aca="true" t="shared" si="110" ref="AX151:AX158">IF(W151&gt;AU151,0,AU151-W151)</f>
        <v>0</v>
      </c>
      <c r="AY151" s="88"/>
      <c r="AZ151" s="89">
        <f aca="true" t="shared" si="111" ref="AZ151:AZ158">$AO151/N151</f>
        <v>154545.45454545453</v>
      </c>
      <c r="BA151" s="90">
        <f aca="true" t="shared" si="112" ref="BA151:BA158">$AO151/O151</f>
        <v>170000</v>
      </c>
      <c r="BB151" s="88"/>
      <c r="BC151" s="179">
        <v>0</v>
      </c>
      <c r="BD151" s="91"/>
      <c r="BE151" s="92">
        <f t="shared" si="100"/>
        <v>0</v>
      </c>
      <c r="BF151" s="93"/>
      <c r="BG151" s="92"/>
      <c r="BH151" s="92">
        <v>0</v>
      </c>
      <c r="BI151" s="94">
        <v>0</v>
      </c>
      <c r="BJ151" s="227" t="s">
        <v>209</v>
      </c>
      <c r="BK151" s="182" t="s">
        <v>51</v>
      </c>
      <c r="BL151" s="97" t="e">
        <f t="shared" si="94"/>
        <v>#DIV/0!</v>
      </c>
      <c r="BM151" s="98"/>
      <c r="BN151" s="99">
        <f aca="true" t="shared" si="113" ref="BN151:BN158">($BI151+$BC151+$AO151+$AJ151+$AH151+$AF151+$AD151+$AB151+$Z151+$V151+$T151)/$AL151</f>
        <v>2.7465</v>
      </c>
      <c r="BO151" s="99">
        <f t="shared" si="95"/>
        <v>0.8216903515332835</v>
      </c>
      <c r="BP151" s="82"/>
      <c r="BQ151" s="92">
        <f t="shared" si="96"/>
        <v>0</v>
      </c>
      <c r="BR151" s="101"/>
      <c r="BS151" s="92">
        <f t="shared" si="97"/>
        <v>0</v>
      </c>
      <c r="BT151" s="92">
        <f t="shared" si="98"/>
        <v>170000</v>
      </c>
      <c r="BU151" s="102"/>
      <c r="BV151" s="64" t="s">
        <v>356</v>
      </c>
    </row>
    <row r="152" spans="1:74" ht="25.5">
      <c r="A152" s="103">
        <v>15060306</v>
      </c>
      <c r="B152" s="104" t="s">
        <v>68</v>
      </c>
      <c r="C152" s="104" t="s">
        <v>47</v>
      </c>
      <c r="D152" s="104" t="s">
        <v>206</v>
      </c>
      <c r="E152" s="104" t="s">
        <v>208</v>
      </c>
      <c r="F152" s="105">
        <v>7617931</v>
      </c>
      <c r="G152" s="105">
        <v>0</v>
      </c>
      <c r="H152" s="105">
        <v>18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0.9</v>
      </c>
      <c r="O152" s="105">
        <v>0.8</v>
      </c>
      <c r="P152" s="184" t="s">
        <v>291</v>
      </c>
      <c r="Q152" s="108">
        <v>304000</v>
      </c>
      <c r="R152" s="108">
        <v>326000</v>
      </c>
      <c r="S152" s="108">
        <v>0</v>
      </c>
      <c r="T152" s="108">
        <v>0</v>
      </c>
      <c r="U152" s="108">
        <v>0</v>
      </c>
      <c r="V152" s="108">
        <v>0</v>
      </c>
      <c r="W152" s="108">
        <v>80720</v>
      </c>
      <c r="X152" s="108">
        <v>90000</v>
      </c>
      <c r="Y152" s="108">
        <v>22174</v>
      </c>
      <c r="Z152" s="108">
        <v>35000</v>
      </c>
      <c r="AA152" s="108">
        <v>0</v>
      </c>
      <c r="AB152" s="108">
        <v>0</v>
      </c>
      <c r="AC152" s="108">
        <v>0</v>
      </c>
      <c r="AD152" s="108">
        <v>0</v>
      </c>
      <c r="AE152" s="108">
        <v>0</v>
      </c>
      <c r="AF152" s="108">
        <v>0</v>
      </c>
      <c r="AG152" s="108">
        <v>0</v>
      </c>
      <c r="AH152" s="108">
        <v>0</v>
      </c>
      <c r="AI152" s="108">
        <v>0</v>
      </c>
      <c r="AJ152" s="108">
        <v>5748</v>
      </c>
      <c r="AK152" s="108">
        <v>406894</v>
      </c>
      <c r="AL152" s="108">
        <v>406894</v>
      </c>
      <c r="AM152" s="109">
        <v>456748</v>
      </c>
      <c r="AN152" s="78"/>
      <c r="AO152" s="348">
        <v>243000</v>
      </c>
      <c r="AP152" s="192">
        <f t="shared" si="86"/>
        <v>0.745398773006135</v>
      </c>
      <c r="AQ152" s="112">
        <f>-1+AO152/Q152</f>
        <v>-0.20065789473684215</v>
      </c>
      <c r="AR152" s="82"/>
      <c r="AS152" s="113">
        <f t="shared" si="103"/>
        <v>283748</v>
      </c>
      <c r="AT152" s="114">
        <f t="shared" si="104"/>
        <v>0.6973511528801113</v>
      </c>
      <c r="AU152" s="115">
        <f t="shared" si="105"/>
        <v>123146</v>
      </c>
      <c r="AV152" s="86">
        <f t="shared" si="106"/>
        <v>0.6212353420266755</v>
      </c>
      <c r="AW152" s="185">
        <f t="shared" si="109"/>
        <v>173000</v>
      </c>
      <c r="AX152" s="186">
        <f t="shared" si="110"/>
        <v>42426</v>
      </c>
      <c r="AY152" s="88"/>
      <c r="AZ152" s="117">
        <f t="shared" si="111"/>
        <v>270000</v>
      </c>
      <c r="BA152" s="118">
        <f t="shared" si="112"/>
        <v>303750</v>
      </c>
      <c r="BB152" s="88"/>
      <c r="BC152" s="187">
        <v>56504</v>
      </c>
      <c r="BD152" s="91">
        <f>(Q152+W152)*1.1-AO152-BC152</f>
        <v>123688.00000000006</v>
      </c>
      <c r="BE152" s="92">
        <f t="shared" si="100"/>
        <v>33496</v>
      </c>
      <c r="BF152" s="93">
        <f>(BE152+BC152+AO152)/(Q152+W152)</f>
        <v>0.8655645664379289</v>
      </c>
      <c r="BG152" s="92"/>
      <c r="BH152" s="92">
        <v>33496</v>
      </c>
      <c r="BI152" s="94">
        <v>60000</v>
      </c>
      <c r="BJ152" s="120" t="s">
        <v>209</v>
      </c>
      <c r="BK152" s="121" t="s">
        <v>56</v>
      </c>
      <c r="BL152" s="97">
        <f t="shared" si="94"/>
        <v>0.8655645664379289</v>
      </c>
      <c r="BM152" s="98">
        <f>(0.9*(Q152+S152+W152))-(T152+AO152+BC152+BH152)</f>
        <v>13248</v>
      </c>
      <c r="BN152" s="122">
        <f t="shared" si="113"/>
        <v>0.9836763383092403</v>
      </c>
      <c r="BO152" s="122">
        <f t="shared" si="95"/>
        <v>0.8763081611742142</v>
      </c>
      <c r="BP152" s="82"/>
      <c r="BQ152" s="92">
        <f t="shared" si="96"/>
        <v>116504</v>
      </c>
      <c r="BR152" s="101"/>
      <c r="BS152" s="92">
        <f t="shared" si="97"/>
        <v>384720</v>
      </c>
      <c r="BT152" s="92">
        <f t="shared" si="98"/>
        <v>359504</v>
      </c>
      <c r="BU152" s="124">
        <f t="shared" si="99"/>
        <v>-0.06554377209399043</v>
      </c>
      <c r="BV152" s="361" t="s">
        <v>375</v>
      </c>
    </row>
    <row r="153" spans="1:74" ht="25.5">
      <c r="A153" s="103">
        <v>15060306</v>
      </c>
      <c r="B153" s="104" t="s">
        <v>68</v>
      </c>
      <c r="C153" s="104" t="s">
        <v>47</v>
      </c>
      <c r="D153" s="104" t="s">
        <v>206</v>
      </c>
      <c r="E153" s="104" t="s">
        <v>210</v>
      </c>
      <c r="F153" s="105">
        <v>5280131</v>
      </c>
      <c r="G153" s="105">
        <v>0</v>
      </c>
      <c r="H153" s="105">
        <v>45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1.5</v>
      </c>
      <c r="O153" s="105">
        <v>1.1</v>
      </c>
      <c r="P153" s="184" t="s">
        <v>282</v>
      </c>
      <c r="Q153" s="108">
        <v>304000</v>
      </c>
      <c r="R153" s="108">
        <v>331000</v>
      </c>
      <c r="S153" s="108">
        <v>0</v>
      </c>
      <c r="T153" s="108">
        <v>0</v>
      </c>
      <c r="U153" s="108">
        <v>0</v>
      </c>
      <c r="V153" s="108">
        <v>0</v>
      </c>
      <c r="W153" s="108">
        <v>79054</v>
      </c>
      <c r="X153" s="108">
        <v>95000</v>
      </c>
      <c r="Y153" s="108">
        <v>13613</v>
      </c>
      <c r="Z153" s="108">
        <v>35000</v>
      </c>
      <c r="AA153" s="108">
        <v>0</v>
      </c>
      <c r="AB153" s="108">
        <v>0</v>
      </c>
      <c r="AC153" s="108">
        <v>0</v>
      </c>
      <c r="AD153" s="108">
        <v>0</v>
      </c>
      <c r="AE153" s="108">
        <v>0</v>
      </c>
      <c r="AF153" s="108">
        <v>0</v>
      </c>
      <c r="AG153" s="108">
        <v>0</v>
      </c>
      <c r="AH153" s="108">
        <v>0</v>
      </c>
      <c r="AI153" s="108">
        <v>0</v>
      </c>
      <c r="AJ153" s="108">
        <v>5000</v>
      </c>
      <c r="AK153" s="108">
        <v>396667</v>
      </c>
      <c r="AL153" s="108">
        <v>396667</v>
      </c>
      <c r="AM153" s="109">
        <v>466000</v>
      </c>
      <c r="AN153" s="78"/>
      <c r="AO153" s="348">
        <v>320000</v>
      </c>
      <c r="AP153" s="192">
        <f t="shared" si="86"/>
        <v>0.9667673716012085</v>
      </c>
      <c r="AQ153" s="112">
        <f>-1+AO153/Q153</f>
        <v>0.05263157894736836</v>
      </c>
      <c r="AR153" s="82"/>
      <c r="AS153" s="113">
        <f t="shared" si="103"/>
        <v>360000</v>
      </c>
      <c r="AT153" s="114">
        <f t="shared" si="104"/>
        <v>0.9075622625527205</v>
      </c>
      <c r="AU153" s="115">
        <f t="shared" si="105"/>
        <v>36667</v>
      </c>
      <c r="AV153" s="86">
        <f t="shared" si="106"/>
        <v>0.7725321888412017</v>
      </c>
      <c r="AW153" s="185">
        <f t="shared" si="109"/>
        <v>106000</v>
      </c>
      <c r="AX153" s="186">
        <f t="shared" si="110"/>
        <v>0</v>
      </c>
      <c r="AY153" s="88"/>
      <c r="AZ153" s="117">
        <f t="shared" si="111"/>
        <v>213333.33333333334</v>
      </c>
      <c r="BA153" s="118">
        <f t="shared" si="112"/>
        <v>290909.0909090909</v>
      </c>
      <c r="BB153" s="88"/>
      <c r="BC153" s="187">
        <v>55338</v>
      </c>
      <c r="BD153" s="91">
        <f>(Q153+W153)*1.1-AO153-BC153</f>
        <v>46021.40000000002</v>
      </c>
      <c r="BE153" s="92">
        <f t="shared" si="100"/>
        <v>39662</v>
      </c>
      <c r="BF153" s="93">
        <f>(BE153+BC153+AO153)/(Q153+W153)</f>
        <v>1.0833981631832588</v>
      </c>
      <c r="BG153" s="92"/>
      <c r="BH153" s="92">
        <v>39662</v>
      </c>
      <c r="BI153" s="94">
        <v>0</v>
      </c>
      <c r="BJ153" s="120" t="s">
        <v>209</v>
      </c>
      <c r="BK153" s="121" t="s">
        <v>56</v>
      </c>
      <c r="BL153" s="97">
        <f t="shared" si="94"/>
        <v>1.0833981631832588</v>
      </c>
      <c r="BM153" s="98"/>
      <c r="BN153" s="122">
        <f t="shared" si="113"/>
        <v>1.0470697083447829</v>
      </c>
      <c r="BO153" s="122">
        <f t="shared" si="95"/>
        <v>0.8912832618025751</v>
      </c>
      <c r="BP153" s="82"/>
      <c r="BQ153" s="92">
        <f t="shared" si="96"/>
        <v>55338</v>
      </c>
      <c r="BR153" s="101"/>
      <c r="BS153" s="92">
        <f t="shared" si="97"/>
        <v>383054</v>
      </c>
      <c r="BT153" s="92">
        <f t="shared" si="98"/>
        <v>375338</v>
      </c>
      <c r="BU153" s="124">
        <f t="shared" si="99"/>
        <v>-0.020143374041257878</v>
      </c>
      <c r="BV153" s="361"/>
    </row>
    <row r="154" spans="1:74" ht="25.5">
      <c r="A154" s="103">
        <v>15060306</v>
      </c>
      <c r="B154" s="104" t="s">
        <v>68</v>
      </c>
      <c r="C154" s="104" t="s">
        <v>47</v>
      </c>
      <c r="D154" s="104" t="s">
        <v>206</v>
      </c>
      <c r="E154" s="104" t="s">
        <v>211</v>
      </c>
      <c r="F154" s="105">
        <v>8060062</v>
      </c>
      <c r="G154" s="105">
        <v>0</v>
      </c>
      <c r="H154" s="105">
        <v>30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3</v>
      </c>
      <c r="O154" s="105">
        <v>2.5</v>
      </c>
      <c r="P154" s="184" t="s">
        <v>291</v>
      </c>
      <c r="Q154" s="108">
        <v>0</v>
      </c>
      <c r="R154" s="108">
        <v>585000</v>
      </c>
      <c r="S154" s="108">
        <v>0</v>
      </c>
      <c r="T154" s="108">
        <v>0</v>
      </c>
      <c r="U154" s="108">
        <v>0</v>
      </c>
      <c r="V154" s="108">
        <v>0</v>
      </c>
      <c r="W154" s="108">
        <v>0</v>
      </c>
      <c r="X154" s="108">
        <v>300000</v>
      </c>
      <c r="Y154" s="108">
        <v>0</v>
      </c>
      <c r="Z154" s="108">
        <v>25000</v>
      </c>
      <c r="AA154" s="108">
        <v>0</v>
      </c>
      <c r="AB154" s="108">
        <v>0</v>
      </c>
      <c r="AC154" s="108">
        <v>0</v>
      </c>
      <c r="AD154" s="108">
        <v>0</v>
      </c>
      <c r="AE154" s="108">
        <v>0</v>
      </c>
      <c r="AF154" s="108">
        <v>0</v>
      </c>
      <c r="AG154" s="108">
        <v>1920000</v>
      </c>
      <c r="AH154" s="108">
        <v>0</v>
      </c>
      <c r="AI154" s="108">
        <v>0</v>
      </c>
      <c r="AJ154" s="108">
        <v>5000</v>
      </c>
      <c r="AK154" s="108"/>
      <c r="AL154" s="108">
        <v>1920000</v>
      </c>
      <c r="AM154" s="109">
        <v>915000</v>
      </c>
      <c r="AN154" s="78"/>
      <c r="AO154" s="348">
        <v>450000</v>
      </c>
      <c r="AP154" s="192">
        <f t="shared" si="86"/>
        <v>0.7692307692307693</v>
      </c>
      <c r="AQ154" s="112"/>
      <c r="AR154" s="82"/>
      <c r="AS154" s="113">
        <f t="shared" si="103"/>
        <v>480000</v>
      </c>
      <c r="AT154" s="114">
        <f t="shared" si="104"/>
        <v>0.25</v>
      </c>
      <c r="AU154" s="115">
        <f t="shared" si="105"/>
        <v>1440000</v>
      </c>
      <c r="AV154" s="86">
        <f t="shared" si="106"/>
        <v>0.5245901639344263</v>
      </c>
      <c r="AW154" s="185">
        <f t="shared" si="109"/>
        <v>435000</v>
      </c>
      <c r="AX154" s="186">
        <f t="shared" si="110"/>
        <v>1440000</v>
      </c>
      <c r="AY154" s="88"/>
      <c r="AZ154" s="117">
        <f t="shared" si="111"/>
        <v>150000</v>
      </c>
      <c r="BA154" s="118">
        <f t="shared" si="112"/>
        <v>180000</v>
      </c>
      <c r="BB154" s="88"/>
      <c r="BC154" s="187">
        <v>0</v>
      </c>
      <c r="BD154" s="91"/>
      <c r="BE154" s="92">
        <f t="shared" si="100"/>
        <v>0</v>
      </c>
      <c r="BF154" s="93"/>
      <c r="BG154" s="92"/>
      <c r="BH154" s="92">
        <v>0</v>
      </c>
      <c r="BI154" s="94">
        <v>160000</v>
      </c>
      <c r="BJ154" s="120" t="s">
        <v>209</v>
      </c>
      <c r="BK154" s="121" t="s">
        <v>56</v>
      </c>
      <c r="BL154" s="97" t="e">
        <f t="shared" si="94"/>
        <v>#DIV/0!</v>
      </c>
      <c r="BM154" s="98"/>
      <c r="BN154" s="122">
        <f t="shared" si="113"/>
        <v>0.3333333333333333</v>
      </c>
      <c r="BO154" s="122">
        <f t="shared" si="95"/>
        <v>0.6994535519125683</v>
      </c>
      <c r="BP154" s="82"/>
      <c r="BQ154" s="92">
        <f t="shared" si="96"/>
        <v>160000</v>
      </c>
      <c r="BR154" s="101"/>
      <c r="BS154" s="92">
        <f t="shared" si="97"/>
        <v>0</v>
      </c>
      <c r="BT154" s="92">
        <f t="shared" si="98"/>
        <v>610000</v>
      </c>
      <c r="BU154" s="124"/>
      <c r="BV154" s="361"/>
    </row>
    <row r="155" spans="1:74" ht="38.25">
      <c r="A155" s="103">
        <v>15060306</v>
      </c>
      <c r="B155" s="104" t="s">
        <v>68</v>
      </c>
      <c r="C155" s="104" t="s">
        <v>47</v>
      </c>
      <c r="D155" s="104" t="s">
        <v>206</v>
      </c>
      <c r="E155" s="104" t="s">
        <v>212</v>
      </c>
      <c r="F155" s="105">
        <v>9042100</v>
      </c>
      <c r="G155" s="105">
        <v>0</v>
      </c>
      <c r="H155" s="105">
        <v>38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3.5</v>
      </c>
      <c r="O155" s="105">
        <v>3</v>
      </c>
      <c r="P155" s="184" t="s">
        <v>282</v>
      </c>
      <c r="Q155" s="108">
        <v>0</v>
      </c>
      <c r="R155" s="108">
        <v>585000</v>
      </c>
      <c r="S155" s="108">
        <v>0</v>
      </c>
      <c r="T155" s="108">
        <v>0</v>
      </c>
      <c r="U155" s="108">
        <v>0</v>
      </c>
      <c r="V155" s="108">
        <v>0</v>
      </c>
      <c r="W155" s="108">
        <v>0</v>
      </c>
      <c r="X155" s="108">
        <v>300000</v>
      </c>
      <c r="Y155" s="108">
        <v>0</v>
      </c>
      <c r="Z155" s="108">
        <v>20000</v>
      </c>
      <c r="AA155" s="108">
        <v>0</v>
      </c>
      <c r="AB155" s="108">
        <v>0</v>
      </c>
      <c r="AC155" s="108">
        <v>0</v>
      </c>
      <c r="AD155" s="108">
        <v>0</v>
      </c>
      <c r="AE155" s="108">
        <v>0</v>
      </c>
      <c r="AF155" s="108">
        <v>0</v>
      </c>
      <c r="AG155" s="108">
        <v>1920000</v>
      </c>
      <c r="AH155" s="108">
        <v>0</v>
      </c>
      <c r="AI155" s="108">
        <v>0</v>
      </c>
      <c r="AJ155" s="108">
        <v>5000</v>
      </c>
      <c r="AK155" s="108"/>
      <c r="AL155" s="108">
        <v>1920000</v>
      </c>
      <c r="AM155" s="109">
        <v>910000</v>
      </c>
      <c r="AN155" s="78"/>
      <c r="AO155" s="348">
        <v>450000</v>
      </c>
      <c r="AP155" s="192">
        <f t="shared" si="86"/>
        <v>0.7692307692307693</v>
      </c>
      <c r="AQ155" s="112"/>
      <c r="AR155" s="82"/>
      <c r="AS155" s="113">
        <f t="shared" si="103"/>
        <v>475000</v>
      </c>
      <c r="AT155" s="114">
        <f t="shared" si="104"/>
        <v>0.24739583333333334</v>
      </c>
      <c r="AU155" s="115">
        <f t="shared" si="105"/>
        <v>1445000</v>
      </c>
      <c r="AV155" s="86">
        <f t="shared" si="106"/>
        <v>0.521978021978022</v>
      </c>
      <c r="AW155" s="185">
        <f t="shared" si="109"/>
        <v>435000</v>
      </c>
      <c r="AX155" s="186">
        <f t="shared" si="110"/>
        <v>1445000</v>
      </c>
      <c r="AY155" s="88"/>
      <c r="AZ155" s="117">
        <f t="shared" si="111"/>
        <v>128571.42857142857</v>
      </c>
      <c r="BA155" s="118">
        <f t="shared" si="112"/>
        <v>150000</v>
      </c>
      <c r="BB155" s="88"/>
      <c r="BC155" s="187">
        <v>0</v>
      </c>
      <c r="BD155" s="91"/>
      <c r="BE155" s="92">
        <f t="shared" si="100"/>
        <v>0</v>
      </c>
      <c r="BF155" s="93"/>
      <c r="BG155" s="92"/>
      <c r="BH155" s="92">
        <v>0</v>
      </c>
      <c r="BI155" s="94">
        <v>160000</v>
      </c>
      <c r="BJ155" s="120" t="s">
        <v>209</v>
      </c>
      <c r="BK155" s="121" t="s">
        <v>56</v>
      </c>
      <c r="BL155" s="97" t="e">
        <f t="shared" si="94"/>
        <v>#DIV/0!</v>
      </c>
      <c r="BM155" s="98"/>
      <c r="BN155" s="122">
        <f t="shared" si="113"/>
        <v>0.3307291666666667</v>
      </c>
      <c r="BO155" s="122">
        <f t="shared" si="95"/>
        <v>0.6978021978021978</v>
      </c>
      <c r="BP155" s="82"/>
      <c r="BQ155" s="92">
        <f t="shared" si="96"/>
        <v>160000</v>
      </c>
      <c r="BR155" s="101"/>
      <c r="BS155" s="92">
        <f t="shared" si="97"/>
        <v>0</v>
      </c>
      <c r="BT155" s="92">
        <f t="shared" si="98"/>
        <v>610000</v>
      </c>
      <c r="BU155" s="124"/>
      <c r="BV155" s="361"/>
    </row>
    <row r="156" spans="1:74" ht="57">
      <c r="A156" s="103">
        <v>26304856</v>
      </c>
      <c r="B156" s="104" t="s">
        <v>52</v>
      </c>
      <c r="C156" s="104" t="s">
        <v>47</v>
      </c>
      <c r="D156" s="104" t="s">
        <v>206</v>
      </c>
      <c r="E156" s="104" t="s">
        <v>213</v>
      </c>
      <c r="F156" s="105">
        <v>4101835</v>
      </c>
      <c r="G156" s="105">
        <v>0</v>
      </c>
      <c r="H156" s="105">
        <v>65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1.4</v>
      </c>
      <c r="O156" s="105">
        <v>1</v>
      </c>
      <c r="P156" s="184" t="s">
        <v>280</v>
      </c>
      <c r="Q156" s="108">
        <v>69000</v>
      </c>
      <c r="R156" s="108">
        <v>318117</v>
      </c>
      <c r="S156" s="108">
        <v>0</v>
      </c>
      <c r="T156" s="108">
        <v>0</v>
      </c>
      <c r="U156" s="108">
        <v>83000</v>
      </c>
      <c r="V156" s="108">
        <v>42000</v>
      </c>
      <c r="W156" s="108">
        <v>35000</v>
      </c>
      <c r="X156" s="108">
        <v>35000</v>
      </c>
      <c r="Y156" s="108">
        <v>3000</v>
      </c>
      <c r="Z156" s="108">
        <v>3000</v>
      </c>
      <c r="AA156" s="108">
        <v>0</v>
      </c>
      <c r="AB156" s="108">
        <v>0</v>
      </c>
      <c r="AC156" s="108">
        <v>0</v>
      </c>
      <c r="AD156" s="108">
        <v>0</v>
      </c>
      <c r="AE156" s="108">
        <v>0</v>
      </c>
      <c r="AF156" s="108">
        <v>0</v>
      </c>
      <c r="AG156" s="108">
        <v>0</v>
      </c>
      <c r="AH156" s="108">
        <v>0</v>
      </c>
      <c r="AI156" s="108">
        <v>118700</v>
      </c>
      <c r="AJ156" s="108">
        <v>56335</v>
      </c>
      <c r="AK156" s="108"/>
      <c r="AL156" s="108">
        <v>308700</v>
      </c>
      <c r="AM156" s="109">
        <v>454452</v>
      </c>
      <c r="AN156" s="78"/>
      <c r="AO156" s="348">
        <v>138000</v>
      </c>
      <c r="AP156" s="192">
        <f t="shared" si="86"/>
        <v>0.4338026575128019</v>
      </c>
      <c r="AQ156" s="112">
        <f>-1+AO156/Q156</f>
        <v>1</v>
      </c>
      <c r="AR156" s="82"/>
      <c r="AS156" s="113">
        <f t="shared" si="103"/>
        <v>239335</v>
      </c>
      <c r="AT156" s="114">
        <f t="shared" si="104"/>
        <v>0.7752996436669906</v>
      </c>
      <c r="AU156" s="115">
        <f t="shared" si="105"/>
        <v>69365</v>
      </c>
      <c r="AV156" s="86">
        <f t="shared" si="106"/>
        <v>0.5266452782692121</v>
      </c>
      <c r="AW156" s="185">
        <f t="shared" si="109"/>
        <v>215117</v>
      </c>
      <c r="AX156" s="186">
        <f t="shared" si="110"/>
        <v>34365</v>
      </c>
      <c r="AY156" s="88"/>
      <c r="AZ156" s="117">
        <f t="shared" si="111"/>
        <v>98571.42857142858</v>
      </c>
      <c r="BA156" s="118">
        <f t="shared" si="112"/>
        <v>138000</v>
      </c>
      <c r="BB156" s="88"/>
      <c r="BC156" s="187">
        <v>24500</v>
      </c>
      <c r="BD156" s="91"/>
      <c r="BE156" s="92">
        <f t="shared" si="100"/>
        <v>0</v>
      </c>
      <c r="BF156" s="93">
        <f>(BE156+BC156+AO156)/(Q156+W156)</f>
        <v>1.5625</v>
      </c>
      <c r="BG156" s="92"/>
      <c r="BH156" s="92">
        <v>0</v>
      </c>
      <c r="BI156" s="94">
        <v>0</v>
      </c>
      <c r="BJ156" s="120" t="s">
        <v>209</v>
      </c>
      <c r="BK156" s="121" t="s">
        <v>54</v>
      </c>
      <c r="BL156" s="97">
        <f t="shared" si="94"/>
        <v>1.5625</v>
      </c>
      <c r="BM156" s="98"/>
      <c r="BN156" s="122">
        <f t="shared" si="113"/>
        <v>0.85466472303207</v>
      </c>
      <c r="BO156" s="122">
        <f t="shared" si="95"/>
        <v>0.580556362388107</v>
      </c>
      <c r="BP156" s="82"/>
      <c r="BQ156" s="92">
        <f t="shared" si="96"/>
        <v>24500</v>
      </c>
      <c r="BR156" s="101"/>
      <c r="BS156" s="92">
        <f t="shared" si="97"/>
        <v>104000</v>
      </c>
      <c r="BT156" s="92">
        <f t="shared" si="98"/>
        <v>162500</v>
      </c>
      <c r="BU156" s="124">
        <f t="shared" si="99"/>
        <v>0.5625</v>
      </c>
      <c r="BV156" s="65" t="s">
        <v>350</v>
      </c>
    </row>
    <row r="157" spans="1:74" ht="71.25">
      <c r="A157" s="103">
        <v>44990260</v>
      </c>
      <c r="B157" s="104" t="s">
        <v>76</v>
      </c>
      <c r="C157" s="104" t="s">
        <v>47</v>
      </c>
      <c r="D157" s="104" t="s">
        <v>206</v>
      </c>
      <c r="E157" s="104" t="s">
        <v>214</v>
      </c>
      <c r="F157" s="105">
        <v>7849206</v>
      </c>
      <c r="G157" s="105">
        <v>0</v>
      </c>
      <c r="H157" s="105">
        <v>20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4</v>
      </c>
      <c r="O157" s="105">
        <v>3</v>
      </c>
      <c r="P157" s="184" t="s">
        <v>280</v>
      </c>
      <c r="Q157" s="108">
        <v>330000</v>
      </c>
      <c r="R157" s="108">
        <v>660000</v>
      </c>
      <c r="S157" s="108">
        <v>0</v>
      </c>
      <c r="T157" s="108">
        <v>0</v>
      </c>
      <c r="U157" s="108">
        <v>0</v>
      </c>
      <c r="V157" s="108">
        <v>0</v>
      </c>
      <c r="W157" s="108">
        <v>172584</v>
      </c>
      <c r="X157" s="108">
        <v>200000</v>
      </c>
      <c r="Y157" s="108">
        <v>175000</v>
      </c>
      <c r="Z157" s="108">
        <v>180000</v>
      </c>
      <c r="AA157" s="108">
        <v>0</v>
      </c>
      <c r="AB157" s="108">
        <v>0</v>
      </c>
      <c r="AC157" s="108">
        <v>97544</v>
      </c>
      <c r="AD157" s="108">
        <v>270400</v>
      </c>
      <c r="AE157" s="191"/>
      <c r="AF157" s="108">
        <v>0</v>
      </c>
      <c r="AG157" s="191"/>
      <c r="AH157" s="191"/>
      <c r="AI157" s="108">
        <v>352234</v>
      </c>
      <c r="AJ157" s="108">
        <v>364800</v>
      </c>
      <c r="AK157" s="108"/>
      <c r="AL157" s="108">
        <v>1127362</v>
      </c>
      <c r="AM157" s="109">
        <v>1675200</v>
      </c>
      <c r="AN157" s="78"/>
      <c r="AO157" s="348">
        <v>500000</v>
      </c>
      <c r="AP157" s="192">
        <f t="shared" si="86"/>
        <v>0.7575757575757576</v>
      </c>
      <c r="AQ157" s="112">
        <f>-1+AO157/Q157</f>
        <v>0.5151515151515151</v>
      </c>
      <c r="AR157" s="82"/>
      <c r="AS157" s="113">
        <f t="shared" si="103"/>
        <v>1315200</v>
      </c>
      <c r="AT157" s="114">
        <f t="shared" si="104"/>
        <v>1.1666172888566406</v>
      </c>
      <c r="AU157" s="115">
        <f t="shared" si="105"/>
        <v>0</v>
      </c>
      <c r="AV157" s="86">
        <f t="shared" si="106"/>
        <v>0.7851002865329513</v>
      </c>
      <c r="AW157" s="185">
        <f t="shared" si="109"/>
        <v>360000</v>
      </c>
      <c r="AX157" s="186">
        <f t="shared" si="110"/>
        <v>0</v>
      </c>
      <c r="AY157" s="88"/>
      <c r="AZ157" s="117">
        <f t="shared" si="111"/>
        <v>125000</v>
      </c>
      <c r="BA157" s="118">
        <f t="shared" si="112"/>
        <v>166666.66666666666</v>
      </c>
      <c r="BB157" s="88"/>
      <c r="BC157" s="187">
        <v>0</v>
      </c>
      <c r="BD157" s="91">
        <f>(Q157+W157)*1.1-AO157-BC157</f>
        <v>52842.40000000002</v>
      </c>
      <c r="BE157" s="92">
        <f t="shared" si="100"/>
        <v>52842.40000000002</v>
      </c>
      <c r="BF157" s="93">
        <f>(BE157+BC157+AO157)/(Q157+W157)</f>
        <v>1.1</v>
      </c>
      <c r="BG157" s="92"/>
      <c r="BH157" s="92">
        <v>172584</v>
      </c>
      <c r="BI157" s="94">
        <v>172584</v>
      </c>
      <c r="BJ157" s="120" t="s">
        <v>209</v>
      </c>
      <c r="BK157" s="121" t="s">
        <v>51</v>
      </c>
      <c r="BL157" s="97">
        <f t="shared" si="94"/>
        <v>1.3382519141078904</v>
      </c>
      <c r="BM157" s="98"/>
      <c r="BN157" s="122">
        <f t="shared" si="113"/>
        <v>1.3197038750640877</v>
      </c>
      <c r="BO157" s="122">
        <f t="shared" si="95"/>
        <v>0.8881232091690544</v>
      </c>
      <c r="BP157" s="82"/>
      <c r="BQ157" s="92">
        <f t="shared" si="96"/>
        <v>172584</v>
      </c>
      <c r="BR157" s="101"/>
      <c r="BS157" s="92">
        <f t="shared" si="97"/>
        <v>502584</v>
      </c>
      <c r="BT157" s="92">
        <f t="shared" si="98"/>
        <v>672584</v>
      </c>
      <c r="BU157" s="124">
        <f t="shared" si="99"/>
        <v>0.33825191410789035</v>
      </c>
      <c r="BV157" s="65" t="s">
        <v>376</v>
      </c>
    </row>
    <row r="158" spans="1:74" ht="86.25" thickBot="1">
      <c r="A158" s="125">
        <v>70870896</v>
      </c>
      <c r="B158" s="126" t="s">
        <v>114</v>
      </c>
      <c r="C158" s="126" t="s">
        <v>47</v>
      </c>
      <c r="D158" s="126" t="s">
        <v>206</v>
      </c>
      <c r="E158" s="126" t="s">
        <v>215</v>
      </c>
      <c r="F158" s="127">
        <v>6589752</v>
      </c>
      <c r="G158" s="281"/>
      <c r="H158" s="127">
        <v>30</v>
      </c>
      <c r="I158" s="127">
        <v>0</v>
      </c>
      <c r="J158" s="127">
        <v>0</v>
      </c>
      <c r="K158" s="127">
        <v>0</v>
      </c>
      <c r="L158" s="127">
        <v>0</v>
      </c>
      <c r="M158" s="127">
        <v>0</v>
      </c>
      <c r="N158" s="127">
        <v>0.8</v>
      </c>
      <c r="O158" s="127">
        <v>0.5</v>
      </c>
      <c r="P158" s="242" t="s">
        <v>289</v>
      </c>
      <c r="Q158" s="129">
        <v>0</v>
      </c>
      <c r="R158" s="129">
        <v>182400</v>
      </c>
      <c r="S158" s="129">
        <v>114600</v>
      </c>
      <c r="T158" s="129">
        <v>0</v>
      </c>
      <c r="U158" s="129">
        <v>0</v>
      </c>
      <c r="V158" s="129">
        <v>0</v>
      </c>
      <c r="W158" s="129">
        <v>0</v>
      </c>
      <c r="X158" s="129">
        <v>0</v>
      </c>
      <c r="Y158" s="129">
        <v>25000</v>
      </c>
      <c r="Z158" s="129">
        <v>35000</v>
      </c>
      <c r="AA158" s="129">
        <v>0</v>
      </c>
      <c r="AB158" s="129">
        <v>0</v>
      </c>
      <c r="AC158" s="129">
        <v>0</v>
      </c>
      <c r="AD158" s="129">
        <v>0</v>
      </c>
      <c r="AE158" s="129">
        <v>0</v>
      </c>
      <c r="AF158" s="129">
        <v>0</v>
      </c>
      <c r="AG158" s="129">
        <v>120000</v>
      </c>
      <c r="AH158" s="129">
        <v>121342</v>
      </c>
      <c r="AI158" s="129">
        <v>0</v>
      </c>
      <c r="AJ158" s="129">
        <v>0</v>
      </c>
      <c r="AK158" s="129"/>
      <c r="AL158" s="129">
        <v>259600</v>
      </c>
      <c r="AM158" s="130">
        <v>338742</v>
      </c>
      <c r="AN158" s="78"/>
      <c r="AO158" s="349">
        <v>150000</v>
      </c>
      <c r="AP158" s="135">
        <f t="shared" si="86"/>
        <v>0.8223684210526315</v>
      </c>
      <c r="AQ158" s="131"/>
      <c r="AR158" s="82"/>
      <c r="AS158" s="132">
        <f t="shared" si="103"/>
        <v>306342</v>
      </c>
      <c r="AT158" s="133">
        <f t="shared" si="104"/>
        <v>1.1800539291217258</v>
      </c>
      <c r="AU158" s="134">
        <f t="shared" si="105"/>
        <v>0</v>
      </c>
      <c r="AV158" s="135">
        <f t="shared" si="106"/>
        <v>0.9043519846963175</v>
      </c>
      <c r="AW158" s="248">
        <f t="shared" si="109"/>
        <v>32400</v>
      </c>
      <c r="AX158" s="249">
        <f t="shared" si="110"/>
        <v>0</v>
      </c>
      <c r="AY158" s="88"/>
      <c r="AZ158" s="137">
        <f t="shared" si="111"/>
        <v>187500</v>
      </c>
      <c r="BA158" s="138">
        <f t="shared" si="112"/>
        <v>300000</v>
      </c>
      <c r="BB158" s="88"/>
      <c r="BC158" s="287">
        <v>0</v>
      </c>
      <c r="BD158" s="140"/>
      <c r="BE158" s="141">
        <f t="shared" si="100"/>
        <v>0</v>
      </c>
      <c r="BF158" s="142"/>
      <c r="BG158" s="141"/>
      <c r="BH158" s="141">
        <v>0</v>
      </c>
      <c r="BI158" s="143">
        <v>0</v>
      </c>
      <c r="BJ158" s="144" t="s">
        <v>209</v>
      </c>
      <c r="BK158" s="145" t="s">
        <v>56</v>
      </c>
      <c r="BL158" s="97">
        <f t="shared" si="94"/>
        <v>1.3089005235602094</v>
      </c>
      <c r="BM158" s="98"/>
      <c r="BN158" s="146">
        <f t="shared" si="113"/>
        <v>1.1800539291217258</v>
      </c>
      <c r="BO158" s="146">
        <f t="shared" si="95"/>
        <v>0.9043519846963175</v>
      </c>
      <c r="BP158" s="82"/>
      <c r="BQ158" s="141">
        <f t="shared" si="96"/>
        <v>0</v>
      </c>
      <c r="BR158" s="101"/>
      <c r="BS158" s="141">
        <f t="shared" si="97"/>
        <v>0</v>
      </c>
      <c r="BT158" s="141">
        <f t="shared" si="98"/>
        <v>150000</v>
      </c>
      <c r="BU158" s="235"/>
      <c r="BV158" s="66" t="s">
        <v>356</v>
      </c>
    </row>
    <row r="159" spans="1:74" ht="15" thickBot="1">
      <c r="A159" s="167" t="s">
        <v>61</v>
      </c>
      <c r="B159" s="71"/>
      <c r="C159" s="71"/>
      <c r="D159" s="71"/>
      <c r="E159" s="7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2">
        <f aca="true" t="shared" si="114" ref="Q159:AJ159">SUM(Q151:Q158)</f>
        <v>1007000</v>
      </c>
      <c r="R159" s="152">
        <f t="shared" si="114"/>
        <v>3196917</v>
      </c>
      <c r="S159" s="152">
        <f t="shared" si="114"/>
        <v>114600</v>
      </c>
      <c r="T159" s="152">
        <f t="shared" si="114"/>
        <v>0</v>
      </c>
      <c r="U159" s="152">
        <f t="shared" si="114"/>
        <v>83000</v>
      </c>
      <c r="V159" s="152">
        <f t="shared" si="114"/>
        <v>42000</v>
      </c>
      <c r="W159" s="152">
        <f t="shared" si="114"/>
        <v>367358</v>
      </c>
      <c r="X159" s="152">
        <f t="shared" si="114"/>
        <v>1070000</v>
      </c>
      <c r="Y159" s="152">
        <f t="shared" si="114"/>
        <v>238787</v>
      </c>
      <c r="Z159" s="152">
        <f t="shared" si="114"/>
        <v>363000</v>
      </c>
      <c r="AA159" s="152">
        <f t="shared" si="114"/>
        <v>0</v>
      </c>
      <c r="AB159" s="152">
        <f t="shared" si="114"/>
        <v>0</v>
      </c>
      <c r="AC159" s="152">
        <f t="shared" si="114"/>
        <v>247544</v>
      </c>
      <c r="AD159" s="152">
        <f t="shared" si="114"/>
        <v>482375</v>
      </c>
      <c r="AE159" s="152">
        <f t="shared" si="114"/>
        <v>0</v>
      </c>
      <c r="AF159" s="152">
        <f t="shared" si="114"/>
        <v>0</v>
      </c>
      <c r="AG159" s="152">
        <f t="shared" si="114"/>
        <v>3960000</v>
      </c>
      <c r="AH159" s="152">
        <f t="shared" si="114"/>
        <v>121342</v>
      </c>
      <c r="AI159" s="152">
        <f t="shared" si="114"/>
        <v>470934</v>
      </c>
      <c r="AJ159" s="152">
        <f t="shared" si="114"/>
        <v>441883</v>
      </c>
      <c r="AK159" s="152"/>
      <c r="AL159" s="152">
        <f>SUM(AL151:AL158)</f>
        <v>6489223</v>
      </c>
      <c r="AM159" s="154">
        <f>SUM(AM151:AM158)</f>
        <v>5717517</v>
      </c>
      <c r="AN159" s="153"/>
      <c r="AO159" s="154">
        <f>SUM(AO151:AO158)</f>
        <v>2421000</v>
      </c>
      <c r="AP159" s="41">
        <f t="shared" si="86"/>
        <v>0.7572921036110728</v>
      </c>
      <c r="AQ159" s="41">
        <f>-1+AO159/Q159</f>
        <v>1.4041708043694139</v>
      </c>
      <c r="AR159" s="1"/>
      <c r="AS159" s="155">
        <f t="shared" si="103"/>
        <v>3871600</v>
      </c>
      <c r="AT159" s="207">
        <f t="shared" si="104"/>
        <v>0.5966199651329597</v>
      </c>
      <c r="AU159" s="156">
        <f>SUM(AU151:AU158)</f>
        <v>3114178</v>
      </c>
      <c r="AV159" s="215">
        <f t="shared" si="106"/>
        <v>0.6771470902491413</v>
      </c>
      <c r="AW159" s="216">
        <f>SUM(AW151:AW158)</f>
        <v>1845917</v>
      </c>
      <c r="AX159" s="210">
        <f>SUM(AX151:AX158)</f>
        <v>2961791</v>
      </c>
      <c r="AY159" s="88"/>
      <c r="AZ159" s="158"/>
      <c r="BA159" s="158"/>
      <c r="BB159" s="88"/>
      <c r="BC159" s="160">
        <f>SUM(BC151:BC158)</f>
        <v>136342</v>
      </c>
      <c r="BD159" s="160">
        <f>SUM(BD151:BD158)</f>
        <v>222551.8000000001</v>
      </c>
      <c r="BE159" s="161">
        <f>SUM(BE151:BE158)</f>
        <v>126000.40000000002</v>
      </c>
      <c r="BF159" s="160"/>
      <c r="BG159" s="161">
        <f>SUM(BG151:BG158)</f>
        <v>0</v>
      </c>
      <c r="BH159" s="161">
        <f>SUM(BH151:BH158)</f>
        <v>245742</v>
      </c>
      <c r="BI159" s="57">
        <f>SUM(BI151:BI158)</f>
        <v>552584</v>
      </c>
      <c r="BJ159" s="162"/>
      <c r="BK159" s="162"/>
      <c r="BL159" s="97">
        <f t="shared" si="94"/>
        <v>1.8825809727339522</v>
      </c>
      <c r="BM159" s="98"/>
      <c r="BN159" s="82"/>
      <c r="BO159" s="82"/>
      <c r="BP159" s="82"/>
      <c r="BQ159" s="161">
        <f>SUM(BQ151:BQ158)</f>
        <v>688926</v>
      </c>
      <c r="BR159" s="101"/>
      <c r="BS159" s="161">
        <f t="shared" si="97"/>
        <v>1374358</v>
      </c>
      <c r="BT159" s="161">
        <f t="shared" si="98"/>
        <v>3109926</v>
      </c>
      <c r="BU159" s="163">
        <f t="shared" si="99"/>
        <v>1.2628208952834705</v>
      </c>
      <c r="BV159" s="67"/>
    </row>
    <row r="160" spans="1:74" ht="7.5" customHeight="1" thickBot="1">
      <c r="A160" s="149"/>
      <c r="B160" s="150"/>
      <c r="C160" s="150"/>
      <c r="D160" s="150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97"/>
      <c r="AQ160" s="97"/>
      <c r="AR160" s="97"/>
      <c r="AS160" s="164"/>
      <c r="AT160" s="82"/>
      <c r="AU160" s="165"/>
      <c r="AV160" s="215"/>
      <c r="AW160" s="164"/>
      <c r="AX160" s="165"/>
      <c r="AY160" s="88"/>
      <c r="AZ160" s="158"/>
      <c r="BA160" s="158"/>
      <c r="BB160" s="88"/>
      <c r="BC160" s="169"/>
      <c r="BD160" s="170"/>
      <c r="BE160" s="171"/>
      <c r="BF160" s="172"/>
      <c r="BG160" s="298"/>
      <c r="BH160" s="298"/>
      <c r="BI160" s="299"/>
      <c r="BJ160" s="162"/>
      <c r="BK160" s="162"/>
      <c r="BL160" s="97" t="e">
        <f t="shared" si="94"/>
        <v>#DIV/0!</v>
      </c>
      <c r="BM160" s="98"/>
      <c r="BN160" s="82"/>
      <c r="BO160" s="82"/>
      <c r="BP160" s="82"/>
      <c r="BQ160" s="298"/>
      <c r="BR160" s="101"/>
      <c r="BS160" s="298"/>
      <c r="BT160" s="298"/>
      <c r="BU160" s="300"/>
      <c r="BV160" s="67"/>
    </row>
    <row r="161" spans="1:74" ht="38.25" hidden="1">
      <c r="A161" s="72">
        <v>179540</v>
      </c>
      <c r="B161" s="73" t="s">
        <v>216</v>
      </c>
      <c r="C161" s="73" t="s">
        <v>92</v>
      </c>
      <c r="D161" s="73" t="s">
        <v>217</v>
      </c>
      <c r="E161" s="73" t="s">
        <v>218</v>
      </c>
      <c r="F161" s="246"/>
      <c r="G161" s="74">
        <v>7</v>
      </c>
      <c r="H161" s="74">
        <v>10</v>
      </c>
      <c r="I161" s="74">
        <v>0</v>
      </c>
      <c r="J161" s="74">
        <v>0</v>
      </c>
      <c r="K161" s="74">
        <v>10</v>
      </c>
      <c r="L161" s="74">
        <v>0</v>
      </c>
      <c r="M161" s="74">
        <v>0</v>
      </c>
      <c r="N161" s="74">
        <v>4.2</v>
      </c>
      <c r="O161" s="74">
        <v>4.2</v>
      </c>
      <c r="P161" s="74"/>
      <c r="Q161" s="76">
        <v>0</v>
      </c>
      <c r="R161" s="76">
        <v>646000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1207000</v>
      </c>
      <c r="AE161" s="311"/>
      <c r="AF161" s="76">
        <v>382000</v>
      </c>
      <c r="AG161" s="76">
        <v>0</v>
      </c>
      <c r="AH161" s="76">
        <v>0</v>
      </c>
      <c r="AI161" s="76">
        <v>0</v>
      </c>
      <c r="AJ161" s="76">
        <v>0</v>
      </c>
      <c r="AK161" s="76"/>
      <c r="AL161" s="76">
        <v>0</v>
      </c>
      <c r="AM161" s="77">
        <v>2235000</v>
      </c>
      <c r="AN161" s="78"/>
      <c r="AO161" s="79">
        <v>633000</v>
      </c>
      <c r="AP161" s="80">
        <f t="shared" si="86"/>
        <v>0.9798761609907121</v>
      </c>
      <c r="AQ161" s="81"/>
      <c r="AR161" s="82"/>
      <c r="AS161" s="176">
        <f t="shared" si="103"/>
        <v>2222000</v>
      </c>
      <c r="AT161" s="177"/>
      <c r="AU161" s="85"/>
      <c r="AV161" s="86">
        <f t="shared" si="106"/>
        <v>0.9941834451901566</v>
      </c>
      <c r="AW161" s="178">
        <f aca="true" t="shared" si="115" ref="AW161:AW167">IF(AS161&lt;AM161,AM161-AS161,0)</f>
        <v>13000</v>
      </c>
      <c r="AX161" s="85">
        <f aca="true" t="shared" si="116" ref="AX161:AX167">IF(W161&gt;AU161,0,AU161-W161)</f>
        <v>0</v>
      </c>
      <c r="AY161" s="88"/>
      <c r="AZ161" s="89">
        <f aca="true" t="shared" si="117" ref="AZ161:BA167">$AO161/N161</f>
        <v>150714.2857142857</v>
      </c>
      <c r="BA161" s="90">
        <f t="shared" si="117"/>
        <v>150714.2857142857</v>
      </c>
      <c r="BB161" s="88"/>
      <c r="BC161" s="224">
        <v>0</v>
      </c>
      <c r="BD161" s="91"/>
      <c r="BE161" s="92">
        <f t="shared" si="100"/>
        <v>0</v>
      </c>
      <c r="BF161" s="93"/>
      <c r="BG161" s="100"/>
      <c r="BH161" s="100">
        <v>0</v>
      </c>
      <c r="BI161" s="180">
        <v>0</v>
      </c>
      <c r="BJ161" s="181"/>
      <c r="BK161" s="182"/>
      <c r="BL161" s="97" t="e">
        <f t="shared" si="94"/>
        <v>#DIV/0!</v>
      </c>
      <c r="BM161" s="98"/>
      <c r="BN161" s="99" t="e">
        <f aca="true" t="shared" si="118" ref="BN161:BN167">($BI161+$BC161+$AO161+$AJ161+$AH161+$AF161+$AD161+$AB161+$Z161+$V161+$T161)/$AL161</f>
        <v>#DIV/0!</v>
      </c>
      <c r="BO161" s="99">
        <f t="shared" si="95"/>
        <v>0.9941834451901566</v>
      </c>
      <c r="BP161" s="82"/>
      <c r="BQ161" s="100">
        <f t="shared" si="96"/>
        <v>0</v>
      </c>
      <c r="BR161" s="101"/>
      <c r="BS161" s="100">
        <f t="shared" si="97"/>
        <v>0</v>
      </c>
      <c r="BT161" s="100">
        <f t="shared" si="98"/>
        <v>633000</v>
      </c>
      <c r="BU161" s="291"/>
      <c r="BV161" s="67"/>
    </row>
    <row r="162" spans="1:74" ht="51" hidden="1">
      <c r="A162" s="103">
        <v>511951</v>
      </c>
      <c r="B162" s="104" t="s">
        <v>219</v>
      </c>
      <c r="C162" s="104" t="s">
        <v>92</v>
      </c>
      <c r="D162" s="104" t="s">
        <v>217</v>
      </c>
      <c r="E162" s="104" t="s">
        <v>219</v>
      </c>
      <c r="F162" s="105">
        <v>2767143</v>
      </c>
      <c r="G162" s="105">
        <v>2</v>
      </c>
      <c r="H162" s="105">
        <v>2</v>
      </c>
      <c r="I162" s="105">
        <v>0</v>
      </c>
      <c r="J162" s="105">
        <v>0</v>
      </c>
      <c r="K162" s="105">
        <v>0</v>
      </c>
      <c r="L162" s="105">
        <v>0</v>
      </c>
      <c r="M162" s="105">
        <v>2</v>
      </c>
      <c r="N162" s="105">
        <v>0.7</v>
      </c>
      <c r="O162" s="105">
        <v>0.7</v>
      </c>
      <c r="P162" s="105"/>
      <c r="Q162" s="108">
        <v>250000</v>
      </c>
      <c r="R162" s="108">
        <v>335000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08">
        <v>0</v>
      </c>
      <c r="Y162" s="108">
        <v>0</v>
      </c>
      <c r="Z162" s="108">
        <v>0</v>
      </c>
      <c r="AA162" s="108">
        <v>0</v>
      </c>
      <c r="AB162" s="108">
        <v>0</v>
      </c>
      <c r="AC162" s="108">
        <v>165000</v>
      </c>
      <c r="AD162" s="108">
        <v>200000</v>
      </c>
      <c r="AE162" s="108">
        <v>82500</v>
      </c>
      <c r="AF162" s="108">
        <v>65000</v>
      </c>
      <c r="AG162" s="108">
        <v>0</v>
      </c>
      <c r="AH162" s="108">
        <v>0</v>
      </c>
      <c r="AI162" s="108">
        <v>0</v>
      </c>
      <c r="AJ162" s="108">
        <v>0</v>
      </c>
      <c r="AK162" s="108"/>
      <c r="AL162" s="108">
        <v>497500</v>
      </c>
      <c r="AM162" s="109">
        <v>600000</v>
      </c>
      <c r="AN162" s="78"/>
      <c r="AO162" s="110">
        <v>211600</v>
      </c>
      <c r="AP162" s="111">
        <f t="shared" si="86"/>
        <v>0.6316417910447761</v>
      </c>
      <c r="AQ162" s="112">
        <f>-1+AO162/Q162</f>
        <v>-0.15359999999999996</v>
      </c>
      <c r="AR162" s="82"/>
      <c r="AS162" s="113">
        <f t="shared" si="103"/>
        <v>476600</v>
      </c>
      <c r="AT162" s="114">
        <f t="shared" si="104"/>
        <v>0.9579899497487437</v>
      </c>
      <c r="AU162" s="115">
        <f t="shared" si="105"/>
        <v>20900</v>
      </c>
      <c r="AV162" s="86">
        <f t="shared" si="106"/>
        <v>0.7943333333333333</v>
      </c>
      <c r="AW162" s="185">
        <f t="shared" si="115"/>
        <v>123400</v>
      </c>
      <c r="AX162" s="186">
        <f t="shared" si="116"/>
        <v>20900</v>
      </c>
      <c r="AY162" s="88"/>
      <c r="AZ162" s="117">
        <f t="shared" si="117"/>
        <v>302285.7142857143</v>
      </c>
      <c r="BA162" s="118">
        <f t="shared" si="117"/>
        <v>302285.7142857143</v>
      </c>
      <c r="BB162" s="88"/>
      <c r="BC162" s="119">
        <v>0</v>
      </c>
      <c r="BD162" s="91">
        <f>(Q162+W162)*1.1-AO162-BC162</f>
        <v>63400</v>
      </c>
      <c r="BE162" s="92">
        <f t="shared" si="100"/>
        <v>0</v>
      </c>
      <c r="BF162" s="93">
        <f>(BE162+BC162+AO162)/(Q162+W162)</f>
        <v>0.8464</v>
      </c>
      <c r="BG162" s="194"/>
      <c r="BH162" s="194">
        <v>0</v>
      </c>
      <c r="BI162" s="195">
        <v>0</v>
      </c>
      <c r="BJ162" s="189"/>
      <c r="BK162" s="121"/>
      <c r="BL162" s="97">
        <f t="shared" si="94"/>
        <v>0.8464</v>
      </c>
      <c r="BM162" s="98"/>
      <c r="BN162" s="122">
        <f t="shared" si="118"/>
        <v>0.9579899497487437</v>
      </c>
      <c r="BO162" s="122">
        <f t="shared" si="95"/>
        <v>0.7943333333333333</v>
      </c>
      <c r="BP162" s="82"/>
      <c r="BQ162" s="194">
        <f t="shared" si="96"/>
        <v>0</v>
      </c>
      <c r="BR162" s="101"/>
      <c r="BS162" s="194">
        <f t="shared" si="97"/>
        <v>250000</v>
      </c>
      <c r="BT162" s="194">
        <f t="shared" si="98"/>
        <v>211600</v>
      </c>
      <c r="BU162" s="293">
        <f t="shared" si="99"/>
        <v>-0.15359999999999996</v>
      </c>
      <c r="BV162" s="67"/>
    </row>
    <row r="163" spans="1:74" ht="51" hidden="1">
      <c r="A163" s="103">
        <v>512117</v>
      </c>
      <c r="B163" s="104" t="s">
        <v>220</v>
      </c>
      <c r="C163" s="104" t="s">
        <v>59</v>
      </c>
      <c r="D163" s="104" t="s">
        <v>217</v>
      </c>
      <c r="E163" s="104" t="s">
        <v>221</v>
      </c>
      <c r="F163" s="105">
        <v>5540727</v>
      </c>
      <c r="G163" s="105">
        <v>5</v>
      </c>
      <c r="H163" s="105">
        <v>5</v>
      </c>
      <c r="I163" s="105">
        <v>1</v>
      </c>
      <c r="J163" s="105">
        <v>1</v>
      </c>
      <c r="K163" s="105">
        <v>0</v>
      </c>
      <c r="L163" s="105">
        <v>0</v>
      </c>
      <c r="M163" s="105">
        <v>3</v>
      </c>
      <c r="N163" s="105">
        <v>4.3</v>
      </c>
      <c r="O163" s="105">
        <v>2.5</v>
      </c>
      <c r="P163" s="105"/>
      <c r="Q163" s="108">
        <v>0</v>
      </c>
      <c r="R163" s="108">
        <v>923850</v>
      </c>
      <c r="S163" s="108">
        <v>0</v>
      </c>
      <c r="T163" s="108">
        <v>0</v>
      </c>
      <c r="U163" s="108">
        <v>0</v>
      </c>
      <c r="V163" s="108">
        <v>0</v>
      </c>
      <c r="W163" s="108">
        <v>0</v>
      </c>
      <c r="X163" s="108">
        <v>0</v>
      </c>
      <c r="Y163" s="108">
        <v>0</v>
      </c>
      <c r="Z163" s="108">
        <v>0</v>
      </c>
      <c r="AA163" s="108">
        <v>0</v>
      </c>
      <c r="AB163" s="108">
        <v>0</v>
      </c>
      <c r="AC163" s="108">
        <v>0</v>
      </c>
      <c r="AD163" s="108">
        <v>292000</v>
      </c>
      <c r="AE163" s="108">
        <v>0</v>
      </c>
      <c r="AF163" s="108">
        <v>91250</v>
      </c>
      <c r="AG163" s="108">
        <v>0</v>
      </c>
      <c r="AH163" s="108">
        <v>0</v>
      </c>
      <c r="AI163" s="108">
        <v>0</v>
      </c>
      <c r="AJ163" s="108">
        <v>0</v>
      </c>
      <c r="AK163" s="108"/>
      <c r="AL163" s="108">
        <v>0</v>
      </c>
      <c r="AM163" s="109">
        <v>1307100</v>
      </c>
      <c r="AN163" s="78"/>
      <c r="AO163" s="110">
        <v>540000</v>
      </c>
      <c r="AP163" s="111">
        <f t="shared" si="86"/>
        <v>0.5845104724792985</v>
      </c>
      <c r="AQ163" s="112"/>
      <c r="AR163" s="82"/>
      <c r="AS163" s="113">
        <f t="shared" si="103"/>
        <v>923250</v>
      </c>
      <c r="AT163" s="114" t="e">
        <f t="shared" si="104"/>
        <v>#DIV/0!</v>
      </c>
      <c r="AU163" s="115"/>
      <c r="AV163" s="86">
        <f t="shared" si="106"/>
        <v>0.7063346339224237</v>
      </c>
      <c r="AW163" s="185">
        <f t="shared" si="115"/>
        <v>383850</v>
      </c>
      <c r="AX163" s="186">
        <f t="shared" si="116"/>
        <v>0</v>
      </c>
      <c r="AY163" s="88"/>
      <c r="AZ163" s="117">
        <f t="shared" si="117"/>
        <v>125581.39534883722</v>
      </c>
      <c r="BA163" s="118">
        <f t="shared" si="117"/>
        <v>216000</v>
      </c>
      <c r="BB163" s="88"/>
      <c r="BC163" s="119">
        <v>0</v>
      </c>
      <c r="BD163" s="91"/>
      <c r="BE163" s="92">
        <f t="shared" si="100"/>
        <v>0</v>
      </c>
      <c r="BF163" s="93"/>
      <c r="BG163" s="194"/>
      <c r="BH163" s="194">
        <v>0</v>
      </c>
      <c r="BI163" s="195">
        <v>0</v>
      </c>
      <c r="BJ163" s="189"/>
      <c r="BK163" s="121"/>
      <c r="BL163" s="97" t="e">
        <f t="shared" si="94"/>
        <v>#DIV/0!</v>
      </c>
      <c r="BM163" s="98"/>
      <c r="BN163" s="122" t="e">
        <f t="shared" si="118"/>
        <v>#DIV/0!</v>
      </c>
      <c r="BO163" s="122">
        <f t="shared" si="95"/>
        <v>0.7063346339224237</v>
      </c>
      <c r="BP163" s="82"/>
      <c r="BQ163" s="194">
        <f t="shared" si="96"/>
        <v>0</v>
      </c>
      <c r="BR163" s="101"/>
      <c r="BS163" s="194">
        <f t="shared" si="97"/>
        <v>0</v>
      </c>
      <c r="BT163" s="194">
        <f t="shared" si="98"/>
        <v>540000</v>
      </c>
      <c r="BU163" s="293"/>
      <c r="BV163" s="67"/>
    </row>
    <row r="164" spans="1:74" ht="51" hidden="1">
      <c r="A164" s="103">
        <v>842001</v>
      </c>
      <c r="B164" s="104" t="s">
        <v>222</v>
      </c>
      <c r="C164" s="104" t="s">
        <v>92</v>
      </c>
      <c r="D164" s="104" t="s">
        <v>217</v>
      </c>
      <c r="E164" s="104" t="s">
        <v>223</v>
      </c>
      <c r="F164" s="105">
        <v>3514445</v>
      </c>
      <c r="G164" s="105">
        <v>20</v>
      </c>
      <c r="H164" s="105">
        <v>85</v>
      </c>
      <c r="I164" s="105">
        <v>25</v>
      </c>
      <c r="J164" s="105">
        <v>25</v>
      </c>
      <c r="K164" s="105">
        <v>10</v>
      </c>
      <c r="L164" s="105">
        <v>10</v>
      </c>
      <c r="M164" s="105">
        <v>15</v>
      </c>
      <c r="N164" s="105">
        <v>12.5</v>
      </c>
      <c r="O164" s="105">
        <v>10</v>
      </c>
      <c r="P164" s="105"/>
      <c r="Q164" s="108">
        <v>2555000</v>
      </c>
      <c r="R164" s="108">
        <v>3927000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  <c r="X164" s="108">
        <v>0</v>
      </c>
      <c r="Y164" s="108">
        <v>0</v>
      </c>
      <c r="Z164" s="108">
        <v>0</v>
      </c>
      <c r="AA164" s="108">
        <v>0</v>
      </c>
      <c r="AB164" s="108">
        <v>0</v>
      </c>
      <c r="AC164" s="108">
        <v>400000</v>
      </c>
      <c r="AD164" s="108">
        <v>850000</v>
      </c>
      <c r="AE164" s="108">
        <v>600000</v>
      </c>
      <c r="AF164" s="108">
        <v>780000</v>
      </c>
      <c r="AG164" s="108">
        <v>0</v>
      </c>
      <c r="AH164" s="108">
        <v>0</v>
      </c>
      <c r="AI164" s="108">
        <v>0</v>
      </c>
      <c r="AJ164" s="108">
        <v>0</v>
      </c>
      <c r="AK164" s="108"/>
      <c r="AL164" s="108">
        <v>3555000</v>
      </c>
      <c r="AM164" s="109">
        <v>5557000</v>
      </c>
      <c r="AN164" s="78"/>
      <c r="AO164" s="110">
        <v>2116800</v>
      </c>
      <c r="AP164" s="111">
        <f t="shared" si="86"/>
        <v>0.5390374331550802</v>
      </c>
      <c r="AQ164" s="112">
        <f>-1+AO164/Q164</f>
        <v>-0.17150684931506854</v>
      </c>
      <c r="AR164" s="82"/>
      <c r="AS164" s="113">
        <f t="shared" si="103"/>
        <v>3746800</v>
      </c>
      <c r="AT164" s="114">
        <f t="shared" si="104"/>
        <v>1.0539521800281293</v>
      </c>
      <c r="AU164" s="115">
        <f t="shared" si="105"/>
        <v>0</v>
      </c>
      <c r="AV164" s="86">
        <f t="shared" si="106"/>
        <v>0.6742486953392118</v>
      </c>
      <c r="AW164" s="185">
        <f t="shared" si="115"/>
        <v>1810200</v>
      </c>
      <c r="AX164" s="186">
        <f t="shared" si="116"/>
        <v>0</v>
      </c>
      <c r="AY164" s="88"/>
      <c r="AZ164" s="117">
        <f t="shared" si="117"/>
        <v>169344</v>
      </c>
      <c r="BA164" s="118">
        <f t="shared" si="117"/>
        <v>211680</v>
      </c>
      <c r="BB164" s="88"/>
      <c r="BC164" s="119">
        <v>0</v>
      </c>
      <c r="BD164" s="91">
        <f>(Q164+W164)*1.1-AO164-BC164</f>
        <v>693700</v>
      </c>
      <c r="BE164" s="92">
        <f t="shared" si="100"/>
        <v>0</v>
      </c>
      <c r="BF164" s="93">
        <f>(BE164+BC164+AO164)/(Q164+W164)</f>
        <v>0.8284931506849315</v>
      </c>
      <c r="BG164" s="194"/>
      <c r="BH164" s="194">
        <v>0</v>
      </c>
      <c r="BI164" s="195">
        <v>0</v>
      </c>
      <c r="BJ164" s="189"/>
      <c r="BK164" s="121"/>
      <c r="BL164" s="97">
        <f t="shared" si="94"/>
        <v>0.8284931506849315</v>
      </c>
      <c r="BM164" s="98"/>
      <c r="BN164" s="122">
        <f t="shared" si="118"/>
        <v>1.0539521800281293</v>
      </c>
      <c r="BO164" s="122">
        <f t="shared" si="95"/>
        <v>0.6742486953392118</v>
      </c>
      <c r="BP164" s="82"/>
      <c r="BQ164" s="194">
        <f t="shared" si="96"/>
        <v>0</v>
      </c>
      <c r="BR164" s="101"/>
      <c r="BS164" s="194">
        <f t="shared" si="97"/>
        <v>2555000</v>
      </c>
      <c r="BT164" s="194">
        <f t="shared" si="98"/>
        <v>2116800</v>
      </c>
      <c r="BU164" s="293">
        <f t="shared" si="99"/>
        <v>-0.17150684931506854</v>
      </c>
      <c r="BV164" s="67"/>
    </row>
    <row r="165" spans="1:74" ht="38.25" hidden="1">
      <c r="A165" s="103">
        <v>25257005</v>
      </c>
      <c r="B165" s="104" t="s">
        <v>224</v>
      </c>
      <c r="C165" s="104" t="s">
        <v>225</v>
      </c>
      <c r="D165" s="104" t="s">
        <v>217</v>
      </c>
      <c r="E165" s="104" t="s">
        <v>226</v>
      </c>
      <c r="F165" s="105">
        <v>9039793</v>
      </c>
      <c r="G165" s="105">
        <v>20</v>
      </c>
      <c r="H165" s="105">
        <v>20</v>
      </c>
      <c r="I165" s="105">
        <v>12</v>
      </c>
      <c r="J165" s="105">
        <v>4</v>
      </c>
      <c r="K165" s="105">
        <v>2</v>
      </c>
      <c r="L165" s="105">
        <v>2</v>
      </c>
      <c r="M165" s="105">
        <v>0</v>
      </c>
      <c r="N165" s="105">
        <v>15</v>
      </c>
      <c r="O165" s="105">
        <v>12</v>
      </c>
      <c r="P165" s="105"/>
      <c r="Q165" s="108">
        <v>2062500</v>
      </c>
      <c r="R165" s="108">
        <v>2737500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  <c r="X165" s="108">
        <v>0</v>
      </c>
      <c r="Y165" s="108">
        <v>0</v>
      </c>
      <c r="Z165" s="108">
        <v>0</v>
      </c>
      <c r="AA165" s="108">
        <v>0</v>
      </c>
      <c r="AB165" s="108">
        <v>0</v>
      </c>
      <c r="AC165" s="108">
        <v>1550088</v>
      </c>
      <c r="AD165" s="108">
        <v>3126000</v>
      </c>
      <c r="AE165" s="108">
        <v>250000</v>
      </c>
      <c r="AF165" s="108">
        <v>329311</v>
      </c>
      <c r="AG165" s="108">
        <v>0</v>
      </c>
      <c r="AH165" s="108">
        <v>0</v>
      </c>
      <c r="AI165" s="108">
        <v>0</v>
      </c>
      <c r="AJ165" s="108">
        <v>0</v>
      </c>
      <c r="AK165" s="108"/>
      <c r="AL165" s="108">
        <v>3862588</v>
      </c>
      <c r="AM165" s="109">
        <v>6192811</v>
      </c>
      <c r="AN165" s="78"/>
      <c r="AO165" s="110">
        <v>2160000</v>
      </c>
      <c r="AP165" s="111">
        <f t="shared" si="86"/>
        <v>0.7890410958904109</v>
      </c>
      <c r="AQ165" s="112">
        <f>-1+AO165/Q165</f>
        <v>0.047272727272727355</v>
      </c>
      <c r="AR165" s="82"/>
      <c r="AS165" s="113">
        <f t="shared" si="103"/>
        <v>5615311</v>
      </c>
      <c r="AT165" s="114">
        <f t="shared" si="104"/>
        <v>1.4537690791769664</v>
      </c>
      <c r="AU165" s="115">
        <f t="shared" si="105"/>
        <v>0</v>
      </c>
      <c r="AV165" s="86">
        <f t="shared" si="106"/>
        <v>0.9067467100158555</v>
      </c>
      <c r="AW165" s="185">
        <f t="shared" si="115"/>
        <v>577500</v>
      </c>
      <c r="AX165" s="186">
        <f t="shared" si="116"/>
        <v>0</v>
      </c>
      <c r="AY165" s="88"/>
      <c r="AZ165" s="117">
        <f t="shared" si="117"/>
        <v>144000</v>
      </c>
      <c r="BA165" s="118">
        <f t="shared" si="117"/>
        <v>180000</v>
      </c>
      <c r="BB165" s="88"/>
      <c r="BC165" s="119">
        <v>0</v>
      </c>
      <c r="BD165" s="91">
        <f>(Q165+W165)*1.1-AO165-BC165</f>
        <v>108750</v>
      </c>
      <c r="BE165" s="92">
        <f t="shared" si="100"/>
        <v>0</v>
      </c>
      <c r="BF165" s="93">
        <f>(BE165+BC165+AO165)/(Q165+W165)</f>
        <v>1.0472727272727274</v>
      </c>
      <c r="BG165" s="194"/>
      <c r="BH165" s="194">
        <v>0</v>
      </c>
      <c r="BI165" s="195">
        <v>0</v>
      </c>
      <c r="BJ165" s="189"/>
      <c r="BK165" s="121"/>
      <c r="BL165" s="97">
        <f t="shared" si="94"/>
        <v>1.0472727272727274</v>
      </c>
      <c r="BM165" s="98"/>
      <c r="BN165" s="122">
        <f t="shared" si="118"/>
        <v>1.4537690791769664</v>
      </c>
      <c r="BO165" s="122">
        <f t="shared" si="95"/>
        <v>0.9067467100158555</v>
      </c>
      <c r="BP165" s="82"/>
      <c r="BQ165" s="194">
        <f t="shared" si="96"/>
        <v>0</v>
      </c>
      <c r="BR165" s="101"/>
      <c r="BS165" s="194">
        <f t="shared" si="97"/>
        <v>2062500</v>
      </c>
      <c r="BT165" s="194">
        <f t="shared" si="98"/>
        <v>2160000</v>
      </c>
      <c r="BU165" s="293">
        <f t="shared" si="99"/>
        <v>0.047272727272727355</v>
      </c>
      <c r="BV165" s="67"/>
    </row>
    <row r="166" spans="1:74" ht="38.25" hidden="1">
      <c r="A166" s="103">
        <v>26216701</v>
      </c>
      <c r="B166" s="104" t="s">
        <v>227</v>
      </c>
      <c r="C166" s="104" t="s">
        <v>225</v>
      </c>
      <c r="D166" s="104" t="s">
        <v>217</v>
      </c>
      <c r="E166" s="104" t="s">
        <v>227</v>
      </c>
      <c r="F166" s="105">
        <v>4405366</v>
      </c>
      <c r="G166" s="105">
        <v>20</v>
      </c>
      <c r="H166" s="105">
        <v>20</v>
      </c>
      <c r="I166" s="105">
        <v>0</v>
      </c>
      <c r="J166" s="105">
        <v>0</v>
      </c>
      <c r="K166" s="105">
        <v>0</v>
      </c>
      <c r="L166" s="105">
        <v>0</v>
      </c>
      <c r="M166" s="105">
        <v>20</v>
      </c>
      <c r="N166" s="105">
        <v>15</v>
      </c>
      <c r="O166" s="105">
        <v>5</v>
      </c>
      <c r="P166" s="105"/>
      <c r="Q166" s="108">
        <v>1916250</v>
      </c>
      <c r="R166" s="108">
        <v>4100918</v>
      </c>
      <c r="S166" s="108">
        <v>0</v>
      </c>
      <c r="T166" s="108">
        <v>0</v>
      </c>
      <c r="U166" s="108">
        <v>0</v>
      </c>
      <c r="V166" s="108">
        <v>0</v>
      </c>
      <c r="W166" s="108">
        <v>0</v>
      </c>
      <c r="X166" s="108">
        <v>0</v>
      </c>
      <c r="Y166" s="108">
        <v>0</v>
      </c>
      <c r="Z166" s="108">
        <v>0</v>
      </c>
      <c r="AA166" s="108">
        <v>0</v>
      </c>
      <c r="AB166" s="108">
        <v>0</v>
      </c>
      <c r="AC166" s="108">
        <v>0</v>
      </c>
      <c r="AD166" s="108">
        <v>1703400</v>
      </c>
      <c r="AE166" s="108">
        <v>0</v>
      </c>
      <c r="AF166" s="108">
        <v>851700</v>
      </c>
      <c r="AG166" s="108">
        <v>0</v>
      </c>
      <c r="AH166" s="108">
        <v>0</v>
      </c>
      <c r="AI166" s="108">
        <v>0</v>
      </c>
      <c r="AJ166" s="108">
        <v>499674</v>
      </c>
      <c r="AK166" s="108"/>
      <c r="AL166" s="108">
        <v>1916250</v>
      </c>
      <c r="AM166" s="109">
        <v>7155692</v>
      </c>
      <c r="AN166" s="78"/>
      <c r="AO166" s="110">
        <v>2160000</v>
      </c>
      <c r="AP166" s="111">
        <f t="shared" si="86"/>
        <v>0.5267113363398146</v>
      </c>
      <c r="AQ166" s="112">
        <f>-1+AO166/Q166</f>
        <v>0.12720156555772988</v>
      </c>
      <c r="AR166" s="82"/>
      <c r="AS166" s="113">
        <f t="shared" si="103"/>
        <v>5214774</v>
      </c>
      <c r="AT166" s="114">
        <f t="shared" si="104"/>
        <v>2.7213432485322895</v>
      </c>
      <c r="AU166" s="115">
        <f t="shared" si="105"/>
        <v>0</v>
      </c>
      <c r="AV166" s="86">
        <f t="shared" si="106"/>
        <v>0.7287588677656892</v>
      </c>
      <c r="AW166" s="185">
        <f t="shared" si="115"/>
        <v>1940918</v>
      </c>
      <c r="AX166" s="186">
        <f t="shared" si="116"/>
        <v>0</v>
      </c>
      <c r="AY166" s="88"/>
      <c r="AZ166" s="117">
        <f t="shared" si="117"/>
        <v>144000</v>
      </c>
      <c r="BA166" s="118">
        <f t="shared" si="117"/>
        <v>432000</v>
      </c>
      <c r="BB166" s="88"/>
      <c r="BC166" s="119">
        <v>0</v>
      </c>
      <c r="BD166" s="91"/>
      <c r="BE166" s="92">
        <f t="shared" si="100"/>
        <v>0</v>
      </c>
      <c r="BF166" s="93">
        <f>(BE166+BC166+AO166)/(Q166+W166)</f>
        <v>1.1272015655577299</v>
      </c>
      <c r="BG166" s="194"/>
      <c r="BH166" s="194">
        <v>0</v>
      </c>
      <c r="BI166" s="195">
        <v>0</v>
      </c>
      <c r="BJ166" s="189"/>
      <c r="BK166" s="121"/>
      <c r="BL166" s="97">
        <f t="shared" si="94"/>
        <v>1.1272015655577299</v>
      </c>
      <c r="BM166" s="98"/>
      <c r="BN166" s="122">
        <f t="shared" si="118"/>
        <v>2.7213432485322895</v>
      </c>
      <c r="BO166" s="122">
        <f t="shared" si="95"/>
        <v>0.7287588677656892</v>
      </c>
      <c r="BP166" s="82"/>
      <c r="BQ166" s="194">
        <f t="shared" si="96"/>
        <v>0</v>
      </c>
      <c r="BR166" s="101"/>
      <c r="BS166" s="194">
        <f t="shared" si="97"/>
        <v>1916250</v>
      </c>
      <c r="BT166" s="194">
        <f t="shared" si="98"/>
        <v>2160000</v>
      </c>
      <c r="BU166" s="293">
        <f t="shared" si="99"/>
        <v>0.12720156555772988</v>
      </c>
      <c r="BV166" s="67"/>
    </row>
    <row r="167" spans="1:74" ht="39" hidden="1" thickBot="1">
      <c r="A167" s="125">
        <v>26940281</v>
      </c>
      <c r="B167" s="126" t="s">
        <v>228</v>
      </c>
      <c r="C167" s="126" t="s">
        <v>225</v>
      </c>
      <c r="D167" s="126" t="s">
        <v>217</v>
      </c>
      <c r="E167" s="126" t="s">
        <v>226</v>
      </c>
      <c r="F167" s="127">
        <v>2075448</v>
      </c>
      <c r="G167" s="127">
        <v>10</v>
      </c>
      <c r="H167" s="127">
        <v>10</v>
      </c>
      <c r="I167" s="127">
        <v>0</v>
      </c>
      <c r="J167" s="127">
        <v>0</v>
      </c>
      <c r="K167" s="127">
        <v>0</v>
      </c>
      <c r="L167" s="127">
        <v>0</v>
      </c>
      <c r="M167" s="127">
        <v>10</v>
      </c>
      <c r="N167" s="127">
        <v>5</v>
      </c>
      <c r="O167" s="127">
        <v>5</v>
      </c>
      <c r="P167" s="127"/>
      <c r="Q167" s="129">
        <v>1012000</v>
      </c>
      <c r="R167" s="129">
        <v>1723960</v>
      </c>
      <c r="S167" s="129">
        <v>0</v>
      </c>
      <c r="T167" s="129">
        <v>0</v>
      </c>
      <c r="U167" s="129">
        <v>0</v>
      </c>
      <c r="V167" s="129">
        <v>0</v>
      </c>
      <c r="W167" s="129">
        <v>0</v>
      </c>
      <c r="X167" s="129">
        <v>0</v>
      </c>
      <c r="Y167" s="129">
        <v>0</v>
      </c>
      <c r="Z167" s="129">
        <v>0</v>
      </c>
      <c r="AA167" s="129">
        <v>85000</v>
      </c>
      <c r="AB167" s="129">
        <v>82700</v>
      </c>
      <c r="AC167" s="129">
        <v>405000</v>
      </c>
      <c r="AD167" s="129">
        <v>540000</v>
      </c>
      <c r="AE167" s="129">
        <v>13500</v>
      </c>
      <c r="AF167" s="129">
        <v>18000</v>
      </c>
      <c r="AG167" s="129">
        <v>0</v>
      </c>
      <c r="AH167" s="129">
        <v>0</v>
      </c>
      <c r="AI167" s="129">
        <v>0</v>
      </c>
      <c r="AJ167" s="129">
        <v>0</v>
      </c>
      <c r="AK167" s="129"/>
      <c r="AL167" s="129">
        <v>1515500</v>
      </c>
      <c r="AM167" s="109">
        <v>2364660</v>
      </c>
      <c r="AN167" s="78"/>
      <c r="AO167" s="110">
        <v>1080000</v>
      </c>
      <c r="AP167" s="111">
        <f t="shared" si="86"/>
        <v>0.6264646511519989</v>
      </c>
      <c r="AQ167" s="112">
        <f>-1+AO167/Q167</f>
        <v>0.06719367588932812</v>
      </c>
      <c r="AR167" s="82"/>
      <c r="AS167" s="113">
        <f t="shared" si="103"/>
        <v>1720700</v>
      </c>
      <c r="AT167" s="133">
        <f t="shared" si="104"/>
        <v>1.1354008578027053</v>
      </c>
      <c r="AU167" s="115">
        <f t="shared" si="105"/>
        <v>0</v>
      </c>
      <c r="AV167" s="86">
        <f t="shared" si="106"/>
        <v>0.7276733230147252</v>
      </c>
      <c r="AW167" s="185">
        <f t="shared" si="115"/>
        <v>643960</v>
      </c>
      <c r="AX167" s="186">
        <f t="shared" si="116"/>
        <v>0</v>
      </c>
      <c r="AY167" s="88"/>
      <c r="AZ167" s="137">
        <f t="shared" si="117"/>
        <v>216000</v>
      </c>
      <c r="BA167" s="138">
        <f t="shared" si="117"/>
        <v>216000</v>
      </c>
      <c r="BB167" s="88"/>
      <c r="BC167" s="119">
        <v>0</v>
      </c>
      <c r="BD167" s="91">
        <f>(Q167+W167)*1.1-AO167-BC167</f>
        <v>33200</v>
      </c>
      <c r="BE167" s="92">
        <f t="shared" si="100"/>
        <v>0</v>
      </c>
      <c r="BF167" s="93">
        <f>(BE167+BC167+AO167)/(Q167+W167)</f>
        <v>1.0671936758893281</v>
      </c>
      <c r="BG167" s="194"/>
      <c r="BH167" s="194">
        <v>0</v>
      </c>
      <c r="BI167" s="195">
        <v>0</v>
      </c>
      <c r="BJ167" s="196"/>
      <c r="BK167" s="145"/>
      <c r="BL167" s="97">
        <f t="shared" si="94"/>
        <v>1.0671936758893281</v>
      </c>
      <c r="BM167" s="98"/>
      <c r="BN167" s="146">
        <f t="shared" si="118"/>
        <v>1.1354008578027053</v>
      </c>
      <c r="BO167" s="146">
        <f t="shared" si="95"/>
        <v>0.7276733230147252</v>
      </c>
      <c r="BP167" s="82"/>
      <c r="BQ167" s="194">
        <f t="shared" si="96"/>
        <v>0</v>
      </c>
      <c r="BR167" s="101"/>
      <c r="BS167" s="194">
        <f t="shared" si="97"/>
        <v>1012000</v>
      </c>
      <c r="BT167" s="194">
        <f t="shared" si="98"/>
        <v>1080000</v>
      </c>
      <c r="BU167" s="293">
        <f t="shared" si="99"/>
        <v>0.06719367588932812</v>
      </c>
      <c r="BV167" s="67"/>
    </row>
    <row r="168" spans="1:74" ht="15" hidden="1" thickBot="1">
      <c r="A168" s="167" t="s">
        <v>61</v>
      </c>
      <c r="B168" s="71"/>
      <c r="C168" s="71"/>
      <c r="D168" s="71"/>
      <c r="E168" s="7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2">
        <f aca="true" t="shared" si="119" ref="Q168:AJ168">SUM(Q161:Q167)</f>
        <v>7795750</v>
      </c>
      <c r="R168" s="152">
        <f t="shared" si="119"/>
        <v>14394228</v>
      </c>
      <c r="S168" s="152">
        <f t="shared" si="119"/>
        <v>0</v>
      </c>
      <c r="T168" s="152">
        <f t="shared" si="119"/>
        <v>0</v>
      </c>
      <c r="U168" s="152">
        <f t="shared" si="119"/>
        <v>0</v>
      </c>
      <c r="V168" s="152">
        <f t="shared" si="119"/>
        <v>0</v>
      </c>
      <c r="W168" s="152">
        <f t="shared" si="119"/>
        <v>0</v>
      </c>
      <c r="X168" s="152">
        <f t="shared" si="119"/>
        <v>0</v>
      </c>
      <c r="Y168" s="152">
        <f t="shared" si="119"/>
        <v>0</v>
      </c>
      <c r="Z168" s="152">
        <f t="shared" si="119"/>
        <v>0</v>
      </c>
      <c r="AA168" s="152">
        <f t="shared" si="119"/>
        <v>85000</v>
      </c>
      <c r="AB168" s="152">
        <f t="shared" si="119"/>
        <v>82700</v>
      </c>
      <c r="AC168" s="152">
        <f t="shared" si="119"/>
        <v>2520088</v>
      </c>
      <c r="AD168" s="152">
        <f t="shared" si="119"/>
        <v>7918400</v>
      </c>
      <c r="AE168" s="152">
        <f t="shared" si="119"/>
        <v>946000</v>
      </c>
      <c r="AF168" s="152">
        <f t="shared" si="119"/>
        <v>2517261</v>
      </c>
      <c r="AG168" s="152">
        <f t="shared" si="119"/>
        <v>0</v>
      </c>
      <c r="AH168" s="152">
        <f t="shared" si="119"/>
        <v>0</v>
      </c>
      <c r="AI168" s="152">
        <f t="shared" si="119"/>
        <v>0</v>
      </c>
      <c r="AJ168" s="152">
        <f t="shared" si="119"/>
        <v>499674</v>
      </c>
      <c r="AK168" s="152"/>
      <c r="AL168" s="152">
        <f>SUM(AL161:AL167)</f>
        <v>11346838</v>
      </c>
      <c r="AM168" s="154">
        <f>SUM(AM161:AM167)</f>
        <v>25412263</v>
      </c>
      <c r="AN168" s="153"/>
      <c r="AO168" s="154">
        <f>SUM(AO161:AO167)</f>
        <v>8901400</v>
      </c>
      <c r="AP168" s="40">
        <f>AO168/R168</f>
        <v>0.6184006533730048</v>
      </c>
      <c r="AQ168" s="40">
        <f>-1+AO168/Q168</f>
        <v>0.14182727768335313</v>
      </c>
      <c r="AR168" s="1"/>
      <c r="AS168" s="155">
        <f t="shared" si="103"/>
        <v>19919435</v>
      </c>
      <c r="AT168" s="207">
        <f t="shared" si="104"/>
        <v>1.7555053663408255</v>
      </c>
      <c r="AU168" s="156">
        <f>SUM(AU161:AU167)</f>
        <v>20900</v>
      </c>
      <c r="AV168" s="215">
        <f t="shared" si="106"/>
        <v>0.783851284712424</v>
      </c>
      <c r="AW168" s="216">
        <f>SUM(AW161:AW167)</f>
        <v>5492828</v>
      </c>
      <c r="AX168" s="210">
        <f>SUM(AX161:AX167)</f>
        <v>20900</v>
      </c>
      <c r="AY168" s="88"/>
      <c r="AZ168" s="158"/>
      <c r="BA168" s="158"/>
      <c r="BB168" s="88"/>
      <c r="BC168" s="160">
        <f>SUM(BC161:BC167)</f>
        <v>0</v>
      </c>
      <c r="BD168" s="160">
        <f>SUM(BD161:BD167)</f>
        <v>899050</v>
      </c>
      <c r="BE168" s="161">
        <f>SUM(BE161:BE167)</f>
        <v>0</v>
      </c>
      <c r="BF168" s="160"/>
      <c r="BG168" s="161">
        <f>SUM(BG161:BG167)</f>
        <v>0</v>
      </c>
      <c r="BH168" s="161">
        <f>SUM(BH161:BH167)</f>
        <v>0</v>
      </c>
      <c r="BI168" s="57">
        <f>SUM(BI161:BI167)</f>
        <v>0</v>
      </c>
      <c r="BJ168" s="162"/>
      <c r="BK168" s="162"/>
      <c r="BL168" s="97">
        <f t="shared" si="94"/>
        <v>1.1418272776833531</v>
      </c>
      <c r="BM168" s="98"/>
      <c r="BN168" s="82"/>
      <c r="BO168" s="82"/>
      <c r="BP168" s="82"/>
      <c r="BQ168" s="161">
        <f>SUM(BQ161:BQ167)</f>
        <v>0</v>
      </c>
      <c r="BR168" s="101"/>
      <c r="BS168" s="161">
        <f t="shared" si="97"/>
        <v>7795750</v>
      </c>
      <c r="BT168" s="161">
        <f t="shared" si="98"/>
        <v>8901400</v>
      </c>
      <c r="BU168" s="163">
        <f t="shared" si="99"/>
        <v>0.14182727768335313</v>
      </c>
      <c r="BV168" s="67"/>
    </row>
    <row r="169" spans="1:74" ht="7.5" customHeight="1" thickBot="1">
      <c r="A169" s="149"/>
      <c r="B169" s="150"/>
      <c r="C169" s="150"/>
      <c r="D169" s="150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97"/>
      <c r="AQ169" s="97"/>
      <c r="AR169" s="97"/>
      <c r="AS169" s="164"/>
      <c r="AT169" s="82"/>
      <c r="AU169" s="165"/>
      <c r="AV169" s="215"/>
      <c r="AW169" s="164"/>
      <c r="AX169" s="165"/>
      <c r="AY169" s="88"/>
      <c r="AZ169" s="158"/>
      <c r="BA169" s="158"/>
      <c r="BB169" s="88"/>
      <c r="BC169" s="169"/>
      <c r="BD169" s="169"/>
      <c r="BE169" s="101"/>
      <c r="BF169" s="219"/>
      <c r="BG169" s="101"/>
      <c r="BH169" s="101"/>
      <c r="BI169" s="220"/>
      <c r="BJ169" s="162"/>
      <c r="BK169" s="162"/>
      <c r="BL169" s="97" t="e">
        <f t="shared" si="94"/>
        <v>#DIV/0!</v>
      </c>
      <c r="BM169" s="98"/>
      <c r="BN169" s="82"/>
      <c r="BO169" s="82"/>
      <c r="BP169" s="82"/>
      <c r="BQ169" s="101"/>
      <c r="BR169" s="101"/>
      <c r="BS169" s="101"/>
      <c r="BT169" s="101"/>
      <c r="BU169" s="221"/>
      <c r="BV169" s="67"/>
    </row>
    <row r="170" spans="1:74" ht="86.25" thickBot="1">
      <c r="A170" s="312">
        <v>70870896</v>
      </c>
      <c r="B170" s="313" t="s">
        <v>114</v>
      </c>
      <c r="C170" s="313" t="s">
        <v>47</v>
      </c>
      <c r="D170" s="313" t="s">
        <v>231</v>
      </c>
      <c r="E170" s="313" t="s">
        <v>232</v>
      </c>
      <c r="F170" s="314">
        <v>3849965</v>
      </c>
      <c r="G170" s="315"/>
      <c r="H170" s="314">
        <v>0</v>
      </c>
      <c r="I170" s="314">
        <v>0</v>
      </c>
      <c r="J170" s="314">
        <v>0</v>
      </c>
      <c r="K170" s="314">
        <v>0</v>
      </c>
      <c r="L170" s="314">
        <v>0</v>
      </c>
      <c r="M170" s="314">
        <v>0</v>
      </c>
      <c r="N170" s="314">
        <v>4.8</v>
      </c>
      <c r="O170" s="314">
        <v>4.3</v>
      </c>
      <c r="P170" s="316" t="s">
        <v>289</v>
      </c>
      <c r="Q170" s="317">
        <v>0</v>
      </c>
      <c r="R170" s="317">
        <v>1026013</v>
      </c>
      <c r="S170" s="317">
        <v>0</v>
      </c>
      <c r="T170" s="317">
        <v>0</v>
      </c>
      <c r="U170" s="317">
        <v>0</v>
      </c>
      <c r="V170" s="317">
        <v>0</v>
      </c>
      <c r="W170" s="317">
        <v>0</v>
      </c>
      <c r="X170" s="317">
        <v>0</v>
      </c>
      <c r="Y170" s="317">
        <v>0</v>
      </c>
      <c r="Z170" s="317">
        <v>70000</v>
      </c>
      <c r="AA170" s="317">
        <v>0</v>
      </c>
      <c r="AB170" s="317">
        <v>0</v>
      </c>
      <c r="AC170" s="317">
        <v>0</v>
      </c>
      <c r="AD170" s="317">
        <v>0</v>
      </c>
      <c r="AE170" s="317">
        <v>0</v>
      </c>
      <c r="AF170" s="317">
        <v>0</v>
      </c>
      <c r="AG170" s="317">
        <v>550000</v>
      </c>
      <c r="AH170" s="317">
        <v>330310</v>
      </c>
      <c r="AI170" s="317">
        <v>0</v>
      </c>
      <c r="AJ170" s="317">
        <v>73467</v>
      </c>
      <c r="AK170" s="317"/>
      <c r="AL170" s="317">
        <v>550000</v>
      </c>
      <c r="AM170" s="318">
        <v>1499790</v>
      </c>
      <c r="AN170" s="240"/>
      <c r="AO170" s="341">
        <v>1026000</v>
      </c>
      <c r="AP170" s="320">
        <f t="shared" si="86"/>
        <v>0.9999873295952391</v>
      </c>
      <c r="AQ170" s="157"/>
      <c r="AR170" s="82"/>
      <c r="AS170" s="319">
        <f t="shared" si="103"/>
        <v>1499777</v>
      </c>
      <c r="AT170" s="42">
        <f t="shared" si="104"/>
        <v>2.7268672727272727</v>
      </c>
      <c r="AU170" s="156">
        <f t="shared" si="105"/>
        <v>0</v>
      </c>
      <c r="AV170" s="320">
        <f t="shared" si="106"/>
        <v>0.9999913321198302</v>
      </c>
      <c r="AW170" s="321">
        <f>IF(AS170&lt;AM170,AM170-AS170,0)</f>
        <v>13</v>
      </c>
      <c r="AX170" s="156">
        <f>IF(W170&gt;AU170,0,AU170-W170)</f>
        <v>0</v>
      </c>
      <c r="AY170" s="88"/>
      <c r="AZ170" s="322">
        <f>$AO170/N170</f>
        <v>213750</v>
      </c>
      <c r="BA170" s="323">
        <f>$AO170/O170</f>
        <v>238604.65116279072</v>
      </c>
      <c r="BB170" s="88"/>
      <c r="BC170" s="324">
        <v>0</v>
      </c>
      <c r="BD170" s="160"/>
      <c r="BE170" s="217">
        <f t="shared" si="100"/>
        <v>0</v>
      </c>
      <c r="BF170" s="325"/>
      <c r="BG170" s="217"/>
      <c r="BH170" s="161">
        <v>0</v>
      </c>
      <c r="BI170" s="57">
        <v>0</v>
      </c>
      <c r="BJ170" s="326"/>
      <c r="BK170" s="327" t="s">
        <v>56</v>
      </c>
      <c r="BL170" s="97" t="e">
        <f t="shared" si="94"/>
        <v>#DIV/0!</v>
      </c>
      <c r="BM170" s="98"/>
      <c r="BN170" s="328">
        <f>($BI170+$BC170+$AO170+$AJ170+$AH170+$AF170+$AD170+$AB170+$Z170+$V170+$T170)/$AL170</f>
        <v>2.7268672727272727</v>
      </c>
      <c r="BO170" s="328">
        <f t="shared" si="95"/>
        <v>0.9999913321198302</v>
      </c>
      <c r="BP170" s="82"/>
      <c r="BQ170" s="161">
        <f t="shared" si="96"/>
        <v>0</v>
      </c>
      <c r="BR170" s="101"/>
      <c r="BS170" s="161">
        <f t="shared" si="97"/>
        <v>0</v>
      </c>
      <c r="BT170" s="161">
        <f t="shared" si="98"/>
        <v>1026000</v>
      </c>
      <c r="BU170" s="163"/>
      <c r="BV170" s="70" t="s">
        <v>356</v>
      </c>
    </row>
    <row r="171" spans="1:74" ht="7.5" customHeight="1" thickBot="1">
      <c r="A171" s="251"/>
      <c r="B171" s="251"/>
      <c r="C171" s="251"/>
      <c r="D171" s="251"/>
      <c r="E171" s="251"/>
      <c r="F171" s="151"/>
      <c r="G171" s="88"/>
      <c r="H171" s="151"/>
      <c r="I171" s="151"/>
      <c r="J171" s="151"/>
      <c r="K171" s="151"/>
      <c r="L171" s="151"/>
      <c r="M171" s="151"/>
      <c r="N171" s="151"/>
      <c r="O171" s="151"/>
      <c r="P171" s="151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97"/>
      <c r="AQ171" s="97"/>
      <c r="AR171" s="97"/>
      <c r="AS171" s="164"/>
      <c r="AT171" s="82"/>
      <c r="AU171" s="165"/>
      <c r="AV171" s="215"/>
      <c r="AW171" s="164"/>
      <c r="AX171" s="165"/>
      <c r="AY171" s="88"/>
      <c r="AZ171" s="158"/>
      <c r="BA171" s="158"/>
      <c r="BB171" s="88"/>
      <c r="BC171" s="169"/>
      <c r="BD171" s="169"/>
      <c r="BE171" s="101"/>
      <c r="BF171" s="219"/>
      <c r="BG171" s="101"/>
      <c r="BH171" s="101"/>
      <c r="BI171" s="220"/>
      <c r="BJ171" s="162"/>
      <c r="BK171" s="162"/>
      <c r="BL171" s="97" t="e">
        <f t="shared" si="94"/>
        <v>#DIV/0!</v>
      </c>
      <c r="BM171" s="98"/>
      <c r="BN171" s="82"/>
      <c r="BO171" s="82"/>
      <c r="BP171" s="82"/>
      <c r="BQ171" s="101"/>
      <c r="BR171" s="101"/>
      <c r="BS171" s="101"/>
      <c r="BT171" s="101"/>
      <c r="BU171" s="221"/>
      <c r="BV171" s="67"/>
    </row>
    <row r="172" spans="1:74" ht="114">
      <c r="A172" s="72">
        <v>65761758</v>
      </c>
      <c r="B172" s="73" t="s">
        <v>233</v>
      </c>
      <c r="C172" s="73" t="s">
        <v>47</v>
      </c>
      <c r="D172" s="73" t="s">
        <v>234</v>
      </c>
      <c r="E172" s="73" t="s">
        <v>235</v>
      </c>
      <c r="F172" s="74">
        <v>1698460</v>
      </c>
      <c r="G172" s="74">
        <v>12</v>
      </c>
      <c r="H172" s="74">
        <v>18</v>
      </c>
      <c r="I172" s="74">
        <v>0</v>
      </c>
      <c r="J172" s="74">
        <v>0</v>
      </c>
      <c r="K172" s="74">
        <v>0</v>
      </c>
      <c r="L172" s="74">
        <v>0</v>
      </c>
      <c r="M172" s="74">
        <v>0</v>
      </c>
      <c r="N172" s="74">
        <v>7</v>
      </c>
      <c r="O172" s="74">
        <v>5.4</v>
      </c>
      <c r="P172" s="75" t="s">
        <v>301</v>
      </c>
      <c r="Q172" s="76">
        <v>1330000</v>
      </c>
      <c r="R172" s="76">
        <v>1927000</v>
      </c>
      <c r="S172" s="76">
        <v>447000</v>
      </c>
      <c r="T172" s="76">
        <v>410000</v>
      </c>
      <c r="U172" s="76">
        <v>91164</v>
      </c>
      <c r="V172" s="76">
        <v>100000</v>
      </c>
      <c r="W172" s="76">
        <v>510259</v>
      </c>
      <c r="X172" s="76">
        <v>0</v>
      </c>
      <c r="Y172" s="76">
        <v>0</v>
      </c>
      <c r="Z172" s="76">
        <v>0</v>
      </c>
      <c r="AA172" s="76">
        <v>0</v>
      </c>
      <c r="AB172" s="76">
        <v>0</v>
      </c>
      <c r="AC172" s="76">
        <v>136678</v>
      </c>
      <c r="AD172" s="76">
        <v>0</v>
      </c>
      <c r="AE172" s="76">
        <v>0</v>
      </c>
      <c r="AF172" s="76">
        <v>0</v>
      </c>
      <c r="AG172" s="76">
        <v>0</v>
      </c>
      <c r="AH172" s="76">
        <v>0</v>
      </c>
      <c r="AI172" s="76">
        <v>800929</v>
      </c>
      <c r="AJ172" s="76">
        <v>1208675</v>
      </c>
      <c r="AK172" s="76">
        <v>3316030</v>
      </c>
      <c r="AL172" s="76">
        <v>3453643</v>
      </c>
      <c r="AM172" s="77">
        <v>4028175</v>
      </c>
      <c r="AN172" s="329"/>
      <c r="AO172" s="342">
        <v>1330000</v>
      </c>
      <c r="AP172" s="222">
        <f>AO172/R172</f>
        <v>0.6901920083030617</v>
      </c>
      <c r="AQ172" s="81">
        <f>-1+AO172/Q172</f>
        <v>0</v>
      </c>
      <c r="AR172" s="86"/>
      <c r="AS172" s="85">
        <f>T172+V172+Z172+AB172+AD172+AF172+AH172+AJ172+AO172</f>
        <v>3048675</v>
      </c>
      <c r="AT172" s="177">
        <f>AS172/(Q172+S172+U172+W172+Y172+AA172+AC172+AE172+AG172+AI172)</f>
        <v>0.9193749754978091</v>
      </c>
      <c r="AU172" s="85">
        <f>IF(AT172&gt;=100%,0,(Q172+S172+U172+W172+Y172+AA172+AC172+AE172+AG172+AI172)-(T172+V172+Z172+AB172+AD172+AF172+AH172+AJ172+AO172))</f>
        <v>267355</v>
      </c>
      <c r="AV172" s="99">
        <f>AS172/AM172</f>
        <v>0.7568377739298814</v>
      </c>
      <c r="AW172" s="87">
        <f>IF(AS172&lt;AM172,AM172-AS172,0)</f>
        <v>979500</v>
      </c>
      <c r="AX172" s="85">
        <f>IF(W172&gt;AU172,0,AU172-W172)</f>
        <v>0</v>
      </c>
      <c r="AY172" s="330"/>
      <c r="AZ172" s="89">
        <f>$AO172/N172</f>
        <v>190000</v>
      </c>
      <c r="BA172" s="90">
        <f>$AO172/O172</f>
        <v>246296.2962962963</v>
      </c>
      <c r="BB172" s="330"/>
      <c r="BC172" s="179">
        <v>357181</v>
      </c>
      <c r="BD172" s="224">
        <f>(Q172+W172)*1.1-AO172-BC172</f>
        <v>337103.90000000014</v>
      </c>
      <c r="BE172" s="225"/>
      <c r="BF172" s="226">
        <f>(BE172+BC172+AO172)/(Q172+W172)</f>
        <v>0.9168171436737981</v>
      </c>
      <c r="BG172" s="225"/>
      <c r="BH172" s="100">
        <v>0</v>
      </c>
      <c r="BI172" s="180">
        <v>0</v>
      </c>
      <c r="BJ172" s="227" t="s">
        <v>97</v>
      </c>
      <c r="BK172" s="182" t="s">
        <v>56</v>
      </c>
      <c r="BL172" s="97">
        <f t="shared" si="94"/>
        <v>0.9168970370211681</v>
      </c>
      <c r="BM172" s="98"/>
      <c r="BN172" s="99">
        <f>($BI172+$BC172+$AO172+$AJ172+$AH172+$AF172+$AD172+$AB172+$Z172+$V172+$T172)/$AL172</f>
        <v>0.9861633063984899</v>
      </c>
      <c r="BO172" s="99">
        <f t="shared" si="95"/>
        <v>0.8455084498563246</v>
      </c>
      <c r="BP172" s="82"/>
      <c r="BQ172" s="100">
        <f t="shared" si="96"/>
        <v>357181</v>
      </c>
      <c r="BR172" s="101"/>
      <c r="BS172" s="100">
        <f t="shared" si="97"/>
        <v>1840259</v>
      </c>
      <c r="BT172" s="100">
        <f t="shared" si="98"/>
        <v>1687181</v>
      </c>
      <c r="BU172" s="102">
        <f t="shared" si="99"/>
        <v>-0.08318285632620193</v>
      </c>
      <c r="BV172" s="64" t="s">
        <v>377</v>
      </c>
    </row>
    <row r="173" spans="1:74" ht="43.5" thickBot="1">
      <c r="A173" s="198">
        <v>43379729</v>
      </c>
      <c r="B173" s="202" t="s">
        <v>93</v>
      </c>
      <c r="C173" s="202" t="s">
        <v>47</v>
      </c>
      <c r="D173" s="202" t="s">
        <v>234</v>
      </c>
      <c r="E173" s="202" t="s">
        <v>266</v>
      </c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331" t="s">
        <v>302</v>
      </c>
      <c r="Q173" s="203">
        <v>1420000</v>
      </c>
      <c r="R173" s="203">
        <v>1655000</v>
      </c>
      <c r="S173" s="203">
        <v>1902000</v>
      </c>
      <c r="T173" s="203">
        <v>1800000</v>
      </c>
      <c r="U173" s="203"/>
      <c r="V173" s="203"/>
      <c r="W173" s="203">
        <v>494904</v>
      </c>
      <c r="X173" s="203">
        <v>494904</v>
      </c>
      <c r="Y173" s="203"/>
      <c r="Z173" s="203"/>
      <c r="AA173" s="203"/>
      <c r="AB173" s="203"/>
      <c r="AC173" s="203">
        <v>320092</v>
      </c>
      <c r="AD173" s="203"/>
      <c r="AE173" s="203"/>
      <c r="AF173" s="203"/>
      <c r="AG173" s="203">
        <v>1411181</v>
      </c>
      <c r="AH173" s="203"/>
      <c r="AI173" s="203">
        <v>1925058</v>
      </c>
      <c r="AJ173" s="203"/>
      <c r="AK173" s="203">
        <v>7473235</v>
      </c>
      <c r="AL173" s="203">
        <v>7473235</v>
      </c>
      <c r="AM173" s="204"/>
      <c r="AN173" s="240"/>
      <c r="AO173" s="343">
        <v>1100000</v>
      </c>
      <c r="AP173" s="334">
        <f>AO173/R173</f>
        <v>0.6646525679758308</v>
      </c>
      <c r="AQ173" s="332">
        <f>-1+AO173/Q173</f>
        <v>-0.22535211267605637</v>
      </c>
      <c r="AR173" s="82"/>
      <c r="AS173" s="333">
        <f>T173+V173+Z173+AB173+AD173+AF173+AH173+AJ173+AO173</f>
        <v>2900000</v>
      </c>
      <c r="AT173" s="84">
        <f>AS173/(Q173+S173+U173+W173+Y173+AA173+AC173+AE173+AG173+AI173)</f>
        <v>0.3880514930950251</v>
      </c>
      <c r="AU173" s="115">
        <f>IF(AT173&gt;=100%,0,(Q173+S173+U173+W173+Y173+AA173+AC173+AE173+AG173+AI173)-(T173+V173+Z173+AB173+AD173+AF173+AH173+AJ173+AO173))</f>
        <v>4573235</v>
      </c>
      <c r="AV173" s="334" t="e">
        <f>AS173/AM173</f>
        <v>#DIV/0!</v>
      </c>
      <c r="AW173" s="335">
        <f>IF(AS173&lt;AM173,AM173-AS173,0)</f>
        <v>0</v>
      </c>
      <c r="AX173" s="115">
        <f>IF(W173&gt;AU173,0,AU173-W173)</f>
        <v>4078331</v>
      </c>
      <c r="AY173" s="88"/>
      <c r="AZ173" s="137" t="e">
        <f>$AO173/N173</f>
        <v>#DIV/0!</v>
      </c>
      <c r="BA173" s="138" t="e">
        <f>$AO173/O173</f>
        <v>#DIV/0!</v>
      </c>
      <c r="BB173" s="88"/>
      <c r="BC173" s="229">
        <v>0</v>
      </c>
      <c r="BD173" s="91">
        <f>(Q173+W173)*1.1-AO173-BC173</f>
        <v>1006394.4000000004</v>
      </c>
      <c r="BE173" s="92">
        <f t="shared" si="100"/>
        <v>494904</v>
      </c>
      <c r="BF173" s="93">
        <f>(BE173+BC173+AO173)/(Q173+W173)</f>
        <v>0.832889794997556</v>
      </c>
      <c r="BG173" s="92">
        <f>IF(BF173&lt;$BG$3,(0.7*(Q173+W173))-(AO173+BC173),0)</f>
        <v>240432.7999999998</v>
      </c>
      <c r="BH173" s="147">
        <v>494904</v>
      </c>
      <c r="BI173" s="232">
        <v>575000</v>
      </c>
      <c r="BJ173" s="233" t="s">
        <v>97</v>
      </c>
      <c r="BK173" s="145" t="s">
        <v>56</v>
      </c>
      <c r="BL173" s="97">
        <f t="shared" si="94"/>
        <v>0.8894391894582625</v>
      </c>
      <c r="BM173" s="98">
        <f>(0.9*(Q173+S173+W173))-(T173+AO173+BC173+BH173)</f>
        <v>40309.60000000009</v>
      </c>
      <c r="BN173" s="146">
        <f>($BI173+$BC173+$AO173+$AJ173+$AH173+$AF173+$AD173+$AB173+$Z173+$V173+$T173)/$AL173</f>
        <v>0.46499273741559044</v>
      </c>
      <c r="BO173" s="146" t="e">
        <f t="shared" si="95"/>
        <v>#DIV/0!</v>
      </c>
      <c r="BP173" s="82"/>
      <c r="BQ173" s="147">
        <f t="shared" si="96"/>
        <v>575000</v>
      </c>
      <c r="BR173" s="101"/>
      <c r="BS173" s="147">
        <f t="shared" si="97"/>
        <v>1914904</v>
      </c>
      <c r="BT173" s="147">
        <f t="shared" si="98"/>
        <v>1675000</v>
      </c>
      <c r="BU173" s="235">
        <f t="shared" si="99"/>
        <v>-0.1252825206903323</v>
      </c>
      <c r="BV173" s="66" t="s">
        <v>328</v>
      </c>
    </row>
    <row r="174" spans="1:74" ht="15" thickBot="1">
      <c r="A174" s="167" t="s">
        <v>61</v>
      </c>
      <c r="B174" s="71"/>
      <c r="C174" s="71"/>
      <c r="D174" s="71"/>
      <c r="E174" s="7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2">
        <f>SUM(Q172:Q173)</f>
        <v>2750000</v>
      </c>
      <c r="R174" s="152">
        <f aca="true" t="shared" si="120" ref="R174:AM174">SUM(R172:R173)</f>
        <v>3582000</v>
      </c>
      <c r="S174" s="152">
        <f t="shared" si="120"/>
        <v>2349000</v>
      </c>
      <c r="T174" s="152">
        <f t="shared" si="120"/>
        <v>2210000</v>
      </c>
      <c r="U174" s="152">
        <f t="shared" si="120"/>
        <v>91164</v>
      </c>
      <c r="V174" s="152">
        <f t="shared" si="120"/>
        <v>100000</v>
      </c>
      <c r="W174" s="152">
        <f t="shared" si="120"/>
        <v>1005163</v>
      </c>
      <c r="X174" s="152">
        <f t="shared" si="120"/>
        <v>494904</v>
      </c>
      <c r="Y174" s="152">
        <f t="shared" si="120"/>
        <v>0</v>
      </c>
      <c r="Z174" s="152">
        <f t="shared" si="120"/>
        <v>0</v>
      </c>
      <c r="AA174" s="152">
        <f t="shared" si="120"/>
        <v>0</v>
      </c>
      <c r="AB174" s="152">
        <f t="shared" si="120"/>
        <v>0</v>
      </c>
      <c r="AC174" s="152">
        <f t="shared" si="120"/>
        <v>456770</v>
      </c>
      <c r="AD174" s="152">
        <f t="shared" si="120"/>
        <v>0</v>
      </c>
      <c r="AE174" s="152">
        <f t="shared" si="120"/>
        <v>0</v>
      </c>
      <c r="AF174" s="152">
        <f t="shared" si="120"/>
        <v>0</v>
      </c>
      <c r="AG174" s="152">
        <f t="shared" si="120"/>
        <v>1411181</v>
      </c>
      <c r="AH174" s="152">
        <f t="shared" si="120"/>
        <v>0</v>
      </c>
      <c r="AI174" s="152">
        <f t="shared" si="120"/>
        <v>2725987</v>
      </c>
      <c r="AJ174" s="152">
        <f t="shared" si="120"/>
        <v>1208675</v>
      </c>
      <c r="AK174" s="152">
        <f t="shared" si="120"/>
        <v>10789265</v>
      </c>
      <c r="AL174" s="152">
        <f t="shared" si="120"/>
        <v>10926878</v>
      </c>
      <c r="AM174" s="152">
        <f t="shared" si="120"/>
        <v>4028175</v>
      </c>
      <c r="AN174" s="153"/>
      <c r="AO174" s="154">
        <f>SUM(AO172:AO173)</f>
        <v>2430000</v>
      </c>
      <c r="AP174" s="41">
        <f>AO174/R174</f>
        <v>0.678391959798995</v>
      </c>
      <c r="AQ174" s="40">
        <f>-1+AO174/Q174</f>
        <v>-0.11636363636363634</v>
      </c>
      <c r="AR174" s="1"/>
      <c r="AS174" s="155">
        <f>T174+V174+Z174+AB174+AD174+AF174+AH174+AJ174+AO174</f>
        <v>5948675</v>
      </c>
      <c r="AT174" s="207">
        <f>AS174/(Q174+S174+U174+W174+Y174+AA174+AC174+AE174+AG174+AI174)</f>
        <v>0.5513512736965864</v>
      </c>
      <c r="AU174" s="156">
        <f>SUM(AU172:AU173)</f>
        <v>4840590</v>
      </c>
      <c r="AV174" s="215">
        <f>AS174/AM174</f>
        <v>1.4767667740353883</v>
      </c>
      <c r="AW174" s="216">
        <f>SUM(AW172:AW173)</f>
        <v>979500</v>
      </c>
      <c r="AX174" s="210">
        <f>SUM(AX172:AX173)</f>
        <v>4078331</v>
      </c>
      <c r="AY174" s="88"/>
      <c r="AZ174" s="158"/>
      <c r="BA174" s="158"/>
      <c r="BB174" s="88"/>
      <c r="BC174" s="160">
        <f>SUM(BC172:BC173)</f>
        <v>357181</v>
      </c>
      <c r="BD174" s="160">
        <f>SUM(BD167:BD173)</f>
        <v>2275748.3000000007</v>
      </c>
      <c r="BE174" s="161">
        <f>SUM(BE172:BE173)</f>
        <v>494904</v>
      </c>
      <c r="BF174" s="160"/>
      <c r="BG174" s="161">
        <f>SUM(BG172:BG173)</f>
        <v>240432.7999999998</v>
      </c>
      <c r="BH174" s="161">
        <f>SUM(BH172:BH173)</f>
        <v>494904</v>
      </c>
      <c r="BI174" s="57">
        <f>SUM(BI172:BI173)</f>
        <v>575000</v>
      </c>
      <c r="BJ174" s="162"/>
      <c r="BK174" s="162"/>
      <c r="BL174" s="97">
        <f t="shared" si="94"/>
        <v>0.8997277759456948</v>
      </c>
      <c r="BM174" s="98"/>
      <c r="BN174" s="82"/>
      <c r="BO174" s="82"/>
      <c r="BP174" s="82"/>
      <c r="BQ174" s="161">
        <f>SUM(BQ172:BQ173)</f>
        <v>932181</v>
      </c>
      <c r="BR174" s="101"/>
      <c r="BS174" s="161">
        <f t="shared" si="97"/>
        <v>3755163</v>
      </c>
      <c r="BT174" s="161">
        <f t="shared" si="98"/>
        <v>3362181</v>
      </c>
      <c r="BU174" s="163">
        <f t="shared" si="99"/>
        <v>-0.10465111634301894</v>
      </c>
      <c r="BV174" s="67"/>
    </row>
    <row r="175" spans="1:74" ht="7.5" customHeight="1" thickBot="1">
      <c r="A175" s="251"/>
      <c r="B175" s="251"/>
      <c r="C175" s="251"/>
      <c r="D175" s="251"/>
      <c r="E175" s="2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97"/>
      <c r="AQ175" s="97"/>
      <c r="AR175" s="97"/>
      <c r="AS175" s="164"/>
      <c r="AT175" s="82"/>
      <c r="AU175" s="165"/>
      <c r="AV175" s="215"/>
      <c r="AW175" s="164"/>
      <c r="AX175" s="165"/>
      <c r="AY175" s="88"/>
      <c r="AZ175" s="158"/>
      <c r="BA175" s="158"/>
      <c r="BB175" s="88"/>
      <c r="BC175" s="169"/>
      <c r="BD175" s="169"/>
      <c r="BE175" s="101"/>
      <c r="BF175" s="219"/>
      <c r="BG175" s="101"/>
      <c r="BH175" s="101"/>
      <c r="BI175" s="220"/>
      <c r="BJ175" s="162"/>
      <c r="BK175" s="162"/>
      <c r="BL175" s="97" t="e">
        <f t="shared" si="94"/>
        <v>#DIV/0!</v>
      </c>
      <c r="BM175" s="98"/>
      <c r="BN175" s="82"/>
      <c r="BO175" s="82"/>
      <c r="BP175" s="82"/>
      <c r="BQ175" s="101"/>
      <c r="BR175" s="101"/>
      <c r="BS175" s="101"/>
      <c r="BT175" s="101"/>
      <c r="BU175" s="221"/>
      <c r="BV175" s="67"/>
    </row>
    <row r="176" spans="1:74" ht="57.75" thickBot="1">
      <c r="A176" s="312">
        <v>26538377</v>
      </c>
      <c r="B176" s="313" t="s">
        <v>236</v>
      </c>
      <c r="C176" s="313" t="s">
        <v>47</v>
      </c>
      <c r="D176" s="313" t="s">
        <v>237</v>
      </c>
      <c r="E176" s="313" t="s">
        <v>238</v>
      </c>
      <c r="F176" s="315"/>
      <c r="G176" s="314">
        <v>0</v>
      </c>
      <c r="H176" s="314">
        <v>70</v>
      </c>
      <c r="I176" s="314">
        <v>0</v>
      </c>
      <c r="J176" s="314">
        <v>0</v>
      </c>
      <c r="K176" s="314">
        <v>0</v>
      </c>
      <c r="L176" s="314">
        <v>0</v>
      </c>
      <c r="M176" s="314">
        <v>0</v>
      </c>
      <c r="N176" s="314">
        <v>2</v>
      </c>
      <c r="O176" s="314">
        <v>2</v>
      </c>
      <c r="P176" s="336" t="s">
        <v>287</v>
      </c>
      <c r="Q176" s="317">
        <v>0</v>
      </c>
      <c r="R176" s="317">
        <v>269912</v>
      </c>
      <c r="S176" s="317">
        <v>57921</v>
      </c>
      <c r="T176" s="317">
        <v>24429</v>
      </c>
      <c r="U176" s="317">
        <v>0</v>
      </c>
      <c r="V176" s="317">
        <v>0</v>
      </c>
      <c r="W176" s="317">
        <v>57921</v>
      </c>
      <c r="X176" s="317">
        <v>59429</v>
      </c>
      <c r="Y176" s="317">
        <v>0</v>
      </c>
      <c r="Z176" s="317">
        <v>30000</v>
      </c>
      <c r="AA176" s="317">
        <v>0</v>
      </c>
      <c r="AB176" s="317">
        <v>0</v>
      </c>
      <c r="AC176" s="317">
        <v>0</v>
      </c>
      <c r="AD176" s="317">
        <v>0</v>
      </c>
      <c r="AE176" s="317">
        <v>0</v>
      </c>
      <c r="AF176" s="317">
        <v>0</v>
      </c>
      <c r="AG176" s="317">
        <v>463368</v>
      </c>
      <c r="AH176" s="317">
        <v>195440</v>
      </c>
      <c r="AI176" s="317">
        <v>0</v>
      </c>
      <c r="AJ176" s="317">
        <v>0</v>
      </c>
      <c r="AK176" s="317"/>
      <c r="AL176" s="317">
        <v>579210</v>
      </c>
      <c r="AM176" s="318">
        <v>579210</v>
      </c>
      <c r="AN176" s="240"/>
      <c r="AO176" s="341">
        <v>269000</v>
      </c>
      <c r="AP176" s="320">
        <f aca="true" t="shared" si="121" ref="AP176:AP185">AO176/R176</f>
        <v>0.9966211209579419</v>
      </c>
      <c r="AQ176" s="157"/>
      <c r="AR176" s="82"/>
      <c r="AS176" s="319">
        <f t="shared" si="103"/>
        <v>518869</v>
      </c>
      <c r="AT176" s="42">
        <f t="shared" si="104"/>
        <v>0.8958218953402047</v>
      </c>
      <c r="AU176" s="156">
        <f t="shared" si="105"/>
        <v>60341</v>
      </c>
      <c r="AV176" s="320">
        <f t="shared" si="106"/>
        <v>0.8958218953402047</v>
      </c>
      <c r="AW176" s="321">
        <f>IF(AS176&lt;AM176,AM176-AS176,0)</f>
        <v>60341</v>
      </c>
      <c r="AX176" s="156">
        <f>IF(W176&gt;AU176,0,AU176-W176)</f>
        <v>2420</v>
      </c>
      <c r="AY176" s="88"/>
      <c r="AZ176" s="322">
        <f>$AO176/N176</f>
        <v>134500</v>
      </c>
      <c r="BA176" s="323">
        <f>$AO176/O176</f>
        <v>134500</v>
      </c>
      <c r="BB176" s="88"/>
      <c r="BC176" s="324">
        <v>40545</v>
      </c>
      <c r="BD176" s="160"/>
      <c r="BE176" s="217">
        <f t="shared" si="100"/>
        <v>0</v>
      </c>
      <c r="BF176" s="325">
        <f>(BE176+BC176+AO176)/(Q176+W176)</f>
        <v>5.344262012050897</v>
      </c>
      <c r="BG176" s="217"/>
      <c r="BH176" s="161">
        <v>0</v>
      </c>
      <c r="BI176" s="57">
        <v>0</v>
      </c>
      <c r="BJ176" s="326" t="s">
        <v>239</v>
      </c>
      <c r="BK176" s="327" t="s">
        <v>56</v>
      </c>
      <c r="BL176" s="97">
        <f t="shared" si="94"/>
        <v>2.883013069525733</v>
      </c>
      <c r="BM176" s="98"/>
      <c r="BN176" s="328">
        <f>($BI176+$BC176+$AO176+$AJ176+$AH176+$AF176+$AD176+$AB176+$Z176+$V176+$T176)/$AL176</f>
        <v>0.9658224132870634</v>
      </c>
      <c r="BO176" s="328">
        <f t="shared" si="95"/>
        <v>0.9658224132870634</v>
      </c>
      <c r="BP176" s="82"/>
      <c r="BQ176" s="161">
        <f t="shared" si="96"/>
        <v>40545</v>
      </c>
      <c r="BR176" s="101"/>
      <c r="BS176" s="161">
        <f t="shared" si="97"/>
        <v>57921</v>
      </c>
      <c r="BT176" s="161">
        <f t="shared" si="98"/>
        <v>309545</v>
      </c>
      <c r="BU176" s="163">
        <f t="shared" si="99"/>
        <v>4.344262012050897</v>
      </c>
      <c r="BV176" s="70" t="s">
        <v>350</v>
      </c>
    </row>
    <row r="177" spans="1:74" ht="7.5" customHeight="1" thickBot="1">
      <c r="A177" s="251"/>
      <c r="B177" s="251"/>
      <c r="C177" s="251"/>
      <c r="D177" s="251"/>
      <c r="E177" s="251"/>
      <c r="F177" s="88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97"/>
      <c r="AQ177" s="97"/>
      <c r="AR177" s="97"/>
      <c r="AS177" s="164"/>
      <c r="AT177" s="82"/>
      <c r="AU177" s="165"/>
      <c r="AV177" s="215"/>
      <c r="AW177" s="164"/>
      <c r="AX177" s="165"/>
      <c r="AY177" s="88"/>
      <c r="AZ177" s="158"/>
      <c r="BA177" s="158"/>
      <c r="BB177" s="88"/>
      <c r="BC177" s="169"/>
      <c r="BD177" s="169"/>
      <c r="BE177" s="101"/>
      <c r="BF177" s="219"/>
      <c r="BG177" s="101"/>
      <c r="BH177" s="101"/>
      <c r="BI177" s="220"/>
      <c r="BJ177" s="162"/>
      <c r="BK177" s="162"/>
      <c r="BL177" s="97" t="e">
        <f t="shared" si="94"/>
        <v>#DIV/0!</v>
      </c>
      <c r="BM177" s="98"/>
      <c r="BN177" s="82"/>
      <c r="BO177" s="82"/>
      <c r="BP177" s="82"/>
      <c r="BQ177" s="101"/>
      <c r="BR177" s="101"/>
      <c r="BS177" s="101"/>
      <c r="BT177" s="101"/>
      <c r="BU177" s="221"/>
      <c r="BV177" s="67"/>
    </row>
    <row r="178" spans="1:74" ht="71.25">
      <c r="A178" s="72">
        <v>49545957</v>
      </c>
      <c r="B178" s="73" t="s">
        <v>240</v>
      </c>
      <c r="C178" s="73" t="s">
        <v>47</v>
      </c>
      <c r="D178" s="73" t="s">
        <v>241</v>
      </c>
      <c r="E178" s="73" t="s">
        <v>242</v>
      </c>
      <c r="F178" s="74">
        <v>7979879</v>
      </c>
      <c r="G178" s="246"/>
      <c r="H178" s="74">
        <v>150</v>
      </c>
      <c r="I178" s="74">
        <v>45</v>
      </c>
      <c r="J178" s="74">
        <v>32</v>
      </c>
      <c r="K178" s="74">
        <v>24</v>
      </c>
      <c r="L178" s="74">
        <v>2</v>
      </c>
      <c r="M178" s="74">
        <v>47</v>
      </c>
      <c r="N178" s="74">
        <v>8</v>
      </c>
      <c r="O178" s="74">
        <v>7</v>
      </c>
      <c r="P178" s="175" t="s">
        <v>303</v>
      </c>
      <c r="Q178" s="76">
        <v>1150000</v>
      </c>
      <c r="R178" s="76">
        <v>250000</v>
      </c>
      <c r="S178" s="76">
        <v>0</v>
      </c>
      <c r="T178" s="76">
        <v>0</v>
      </c>
      <c r="U178" s="76">
        <v>0</v>
      </c>
      <c r="V178" s="76">
        <v>0</v>
      </c>
      <c r="W178" s="311">
        <v>0</v>
      </c>
      <c r="X178" s="76">
        <v>50000</v>
      </c>
      <c r="Y178" s="76">
        <v>297000</v>
      </c>
      <c r="Z178" s="76">
        <v>20000</v>
      </c>
      <c r="AA178" s="76">
        <v>287487</v>
      </c>
      <c r="AB178" s="76">
        <v>0</v>
      </c>
      <c r="AC178" s="76">
        <v>310000</v>
      </c>
      <c r="AD178" s="76">
        <v>0</v>
      </c>
      <c r="AE178" s="76">
        <v>0</v>
      </c>
      <c r="AF178" s="76">
        <v>0</v>
      </c>
      <c r="AG178" s="76">
        <v>0</v>
      </c>
      <c r="AH178" s="76">
        <v>0</v>
      </c>
      <c r="AI178" s="76">
        <v>350000</v>
      </c>
      <c r="AJ178" s="76">
        <v>0</v>
      </c>
      <c r="AK178" s="76"/>
      <c r="AL178" s="76">
        <v>2394487</v>
      </c>
      <c r="AM178" s="77">
        <v>320000</v>
      </c>
      <c r="AN178" s="78"/>
      <c r="AO178" s="342">
        <v>0</v>
      </c>
      <c r="AP178" s="222">
        <f t="shared" si="121"/>
        <v>0</v>
      </c>
      <c r="AQ178" s="81">
        <f>-1+AO178/Q178</f>
        <v>-1</v>
      </c>
      <c r="AR178" s="82"/>
      <c r="AS178" s="176">
        <f t="shared" si="103"/>
        <v>20000</v>
      </c>
      <c r="AT178" s="177">
        <f t="shared" si="104"/>
        <v>0.008352519767282095</v>
      </c>
      <c r="AU178" s="85">
        <f t="shared" si="105"/>
        <v>2374487</v>
      </c>
      <c r="AV178" s="86">
        <f t="shared" si="106"/>
        <v>0.0625</v>
      </c>
      <c r="AW178" s="178">
        <f>IF(AS178&lt;AM178,AM178-AS178,0)</f>
        <v>300000</v>
      </c>
      <c r="AX178" s="85">
        <f>IF(W178&gt;AU178,0,AU178-W178)</f>
        <v>2374487</v>
      </c>
      <c r="AY178" s="88"/>
      <c r="AZ178" s="89">
        <f>$AO178/N178</f>
        <v>0</v>
      </c>
      <c r="BA178" s="90">
        <f>$AO178/O178</f>
        <v>0</v>
      </c>
      <c r="BB178" s="88"/>
      <c r="BC178" s="179">
        <v>0</v>
      </c>
      <c r="BD178" s="224">
        <f>(Q178+W178)*1.1-AO178-BC178</f>
        <v>1265000</v>
      </c>
      <c r="BE178" s="225">
        <v>0</v>
      </c>
      <c r="BF178" s="226">
        <f>(BE178+BC178+AO178)/(Q178+W178)</f>
        <v>0</v>
      </c>
      <c r="BG178" s="225">
        <v>0</v>
      </c>
      <c r="BH178" s="100">
        <v>0</v>
      </c>
      <c r="BI178" s="180">
        <v>0</v>
      </c>
      <c r="BJ178" s="227" t="s">
        <v>244</v>
      </c>
      <c r="BK178" s="182" t="s">
        <v>56</v>
      </c>
      <c r="BL178" s="97">
        <f t="shared" si="94"/>
        <v>0</v>
      </c>
      <c r="BM178" s="98"/>
      <c r="BN178" s="99">
        <f>($BI178+$BC178+$AO178+$AJ178+$AH178+$AF178+$AD178+$AB178+$Z178+$V178+$T178)/$AL178</f>
        <v>0.008352519767282095</v>
      </c>
      <c r="BO178" s="99">
        <f t="shared" si="95"/>
        <v>0.0625</v>
      </c>
      <c r="BP178" s="82"/>
      <c r="BQ178" s="100">
        <f t="shared" si="96"/>
        <v>0</v>
      </c>
      <c r="BR178" s="101"/>
      <c r="BS178" s="100">
        <f t="shared" si="97"/>
        <v>1150000</v>
      </c>
      <c r="BT178" s="100">
        <f t="shared" si="98"/>
        <v>0</v>
      </c>
      <c r="BU178" s="102">
        <f t="shared" si="99"/>
        <v>-1</v>
      </c>
      <c r="BV178" s="64" t="s">
        <v>378</v>
      </c>
    </row>
    <row r="179" spans="1:74" ht="129" thickBot="1">
      <c r="A179" s="125">
        <v>62797549</v>
      </c>
      <c r="B179" s="126" t="s">
        <v>131</v>
      </c>
      <c r="C179" s="126" t="s">
        <v>47</v>
      </c>
      <c r="D179" s="126" t="s">
        <v>241</v>
      </c>
      <c r="E179" s="126" t="s">
        <v>243</v>
      </c>
      <c r="F179" s="127">
        <v>9959954</v>
      </c>
      <c r="G179" s="281"/>
      <c r="H179" s="127">
        <v>100</v>
      </c>
      <c r="I179" s="127">
        <v>60</v>
      </c>
      <c r="J179" s="127">
        <v>30</v>
      </c>
      <c r="K179" s="127">
        <v>10</v>
      </c>
      <c r="L179" s="127">
        <v>0</v>
      </c>
      <c r="M179" s="127">
        <v>0</v>
      </c>
      <c r="N179" s="127">
        <v>7.1</v>
      </c>
      <c r="O179" s="127">
        <v>5</v>
      </c>
      <c r="P179" s="242" t="s">
        <v>280</v>
      </c>
      <c r="Q179" s="129">
        <v>1010000</v>
      </c>
      <c r="R179" s="129">
        <v>1774305</v>
      </c>
      <c r="S179" s="129">
        <v>0</v>
      </c>
      <c r="T179" s="129">
        <v>0</v>
      </c>
      <c r="U179" s="129">
        <v>0</v>
      </c>
      <c r="V179" s="129">
        <v>0</v>
      </c>
      <c r="W179" s="129">
        <v>329375</v>
      </c>
      <c r="X179" s="129">
        <v>260000</v>
      </c>
      <c r="Y179" s="129">
        <v>85000</v>
      </c>
      <c r="Z179" s="129">
        <v>50000</v>
      </c>
      <c r="AA179" s="129">
        <v>0</v>
      </c>
      <c r="AB179" s="129">
        <v>0</v>
      </c>
      <c r="AC179" s="129">
        <v>162249</v>
      </c>
      <c r="AD179" s="129">
        <v>175000</v>
      </c>
      <c r="AE179" s="129">
        <v>0</v>
      </c>
      <c r="AF179" s="129">
        <v>0</v>
      </c>
      <c r="AG179" s="129">
        <v>0</v>
      </c>
      <c r="AH179" s="129">
        <v>0</v>
      </c>
      <c r="AI179" s="129">
        <v>214484</v>
      </c>
      <c r="AJ179" s="129">
        <v>5695</v>
      </c>
      <c r="AK179" s="129"/>
      <c r="AL179" s="129">
        <v>1801108</v>
      </c>
      <c r="AM179" s="130">
        <v>2265000</v>
      </c>
      <c r="AN179" s="78"/>
      <c r="AO179" s="349">
        <v>1111000</v>
      </c>
      <c r="AP179" s="135">
        <f t="shared" si="121"/>
        <v>0.626160665725453</v>
      </c>
      <c r="AQ179" s="131">
        <f>-1+AO179/Q179</f>
        <v>0.10000000000000009</v>
      </c>
      <c r="AR179" s="82"/>
      <c r="AS179" s="132">
        <f t="shared" si="103"/>
        <v>1341695</v>
      </c>
      <c r="AT179" s="337">
        <f t="shared" si="104"/>
        <v>0.7449275668088754</v>
      </c>
      <c r="AU179" s="134">
        <f t="shared" si="105"/>
        <v>459413</v>
      </c>
      <c r="AV179" s="135">
        <f t="shared" si="106"/>
        <v>0.5923598233995585</v>
      </c>
      <c r="AW179" s="248">
        <f>IF(AS179&lt;AM179,AM179-AS179,0)</f>
        <v>923305</v>
      </c>
      <c r="AX179" s="249">
        <f>IF(W179&gt;AU179,0,AU179-W179)</f>
        <v>130038</v>
      </c>
      <c r="AY179" s="88"/>
      <c r="AZ179" s="137">
        <f>$AO179/N179</f>
        <v>156478.87323943662</v>
      </c>
      <c r="BA179" s="138">
        <f>$AO179/O179</f>
        <v>222200</v>
      </c>
      <c r="BB179" s="88"/>
      <c r="BC179" s="287">
        <v>230563</v>
      </c>
      <c r="BD179" s="159">
        <f>(Q179+W179)*1.1-AO179-BC179</f>
        <v>131749.50000000023</v>
      </c>
      <c r="BE179" s="230">
        <f t="shared" si="100"/>
        <v>29437</v>
      </c>
      <c r="BF179" s="231">
        <f>(BE179+BC179+AO179)/(Q179+W179)</f>
        <v>1.0236117592160523</v>
      </c>
      <c r="BG179" s="230"/>
      <c r="BH179" s="147">
        <v>29437</v>
      </c>
      <c r="BI179" s="232">
        <v>60000</v>
      </c>
      <c r="BJ179" s="144" t="s">
        <v>244</v>
      </c>
      <c r="BK179" s="145" t="s">
        <v>56</v>
      </c>
      <c r="BL179" s="97">
        <f t="shared" si="94"/>
        <v>1.0236117592160523</v>
      </c>
      <c r="BM179" s="98"/>
      <c r="BN179" s="146">
        <f>($BI179+$BC179+$AO179+$AJ179+$AH179+$AF179+$AD179+$AB179+$Z179+$V179+$T179)/$AL179</f>
        <v>0.9062521514534386</v>
      </c>
      <c r="BO179" s="146">
        <f t="shared" si="95"/>
        <v>0.7206437086092715</v>
      </c>
      <c r="BP179" s="82"/>
      <c r="BQ179" s="147">
        <f t="shared" si="96"/>
        <v>290563</v>
      </c>
      <c r="BR179" s="101"/>
      <c r="BS179" s="147">
        <f t="shared" si="97"/>
        <v>1339375</v>
      </c>
      <c r="BT179" s="147">
        <f t="shared" si="98"/>
        <v>1401563</v>
      </c>
      <c r="BU179" s="235">
        <f t="shared" si="99"/>
        <v>0.046430611292580526</v>
      </c>
      <c r="BV179" s="66" t="s">
        <v>379</v>
      </c>
    </row>
    <row r="180" spans="1:74" ht="15" thickBot="1">
      <c r="A180" s="167" t="s">
        <v>61</v>
      </c>
      <c r="B180" s="71"/>
      <c r="C180" s="71"/>
      <c r="D180" s="71"/>
      <c r="E180" s="7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4">
        <f>SUM(Q178:Q179)</f>
        <v>2160000</v>
      </c>
      <c r="R180" s="152">
        <f aca="true" t="shared" si="122" ref="R180:AM180">SUM(R178:R179)</f>
        <v>2024305</v>
      </c>
      <c r="S180" s="152">
        <f t="shared" si="122"/>
        <v>0</v>
      </c>
      <c r="T180" s="152">
        <f t="shared" si="122"/>
        <v>0</v>
      </c>
      <c r="U180" s="152">
        <f t="shared" si="122"/>
        <v>0</v>
      </c>
      <c r="V180" s="152">
        <f t="shared" si="122"/>
        <v>0</v>
      </c>
      <c r="W180" s="152">
        <f t="shared" si="122"/>
        <v>329375</v>
      </c>
      <c r="X180" s="152">
        <f t="shared" si="122"/>
        <v>310000</v>
      </c>
      <c r="Y180" s="152">
        <f t="shared" si="122"/>
        <v>382000</v>
      </c>
      <c r="Z180" s="152">
        <f t="shared" si="122"/>
        <v>70000</v>
      </c>
      <c r="AA180" s="152">
        <f t="shared" si="122"/>
        <v>287487</v>
      </c>
      <c r="AB180" s="152">
        <f t="shared" si="122"/>
        <v>0</v>
      </c>
      <c r="AC180" s="152">
        <f t="shared" si="122"/>
        <v>472249</v>
      </c>
      <c r="AD180" s="152">
        <f t="shared" si="122"/>
        <v>175000</v>
      </c>
      <c r="AE180" s="152">
        <f t="shared" si="122"/>
        <v>0</v>
      </c>
      <c r="AF180" s="152">
        <f t="shared" si="122"/>
        <v>0</v>
      </c>
      <c r="AG180" s="152">
        <f t="shared" si="122"/>
        <v>0</v>
      </c>
      <c r="AH180" s="152">
        <f t="shared" si="122"/>
        <v>0</v>
      </c>
      <c r="AI180" s="152">
        <f t="shared" si="122"/>
        <v>564484</v>
      </c>
      <c r="AJ180" s="152">
        <f t="shared" si="122"/>
        <v>5695</v>
      </c>
      <c r="AK180" s="152"/>
      <c r="AL180" s="152">
        <f t="shared" si="122"/>
        <v>4195595</v>
      </c>
      <c r="AM180" s="154">
        <f t="shared" si="122"/>
        <v>2585000</v>
      </c>
      <c r="AN180" s="153"/>
      <c r="AO180" s="154">
        <f>SUM(AO178:AO179)</f>
        <v>1111000</v>
      </c>
      <c r="AP180" s="41">
        <f t="shared" si="121"/>
        <v>0.5488303393016368</v>
      </c>
      <c r="AQ180" s="40">
        <f>-1+AO180/Q180</f>
        <v>-0.48564814814814816</v>
      </c>
      <c r="AR180" s="1"/>
      <c r="AS180" s="155">
        <f t="shared" si="103"/>
        <v>1361695</v>
      </c>
      <c r="AT180" s="42">
        <f t="shared" si="104"/>
        <v>0.32455349002942374</v>
      </c>
      <c r="AU180" s="156">
        <f>SUM(AU178:AU179)</f>
        <v>2833900</v>
      </c>
      <c r="AV180" s="215">
        <f t="shared" si="106"/>
        <v>0.5267678916827853</v>
      </c>
      <c r="AW180" s="216">
        <f>SUM(AW178:AW179)</f>
        <v>1223305</v>
      </c>
      <c r="AX180" s="210">
        <f>SUM(AX178:AX179)</f>
        <v>2504525</v>
      </c>
      <c r="AY180" s="88"/>
      <c r="AZ180" s="158"/>
      <c r="BA180" s="158"/>
      <c r="BB180" s="88"/>
      <c r="BC180" s="160">
        <f>SUM(BC178:BC179)</f>
        <v>230563</v>
      </c>
      <c r="BD180" s="160">
        <f>SUM(BD178:BD179)</f>
        <v>1396749.5000000002</v>
      </c>
      <c r="BE180" s="161">
        <f>SUM(BE178:BE179)</f>
        <v>29437</v>
      </c>
      <c r="BF180" s="160"/>
      <c r="BG180" s="161">
        <f>SUM(BG178:BG179)</f>
        <v>0</v>
      </c>
      <c r="BH180" s="161">
        <f>SUM(BH178:BH179)</f>
        <v>29437</v>
      </c>
      <c r="BI180" s="57">
        <f>SUM(BI178:BI179)</f>
        <v>60000</v>
      </c>
      <c r="BJ180" s="162"/>
      <c r="BK180" s="162"/>
      <c r="BL180" s="97">
        <f t="shared" si="94"/>
        <v>0.5507406477529501</v>
      </c>
      <c r="BM180" s="98"/>
      <c r="BN180" s="82"/>
      <c r="BO180" s="82"/>
      <c r="BP180" s="82"/>
      <c r="BQ180" s="161">
        <f>SUM(BQ178:BQ179)</f>
        <v>290563</v>
      </c>
      <c r="BR180" s="101"/>
      <c r="BS180" s="161">
        <f t="shared" si="97"/>
        <v>2489375</v>
      </c>
      <c r="BT180" s="161">
        <f t="shared" si="98"/>
        <v>1401563</v>
      </c>
      <c r="BU180" s="163">
        <f t="shared" si="99"/>
        <v>-0.43698197338689426</v>
      </c>
      <c r="BV180" s="67"/>
    </row>
    <row r="181" spans="1:74" ht="7.5" customHeight="1" thickBot="1">
      <c r="A181" s="149"/>
      <c r="B181" s="150"/>
      <c r="C181" s="150"/>
      <c r="D181" s="150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97"/>
      <c r="AQ181" s="97"/>
      <c r="AR181" s="97"/>
      <c r="AS181" s="164"/>
      <c r="AT181" s="82"/>
      <c r="AU181" s="165"/>
      <c r="AV181" s="215"/>
      <c r="AW181" s="164"/>
      <c r="AX181" s="165"/>
      <c r="AY181" s="88"/>
      <c r="AZ181" s="158"/>
      <c r="BA181" s="158"/>
      <c r="BB181" s="88"/>
      <c r="BC181" s="169"/>
      <c r="BD181" s="170"/>
      <c r="BE181" s="171"/>
      <c r="BF181" s="172"/>
      <c r="BG181" s="171"/>
      <c r="BH181" s="171"/>
      <c r="BI181" s="173"/>
      <c r="BJ181" s="162"/>
      <c r="BK181" s="162"/>
      <c r="BL181" s="97" t="e">
        <f t="shared" si="94"/>
        <v>#DIV/0!</v>
      </c>
      <c r="BM181" s="98"/>
      <c r="BN181" s="82"/>
      <c r="BO181" s="82"/>
      <c r="BP181" s="82"/>
      <c r="BQ181" s="171"/>
      <c r="BR181" s="101"/>
      <c r="BS181" s="171"/>
      <c r="BT181" s="171"/>
      <c r="BU181" s="174"/>
      <c r="BV181" s="67"/>
    </row>
    <row r="182" spans="1:74" ht="85.5">
      <c r="A182" s="72">
        <v>26304856</v>
      </c>
      <c r="B182" s="73" t="s">
        <v>52</v>
      </c>
      <c r="C182" s="73" t="s">
        <v>47</v>
      </c>
      <c r="D182" s="73" t="s">
        <v>245</v>
      </c>
      <c r="E182" s="73" t="s">
        <v>246</v>
      </c>
      <c r="F182" s="74">
        <v>7802232</v>
      </c>
      <c r="G182" s="74">
        <v>0</v>
      </c>
      <c r="H182" s="74">
        <v>9</v>
      </c>
      <c r="I182" s="74">
        <v>3</v>
      </c>
      <c r="J182" s="74">
        <v>3</v>
      </c>
      <c r="K182" s="74">
        <v>3</v>
      </c>
      <c r="L182" s="74">
        <v>0</v>
      </c>
      <c r="M182" s="74">
        <v>0</v>
      </c>
      <c r="N182" s="74">
        <v>0</v>
      </c>
      <c r="O182" s="74">
        <v>0</v>
      </c>
      <c r="P182" s="75" t="s">
        <v>280</v>
      </c>
      <c r="Q182" s="76">
        <v>5500</v>
      </c>
      <c r="R182" s="76">
        <v>35350</v>
      </c>
      <c r="S182" s="76">
        <v>0</v>
      </c>
      <c r="T182" s="76">
        <v>0</v>
      </c>
      <c r="U182" s="76">
        <v>0</v>
      </c>
      <c r="V182" s="76">
        <v>0</v>
      </c>
      <c r="W182" s="76">
        <v>3000</v>
      </c>
      <c r="X182" s="76">
        <v>2500</v>
      </c>
      <c r="Y182" s="76">
        <v>1000</v>
      </c>
      <c r="Z182" s="76">
        <v>1000</v>
      </c>
      <c r="AA182" s="76">
        <v>0</v>
      </c>
      <c r="AB182" s="76">
        <v>0</v>
      </c>
      <c r="AC182" s="76">
        <v>0</v>
      </c>
      <c r="AD182" s="76">
        <v>0</v>
      </c>
      <c r="AE182" s="76">
        <v>0</v>
      </c>
      <c r="AF182" s="76">
        <v>0</v>
      </c>
      <c r="AG182" s="76">
        <v>0</v>
      </c>
      <c r="AH182" s="76">
        <v>0</v>
      </c>
      <c r="AI182" s="76">
        <v>15500</v>
      </c>
      <c r="AJ182" s="76">
        <v>11650</v>
      </c>
      <c r="AK182" s="76"/>
      <c r="AL182" s="76">
        <v>25000</v>
      </c>
      <c r="AM182" s="77">
        <v>50500</v>
      </c>
      <c r="AN182" s="78"/>
      <c r="AO182" s="342">
        <v>0</v>
      </c>
      <c r="AP182" s="222">
        <f t="shared" si="121"/>
        <v>0</v>
      </c>
      <c r="AQ182" s="81">
        <f>-1+AO182/Q182</f>
        <v>-1</v>
      </c>
      <c r="AR182" s="82"/>
      <c r="AS182" s="176">
        <f t="shared" si="103"/>
        <v>12650</v>
      </c>
      <c r="AT182" s="177">
        <f t="shared" si="104"/>
        <v>0.506</v>
      </c>
      <c r="AU182" s="85">
        <f t="shared" si="105"/>
        <v>12350</v>
      </c>
      <c r="AV182" s="86">
        <f t="shared" si="106"/>
        <v>0.2504950495049505</v>
      </c>
      <c r="AW182" s="178">
        <f>IF(AS182&lt;AM182,AM182-AS182,0)</f>
        <v>37850</v>
      </c>
      <c r="AX182" s="85">
        <f>IF(W182&gt;AU182,0,AU182-W182)</f>
        <v>9350</v>
      </c>
      <c r="AY182" s="88"/>
      <c r="AZ182" s="89"/>
      <c r="BA182" s="90"/>
      <c r="BB182" s="88"/>
      <c r="BC182" s="179">
        <v>2100</v>
      </c>
      <c r="BD182" s="91">
        <f>(Q182+W182)*1.1-AO182-BC182</f>
        <v>7250</v>
      </c>
      <c r="BE182" s="92">
        <f t="shared" si="100"/>
        <v>400</v>
      </c>
      <c r="BF182" s="93">
        <f>(BE182+BC182+AO182)/(Q182+W182)</f>
        <v>0.29411764705882354</v>
      </c>
      <c r="BG182" s="92">
        <v>10000</v>
      </c>
      <c r="BH182" s="92">
        <v>10000</v>
      </c>
      <c r="BI182" s="94">
        <v>10000</v>
      </c>
      <c r="BJ182" s="227" t="s">
        <v>155</v>
      </c>
      <c r="BK182" s="182" t="s">
        <v>54</v>
      </c>
      <c r="BL182" s="97">
        <f t="shared" si="94"/>
        <v>1.423529411764706</v>
      </c>
      <c r="BM182" s="98"/>
      <c r="BN182" s="99">
        <f>($BI182+$BC182+$AO182+$AJ182+$AH182+$AF182+$AD182+$AB182+$Z182+$V182+$T182)/$AL182</f>
        <v>0.99</v>
      </c>
      <c r="BO182" s="99">
        <f t="shared" si="95"/>
        <v>0.4900990099009901</v>
      </c>
      <c r="BP182" s="82"/>
      <c r="BQ182" s="100">
        <f t="shared" si="96"/>
        <v>12100</v>
      </c>
      <c r="BR182" s="101"/>
      <c r="BS182" s="92">
        <f t="shared" si="97"/>
        <v>8500</v>
      </c>
      <c r="BT182" s="92">
        <f t="shared" si="98"/>
        <v>12100</v>
      </c>
      <c r="BU182" s="102">
        <f t="shared" si="99"/>
        <v>0.42352941176470593</v>
      </c>
      <c r="BV182" s="64" t="s">
        <v>380</v>
      </c>
    </row>
    <row r="183" spans="1:74" ht="57">
      <c r="A183" s="103">
        <v>66598940</v>
      </c>
      <c r="B183" s="104" t="s">
        <v>247</v>
      </c>
      <c r="C183" s="184" t="s">
        <v>47</v>
      </c>
      <c r="D183" s="104" t="s">
        <v>245</v>
      </c>
      <c r="E183" s="104" t="s">
        <v>248</v>
      </c>
      <c r="F183" s="105">
        <v>4541840</v>
      </c>
      <c r="G183" s="106"/>
      <c r="H183" s="105">
        <v>120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1.6</v>
      </c>
      <c r="O183" s="105">
        <v>0.5</v>
      </c>
      <c r="P183" s="107" t="s">
        <v>280</v>
      </c>
      <c r="Q183" s="108">
        <v>285600</v>
      </c>
      <c r="R183" s="108">
        <v>545780</v>
      </c>
      <c r="S183" s="108">
        <v>17000</v>
      </c>
      <c r="T183" s="108">
        <v>0</v>
      </c>
      <c r="U183" s="108">
        <v>0</v>
      </c>
      <c r="V183" s="108">
        <v>0</v>
      </c>
      <c r="W183" s="108">
        <v>80000</v>
      </c>
      <c r="X183" s="108">
        <v>60000</v>
      </c>
      <c r="Y183" s="108">
        <v>88481</v>
      </c>
      <c r="Z183" s="108">
        <v>120000</v>
      </c>
      <c r="AA183" s="108">
        <v>0</v>
      </c>
      <c r="AB183" s="108">
        <v>0</v>
      </c>
      <c r="AC183" s="108">
        <v>3780</v>
      </c>
      <c r="AD183" s="108">
        <v>4620</v>
      </c>
      <c r="AE183" s="108">
        <v>0</v>
      </c>
      <c r="AF183" s="108">
        <v>0</v>
      </c>
      <c r="AG183" s="108">
        <v>0</v>
      </c>
      <c r="AH183" s="108">
        <v>0</v>
      </c>
      <c r="AI183" s="108">
        <v>84155</v>
      </c>
      <c r="AJ183" s="108">
        <v>45000</v>
      </c>
      <c r="AK183" s="108"/>
      <c r="AL183" s="108">
        <v>559016</v>
      </c>
      <c r="AM183" s="109">
        <v>775400</v>
      </c>
      <c r="AN183" s="78"/>
      <c r="AO183" s="348">
        <v>545000</v>
      </c>
      <c r="AP183" s="192">
        <f t="shared" si="121"/>
        <v>0.998570852724541</v>
      </c>
      <c r="AQ183" s="112">
        <f>-1+AO183/Q183</f>
        <v>0.908263305322129</v>
      </c>
      <c r="AR183" s="82"/>
      <c r="AS183" s="113">
        <f t="shared" si="103"/>
        <v>714620</v>
      </c>
      <c r="AT183" s="114">
        <f t="shared" si="104"/>
        <v>1.2783533923894843</v>
      </c>
      <c r="AU183" s="115">
        <f t="shared" si="105"/>
        <v>0</v>
      </c>
      <c r="AV183" s="86">
        <f t="shared" si="106"/>
        <v>0.9216146505029662</v>
      </c>
      <c r="AW183" s="185">
        <f>IF(AS183&lt;AM183,AM183-AS183,0)</f>
        <v>60780</v>
      </c>
      <c r="AX183" s="186">
        <f>IF(W183&gt;AU183,0,AU183-W183)</f>
        <v>0</v>
      </c>
      <c r="AY183" s="88"/>
      <c r="AZ183" s="117">
        <f>$AO183/N183</f>
        <v>340625</v>
      </c>
      <c r="BA183" s="118">
        <f>$AO183/O183</f>
        <v>1090000</v>
      </c>
      <c r="BB183" s="88"/>
      <c r="BC183" s="187">
        <v>0</v>
      </c>
      <c r="BD183" s="91"/>
      <c r="BE183" s="92">
        <f t="shared" si="100"/>
        <v>0</v>
      </c>
      <c r="BF183" s="93">
        <f>(BE183+BC183+AO183)/(Q183+W183)</f>
        <v>1.4907002188183807</v>
      </c>
      <c r="BG183" s="92"/>
      <c r="BH183" s="92">
        <v>0</v>
      </c>
      <c r="BI183" s="94">
        <v>0</v>
      </c>
      <c r="BJ183" s="120" t="s">
        <v>155</v>
      </c>
      <c r="BK183" s="121" t="s">
        <v>56</v>
      </c>
      <c r="BL183" s="97">
        <f aca="true" t="shared" si="123" ref="BL183:BL189">(BH183+BC183+AO183+T183)/(Q183+S183+W183)</f>
        <v>1.4244641923680084</v>
      </c>
      <c r="BM183" s="98"/>
      <c r="BN183" s="122">
        <f>($BI183+$BC183+$AO183+$AJ183+$AH183+$AF183+$AD183+$AB183+$Z183+$V183+$T183)/$AL183</f>
        <v>1.2783533923894843</v>
      </c>
      <c r="BO183" s="122">
        <f aca="true" t="shared" si="124" ref="BO183:BO188">($BI183+$BC183+$AO183+$AJ183+$AH183+$AF183+$AD183+$AB183+$Z183+$V183+$T183)/$AM183</f>
        <v>0.9216146505029662</v>
      </c>
      <c r="BP183" s="82"/>
      <c r="BQ183" s="123">
        <f aca="true" t="shared" si="125" ref="BQ183:BQ189">BC183+BI183</f>
        <v>0</v>
      </c>
      <c r="BR183" s="101"/>
      <c r="BS183" s="92">
        <f aca="true" t="shared" si="126" ref="BS183:BS189">Q183+W183</f>
        <v>365600</v>
      </c>
      <c r="BT183" s="92">
        <f aca="true" t="shared" si="127" ref="BT183:BT189">AO183+BQ183</f>
        <v>545000</v>
      </c>
      <c r="BU183" s="124">
        <f aca="true" t="shared" si="128" ref="BU183:BU189">-1+BT183/BS183</f>
        <v>0.49070021881838066</v>
      </c>
      <c r="BV183" s="65" t="s">
        <v>350</v>
      </c>
    </row>
    <row r="184" spans="1:74" ht="57">
      <c r="A184" s="103">
        <v>70955751</v>
      </c>
      <c r="B184" s="104" t="s">
        <v>166</v>
      </c>
      <c r="C184" s="104" t="s">
        <v>47</v>
      </c>
      <c r="D184" s="104" t="s">
        <v>245</v>
      </c>
      <c r="E184" s="104" t="s">
        <v>249</v>
      </c>
      <c r="F184" s="105">
        <v>8880550</v>
      </c>
      <c r="G184" s="106"/>
      <c r="H184" s="105">
        <v>110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1.5</v>
      </c>
      <c r="O184" s="105">
        <v>0.7</v>
      </c>
      <c r="P184" s="107" t="s">
        <v>280</v>
      </c>
      <c r="Q184" s="108">
        <v>66000</v>
      </c>
      <c r="R184" s="108">
        <v>498600</v>
      </c>
      <c r="S184" s="108">
        <v>0</v>
      </c>
      <c r="T184" s="108">
        <v>0</v>
      </c>
      <c r="U184" s="108">
        <v>0</v>
      </c>
      <c r="V184" s="108">
        <v>0</v>
      </c>
      <c r="W184" s="108">
        <v>0</v>
      </c>
      <c r="X184" s="108">
        <v>0</v>
      </c>
      <c r="Y184" s="108">
        <v>0</v>
      </c>
      <c r="Z184" s="108">
        <v>0</v>
      </c>
      <c r="AA184" s="108">
        <v>133000</v>
      </c>
      <c r="AB184" s="108">
        <v>0</v>
      </c>
      <c r="AC184" s="108">
        <v>0</v>
      </c>
      <c r="AD184" s="108">
        <v>0</v>
      </c>
      <c r="AE184" s="108">
        <v>0</v>
      </c>
      <c r="AF184" s="108">
        <v>0</v>
      </c>
      <c r="AG184" s="108">
        <v>0</v>
      </c>
      <c r="AH184" s="108">
        <v>0</v>
      </c>
      <c r="AI184" s="108">
        <v>0</v>
      </c>
      <c r="AJ184" s="108">
        <v>0</v>
      </c>
      <c r="AK184" s="108"/>
      <c r="AL184" s="108">
        <v>199000</v>
      </c>
      <c r="AM184" s="109">
        <v>498600</v>
      </c>
      <c r="AN184" s="78"/>
      <c r="AO184" s="348">
        <v>498000</v>
      </c>
      <c r="AP184" s="192">
        <f t="shared" si="121"/>
        <v>0.9987966305655837</v>
      </c>
      <c r="AQ184" s="112">
        <f>-1+AO184/Q184</f>
        <v>6.545454545454546</v>
      </c>
      <c r="AR184" s="82"/>
      <c r="AS184" s="113">
        <f t="shared" si="103"/>
        <v>498000</v>
      </c>
      <c r="AT184" s="114">
        <f t="shared" si="104"/>
        <v>2.5025125628140703</v>
      </c>
      <c r="AU184" s="115">
        <f t="shared" si="105"/>
        <v>0</v>
      </c>
      <c r="AV184" s="86">
        <f t="shared" si="106"/>
        <v>0.9987966305655837</v>
      </c>
      <c r="AW184" s="185">
        <f>IF(AS184&lt;AM184,AM184-AS184,0)</f>
        <v>600</v>
      </c>
      <c r="AX184" s="186">
        <f>IF(W184&gt;AU184,0,AU184-W184)</f>
        <v>0</v>
      </c>
      <c r="AY184" s="88"/>
      <c r="AZ184" s="117">
        <f>$AO184/N184</f>
        <v>332000</v>
      </c>
      <c r="BA184" s="118">
        <f>$AO184/O184</f>
        <v>711428.5714285715</v>
      </c>
      <c r="BB184" s="88"/>
      <c r="BC184" s="187">
        <v>0</v>
      </c>
      <c r="BD184" s="91"/>
      <c r="BE184" s="92">
        <f t="shared" si="100"/>
        <v>0</v>
      </c>
      <c r="BF184" s="93">
        <f>(BE184+BC184+AO184)/(Q184+W184)</f>
        <v>7.545454545454546</v>
      </c>
      <c r="BG184" s="92"/>
      <c r="BH184" s="92">
        <v>0</v>
      </c>
      <c r="BI184" s="94">
        <v>0</v>
      </c>
      <c r="BJ184" s="120" t="s">
        <v>155</v>
      </c>
      <c r="BK184" s="121" t="s">
        <v>56</v>
      </c>
      <c r="BL184" s="97">
        <f t="shared" si="123"/>
        <v>7.545454545454546</v>
      </c>
      <c r="BM184" s="98"/>
      <c r="BN184" s="122">
        <f>($BI184+$BC184+$AO184+$AJ184+$AH184+$AF184+$AD184+$AB184+$Z184+$V184+$T184)/$AL184</f>
        <v>2.5025125628140703</v>
      </c>
      <c r="BO184" s="122">
        <f t="shared" si="124"/>
        <v>0.9987966305655837</v>
      </c>
      <c r="BP184" s="82"/>
      <c r="BQ184" s="123">
        <f t="shared" si="125"/>
        <v>0</v>
      </c>
      <c r="BR184" s="101"/>
      <c r="BS184" s="92">
        <f t="shared" si="126"/>
        <v>66000</v>
      </c>
      <c r="BT184" s="92">
        <f t="shared" si="127"/>
        <v>498000</v>
      </c>
      <c r="BU184" s="124">
        <f t="shared" si="128"/>
        <v>6.545454545454546</v>
      </c>
      <c r="BV184" s="65" t="s">
        <v>381</v>
      </c>
    </row>
    <row r="185" spans="1:74" ht="57.75" thickBot="1">
      <c r="A185" s="125">
        <v>70955751</v>
      </c>
      <c r="B185" s="126" t="s">
        <v>166</v>
      </c>
      <c r="C185" s="126" t="s">
        <v>47</v>
      </c>
      <c r="D185" s="126" t="s">
        <v>245</v>
      </c>
      <c r="E185" s="126" t="s">
        <v>250</v>
      </c>
      <c r="F185" s="127">
        <v>7355509</v>
      </c>
      <c r="G185" s="281"/>
      <c r="H185" s="127">
        <v>40</v>
      </c>
      <c r="I185" s="127">
        <v>0</v>
      </c>
      <c r="J185" s="127">
        <v>0</v>
      </c>
      <c r="K185" s="127">
        <v>0</v>
      </c>
      <c r="L185" s="127">
        <v>0</v>
      </c>
      <c r="M185" s="127">
        <v>0</v>
      </c>
      <c r="N185" s="127">
        <v>0</v>
      </c>
      <c r="O185" s="127">
        <v>0</v>
      </c>
      <c r="P185" s="128" t="s">
        <v>291</v>
      </c>
      <c r="Q185" s="129">
        <v>0</v>
      </c>
      <c r="R185" s="129">
        <v>20000</v>
      </c>
      <c r="S185" s="129">
        <v>0</v>
      </c>
      <c r="T185" s="129">
        <v>0</v>
      </c>
      <c r="U185" s="129">
        <v>0</v>
      </c>
      <c r="V185" s="129">
        <v>0</v>
      </c>
      <c r="W185" s="129">
        <v>0</v>
      </c>
      <c r="X185" s="129">
        <v>0</v>
      </c>
      <c r="Y185" s="129">
        <v>20000</v>
      </c>
      <c r="Z185" s="129">
        <v>6000</v>
      </c>
      <c r="AA185" s="129">
        <v>15000</v>
      </c>
      <c r="AB185" s="129">
        <v>0</v>
      </c>
      <c r="AC185" s="129">
        <v>0</v>
      </c>
      <c r="AD185" s="129">
        <v>0</v>
      </c>
      <c r="AE185" s="129">
        <v>0</v>
      </c>
      <c r="AF185" s="129">
        <v>0</v>
      </c>
      <c r="AG185" s="129">
        <v>0</v>
      </c>
      <c r="AH185" s="129">
        <v>0</v>
      </c>
      <c r="AI185" s="129">
        <v>0</v>
      </c>
      <c r="AJ185" s="129">
        <v>0</v>
      </c>
      <c r="AK185" s="129"/>
      <c r="AL185" s="129">
        <v>35000</v>
      </c>
      <c r="AM185" s="130">
        <v>26000</v>
      </c>
      <c r="AN185" s="78"/>
      <c r="AO185" s="349">
        <v>20000</v>
      </c>
      <c r="AP185" s="135">
        <f t="shared" si="121"/>
        <v>1</v>
      </c>
      <c r="AQ185" s="131"/>
      <c r="AR185" s="82"/>
      <c r="AS185" s="132">
        <f t="shared" si="103"/>
        <v>26000</v>
      </c>
      <c r="AT185" s="337">
        <f t="shared" si="104"/>
        <v>0.7428571428571429</v>
      </c>
      <c r="AU185" s="134">
        <f t="shared" si="105"/>
        <v>9000</v>
      </c>
      <c r="AV185" s="135">
        <f t="shared" si="106"/>
        <v>1</v>
      </c>
      <c r="AW185" s="248">
        <f>IF(AS185&lt;AM185,AM185-AS185,0)</f>
        <v>0</v>
      </c>
      <c r="AX185" s="249">
        <f>IF(W185&gt;AU185,0,AU185-W185)</f>
        <v>9000</v>
      </c>
      <c r="AY185" s="88"/>
      <c r="AZ185" s="137"/>
      <c r="BA185" s="138"/>
      <c r="BB185" s="88"/>
      <c r="BC185" s="211">
        <v>0</v>
      </c>
      <c r="BD185" s="140"/>
      <c r="BE185" s="141">
        <f t="shared" si="100"/>
        <v>0</v>
      </c>
      <c r="BF185" s="142"/>
      <c r="BG185" s="141"/>
      <c r="BH185" s="141">
        <v>0</v>
      </c>
      <c r="BI185" s="143">
        <v>0</v>
      </c>
      <c r="BJ185" s="144" t="s">
        <v>155</v>
      </c>
      <c r="BK185" s="145" t="s">
        <v>56</v>
      </c>
      <c r="BL185" s="97" t="e">
        <f t="shared" si="123"/>
        <v>#DIV/0!</v>
      </c>
      <c r="BM185" s="98"/>
      <c r="BN185" s="146">
        <f>($BI185+$BC185+$AO185+$AJ185+$AH185+$AF185+$AD185+$AB185+$Z185+$V185+$T185)/$AL185</f>
        <v>0.7428571428571429</v>
      </c>
      <c r="BO185" s="146">
        <f t="shared" si="124"/>
        <v>1</v>
      </c>
      <c r="BP185" s="82"/>
      <c r="BQ185" s="147">
        <f t="shared" si="125"/>
        <v>0</v>
      </c>
      <c r="BR185" s="101"/>
      <c r="BS185" s="141">
        <f t="shared" si="126"/>
        <v>0</v>
      </c>
      <c r="BT185" s="141">
        <f t="shared" si="127"/>
        <v>20000</v>
      </c>
      <c r="BU185" s="235"/>
      <c r="BV185" s="66" t="s">
        <v>381</v>
      </c>
    </row>
    <row r="186" spans="1:74" ht="15" thickBot="1">
      <c r="A186" s="167" t="s">
        <v>61</v>
      </c>
      <c r="B186" s="71"/>
      <c r="C186" s="71"/>
      <c r="D186" s="71"/>
      <c r="E186" s="7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310">
        <f>SUM(Q182:Q185)</f>
        <v>357100</v>
      </c>
      <c r="R186" s="310">
        <f aca="true" t="shared" si="129" ref="R186:AM186">SUM(R182:R185)</f>
        <v>1099730</v>
      </c>
      <c r="S186" s="310">
        <f t="shared" si="129"/>
        <v>17000</v>
      </c>
      <c r="T186" s="310">
        <f t="shared" si="129"/>
        <v>0</v>
      </c>
      <c r="U186" s="310">
        <f t="shared" si="129"/>
        <v>0</v>
      </c>
      <c r="V186" s="310">
        <f t="shared" si="129"/>
        <v>0</v>
      </c>
      <c r="W186" s="310">
        <f t="shared" si="129"/>
        <v>83000</v>
      </c>
      <c r="X186" s="310">
        <f t="shared" si="129"/>
        <v>62500</v>
      </c>
      <c r="Y186" s="310">
        <f t="shared" si="129"/>
        <v>109481</v>
      </c>
      <c r="Z186" s="310">
        <f t="shared" si="129"/>
        <v>127000</v>
      </c>
      <c r="AA186" s="310">
        <f t="shared" si="129"/>
        <v>148000</v>
      </c>
      <c r="AB186" s="310">
        <f t="shared" si="129"/>
        <v>0</v>
      </c>
      <c r="AC186" s="310">
        <f t="shared" si="129"/>
        <v>3780</v>
      </c>
      <c r="AD186" s="310">
        <f t="shared" si="129"/>
        <v>4620</v>
      </c>
      <c r="AE186" s="310">
        <f t="shared" si="129"/>
        <v>0</v>
      </c>
      <c r="AF186" s="310">
        <f t="shared" si="129"/>
        <v>0</v>
      </c>
      <c r="AG186" s="310">
        <f t="shared" si="129"/>
        <v>0</v>
      </c>
      <c r="AH186" s="310">
        <f t="shared" si="129"/>
        <v>0</v>
      </c>
      <c r="AI186" s="310">
        <f t="shared" si="129"/>
        <v>99655</v>
      </c>
      <c r="AJ186" s="310">
        <f t="shared" si="129"/>
        <v>56650</v>
      </c>
      <c r="AK186" s="310"/>
      <c r="AL186" s="310">
        <f t="shared" si="129"/>
        <v>818016</v>
      </c>
      <c r="AM186" s="154">
        <f t="shared" si="129"/>
        <v>1350500</v>
      </c>
      <c r="AN186" s="153"/>
      <c r="AO186" s="154">
        <f>SUM(AO182:AO185)</f>
        <v>1063000</v>
      </c>
      <c r="AP186" s="41">
        <f>AO186/R186</f>
        <v>0.9666008929464505</v>
      </c>
      <c r="AQ186" s="41">
        <f>-1+AO186/Q186</f>
        <v>1.976757210865304</v>
      </c>
      <c r="AR186" s="1"/>
      <c r="AS186" s="155">
        <f t="shared" si="103"/>
        <v>1251270</v>
      </c>
      <c r="AT186" s="42">
        <f t="shared" si="104"/>
        <v>1.529640007041427</v>
      </c>
      <c r="AU186" s="156">
        <f>SUM(AU182:AU185)</f>
        <v>21350</v>
      </c>
      <c r="AV186" s="215">
        <f t="shared" si="106"/>
        <v>0.926523509811181</v>
      </c>
      <c r="AW186" s="216">
        <f>SUM(AW182:AW185)</f>
        <v>99230</v>
      </c>
      <c r="AX186" s="210">
        <f>SUM(AX182:AX185)</f>
        <v>18350</v>
      </c>
      <c r="AY186" s="88"/>
      <c r="AZ186" s="158"/>
      <c r="BA186" s="158"/>
      <c r="BB186" s="88"/>
      <c r="BC186" s="159">
        <f>SUM(BC182:BC185)</f>
        <v>2100</v>
      </c>
      <c r="BD186" s="160">
        <f>SUM(BD182:BD185)</f>
        <v>7250</v>
      </c>
      <c r="BE186" s="161">
        <f>SUM(BE182:BE185)</f>
        <v>400</v>
      </c>
      <c r="BF186" s="160"/>
      <c r="BG186" s="161">
        <f>SUM(BG182:BG185)</f>
        <v>10000</v>
      </c>
      <c r="BH186" s="161">
        <f>SUM(BH182:BH185)</f>
        <v>10000</v>
      </c>
      <c r="BI186" s="57">
        <f>SUM(BI182:BI185)</f>
        <v>10000</v>
      </c>
      <c r="BJ186" s="162"/>
      <c r="BK186" s="162"/>
      <c r="BL186" s="97">
        <f t="shared" si="123"/>
        <v>2.352001750164078</v>
      </c>
      <c r="BM186" s="98"/>
      <c r="BN186" s="82"/>
      <c r="BO186" s="82"/>
      <c r="BP186" s="82"/>
      <c r="BQ186" s="161">
        <f t="shared" si="125"/>
        <v>12100</v>
      </c>
      <c r="BR186" s="101"/>
      <c r="BS186" s="161">
        <f t="shared" si="126"/>
        <v>440100</v>
      </c>
      <c r="BT186" s="161">
        <f t="shared" si="127"/>
        <v>1075100</v>
      </c>
      <c r="BU186" s="163">
        <f t="shared" si="128"/>
        <v>1.4428538968416267</v>
      </c>
      <c r="BV186" s="67"/>
    </row>
    <row r="187" spans="1:74" ht="7.5" customHeight="1" thickBot="1">
      <c r="A187" s="149"/>
      <c r="B187" s="150"/>
      <c r="C187" s="150"/>
      <c r="D187" s="150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97"/>
      <c r="AQ187" s="97"/>
      <c r="AR187" s="97"/>
      <c r="AS187" s="164"/>
      <c r="AT187" s="82"/>
      <c r="AU187" s="165"/>
      <c r="AV187" s="215"/>
      <c r="AW187" s="164"/>
      <c r="AX187" s="165"/>
      <c r="AY187" s="88"/>
      <c r="AZ187" s="158"/>
      <c r="BA187" s="158"/>
      <c r="BB187" s="88"/>
      <c r="BC187" s="169"/>
      <c r="BD187" s="170"/>
      <c r="BE187" s="171"/>
      <c r="BF187" s="172"/>
      <c r="BG187" s="171"/>
      <c r="BH187" s="171"/>
      <c r="BI187" s="173"/>
      <c r="BJ187" s="162"/>
      <c r="BK187" s="162"/>
      <c r="BL187" s="97" t="e">
        <f t="shared" si="123"/>
        <v>#DIV/0!</v>
      </c>
      <c r="BM187" s="98"/>
      <c r="BN187" s="82"/>
      <c r="BO187" s="82"/>
      <c r="BP187" s="82"/>
      <c r="BQ187" s="171"/>
      <c r="BR187" s="101"/>
      <c r="BS187" s="171"/>
      <c r="BT187" s="171"/>
      <c r="BU187" s="174"/>
      <c r="BV187" s="67"/>
    </row>
    <row r="188" spans="1:74" ht="43.5" thickBot="1">
      <c r="A188" s="312">
        <v>400858</v>
      </c>
      <c r="B188" s="313" t="s">
        <v>66</v>
      </c>
      <c r="C188" s="313" t="s">
        <v>59</v>
      </c>
      <c r="D188" s="313" t="s">
        <v>251</v>
      </c>
      <c r="E188" s="313" t="s">
        <v>66</v>
      </c>
      <c r="F188" s="314">
        <v>2717289</v>
      </c>
      <c r="G188" s="314">
        <v>28</v>
      </c>
      <c r="H188" s="314">
        <v>28</v>
      </c>
      <c r="I188" s="314">
        <v>9</v>
      </c>
      <c r="J188" s="314">
        <v>10</v>
      </c>
      <c r="K188" s="314">
        <v>5</v>
      </c>
      <c r="L188" s="314">
        <v>4</v>
      </c>
      <c r="M188" s="314">
        <v>0</v>
      </c>
      <c r="N188" s="314">
        <v>23</v>
      </c>
      <c r="O188" s="314">
        <v>17</v>
      </c>
      <c r="P188" s="316" t="s">
        <v>280</v>
      </c>
      <c r="Q188" s="317">
        <v>2389000</v>
      </c>
      <c r="R188" s="317">
        <v>2745000</v>
      </c>
      <c r="S188" s="317">
        <v>0</v>
      </c>
      <c r="T188" s="317">
        <v>0</v>
      </c>
      <c r="U188" s="317">
        <v>0</v>
      </c>
      <c r="V188" s="317">
        <v>0</v>
      </c>
      <c r="W188" s="317">
        <v>299000</v>
      </c>
      <c r="X188" s="317">
        <v>0</v>
      </c>
      <c r="Y188" s="317">
        <v>0</v>
      </c>
      <c r="Z188" s="317">
        <v>0</v>
      </c>
      <c r="AA188" s="317">
        <v>5728450</v>
      </c>
      <c r="AB188" s="317">
        <v>5639000</v>
      </c>
      <c r="AC188" s="317">
        <v>1807673</v>
      </c>
      <c r="AD188" s="317">
        <v>1755000</v>
      </c>
      <c r="AE188" s="317">
        <v>0</v>
      </c>
      <c r="AF188" s="317">
        <v>0</v>
      </c>
      <c r="AG188" s="317">
        <v>0</v>
      </c>
      <c r="AH188" s="317">
        <v>0</v>
      </c>
      <c r="AI188" s="317">
        <v>111586</v>
      </c>
      <c r="AJ188" s="317">
        <v>218000</v>
      </c>
      <c r="AK188" s="317">
        <v>10335709</v>
      </c>
      <c r="AL188" s="317">
        <v>10078121</v>
      </c>
      <c r="AM188" s="318">
        <v>10357000</v>
      </c>
      <c r="AN188" s="78"/>
      <c r="AO188" s="342">
        <v>2016000</v>
      </c>
      <c r="AP188" s="222">
        <f>AO188/R188</f>
        <v>0.7344262295081967</v>
      </c>
      <c r="AQ188" s="81">
        <f>-1+AO188/Q188</f>
        <v>-0.15613227291753873</v>
      </c>
      <c r="AR188" s="82"/>
      <c r="AS188" s="176">
        <f t="shared" si="103"/>
        <v>9628000</v>
      </c>
      <c r="AT188" s="177">
        <f t="shared" si="104"/>
        <v>0.9315277742436441</v>
      </c>
      <c r="AU188" s="85">
        <f t="shared" si="105"/>
        <v>707709</v>
      </c>
      <c r="AV188" s="338">
        <f t="shared" si="106"/>
        <v>0.9296128222458241</v>
      </c>
      <c r="AW188" s="178">
        <f>IF(AS188&lt;AM188,AM188-AS188,0)</f>
        <v>729000</v>
      </c>
      <c r="AX188" s="85">
        <f>IF(W188&gt;AU188,0,AU188-W188)</f>
        <v>408709</v>
      </c>
      <c r="AY188" s="88"/>
      <c r="AZ188" s="89">
        <f>$AO188/N188</f>
        <v>87652.17391304347</v>
      </c>
      <c r="BA188" s="90">
        <f>$AO188/O188</f>
        <v>118588.23529411765</v>
      </c>
      <c r="BB188" s="88"/>
      <c r="BC188" s="179">
        <v>196000</v>
      </c>
      <c r="BD188" s="91">
        <f>(Q188+W188)*1.1-AO188-BC188</f>
        <v>744800.0000000005</v>
      </c>
      <c r="BE188" s="92"/>
      <c r="BF188" s="93">
        <f>(BE188+BC188+AO188)/(Q188+W188)</f>
        <v>0.8229166666666666</v>
      </c>
      <c r="BG188" s="92"/>
      <c r="BH188" s="92">
        <v>0</v>
      </c>
      <c r="BI188" s="94">
        <v>0</v>
      </c>
      <c r="BJ188" s="326" t="s">
        <v>252</v>
      </c>
      <c r="BK188" s="327" t="s">
        <v>60</v>
      </c>
      <c r="BL188" s="97">
        <f t="shared" si="123"/>
        <v>0.8229166666666666</v>
      </c>
      <c r="BM188" s="98"/>
      <c r="BN188" s="99">
        <f>($BI188+$BC188+$AO188+$AJ188+$AH188+$AF188+$AD188+$AB188+$Z188+$V188+$T188)/$AL188</f>
        <v>0.9747848830153955</v>
      </c>
      <c r="BO188" s="99">
        <f t="shared" si="124"/>
        <v>0.9485372212030511</v>
      </c>
      <c r="BP188" s="82"/>
      <c r="BQ188" s="100">
        <f t="shared" si="125"/>
        <v>196000</v>
      </c>
      <c r="BR188" s="101"/>
      <c r="BS188" s="92">
        <f t="shared" si="126"/>
        <v>2688000</v>
      </c>
      <c r="BT188" s="92">
        <f t="shared" si="127"/>
        <v>2212000</v>
      </c>
      <c r="BU188" s="291">
        <f t="shared" si="128"/>
        <v>-0.17708333333333337</v>
      </c>
      <c r="BV188" s="70" t="s">
        <v>382</v>
      </c>
    </row>
    <row r="189" spans="1:73" ht="13.5" thickBot="1">
      <c r="A189" s="167" t="s">
        <v>61</v>
      </c>
      <c r="B189" s="71"/>
      <c r="C189" s="71"/>
      <c r="D189" s="71"/>
      <c r="E189" s="7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2">
        <f aca="true" t="shared" si="130" ref="Q189:AJ189">SUM(Q188:Q188)</f>
        <v>2389000</v>
      </c>
      <c r="R189" s="152">
        <f t="shared" si="130"/>
        <v>2745000</v>
      </c>
      <c r="S189" s="152">
        <f t="shared" si="130"/>
        <v>0</v>
      </c>
      <c r="T189" s="152">
        <f t="shared" si="130"/>
        <v>0</v>
      </c>
      <c r="U189" s="152">
        <f t="shared" si="130"/>
        <v>0</v>
      </c>
      <c r="V189" s="152">
        <f t="shared" si="130"/>
        <v>0</v>
      </c>
      <c r="W189" s="152">
        <f t="shared" si="130"/>
        <v>299000</v>
      </c>
      <c r="X189" s="152">
        <f t="shared" si="130"/>
        <v>0</v>
      </c>
      <c r="Y189" s="152">
        <f t="shared" si="130"/>
        <v>0</v>
      </c>
      <c r="Z189" s="152">
        <f t="shared" si="130"/>
        <v>0</v>
      </c>
      <c r="AA189" s="152">
        <f t="shared" si="130"/>
        <v>5728450</v>
      </c>
      <c r="AB189" s="152">
        <f t="shared" si="130"/>
        <v>5639000</v>
      </c>
      <c r="AC189" s="152">
        <f t="shared" si="130"/>
        <v>1807673</v>
      </c>
      <c r="AD189" s="152">
        <f t="shared" si="130"/>
        <v>1755000</v>
      </c>
      <c r="AE189" s="152">
        <f t="shared" si="130"/>
        <v>0</v>
      </c>
      <c r="AF189" s="152">
        <f t="shared" si="130"/>
        <v>0</v>
      </c>
      <c r="AG189" s="152">
        <f t="shared" si="130"/>
        <v>0</v>
      </c>
      <c r="AH189" s="152">
        <f t="shared" si="130"/>
        <v>0</v>
      </c>
      <c r="AI189" s="152">
        <f t="shared" si="130"/>
        <v>111586</v>
      </c>
      <c r="AJ189" s="152">
        <f t="shared" si="130"/>
        <v>218000</v>
      </c>
      <c r="AK189" s="152"/>
      <c r="AL189" s="152">
        <f>SUM(AL188:AL188)</f>
        <v>10078121</v>
      </c>
      <c r="AM189" s="152">
        <f>SUM(AM188:AM188)</f>
        <v>10357000</v>
      </c>
      <c r="AN189" s="153"/>
      <c r="AO189" s="154">
        <f>SUM(AO188:AO188)</f>
        <v>2016000</v>
      </c>
      <c r="AP189" s="41">
        <f>AO189/R189</f>
        <v>0.7344262295081967</v>
      </c>
      <c r="AQ189" s="41">
        <f>-1+AO189/Q189</f>
        <v>-0.15613227291753873</v>
      </c>
      <c r="AR189" s="1"/>
      <c r="AS189" s="155">
        <f t="shared" si="103"/>
        <v>9628000</v>
      </c>
      <c r="AT189" s="42">
        <f t="shared" si="104"/>
        <v>0.9315277742436441</v>
      </c>
      <c r="AU189" s="156">
        <f>SUM(AU188:AU188)</f>
        <v>707709</v>
      </c>
      <c r="AV189" s="215">
        <f t="shared" si="106"/>
        <v>0.9296128222458241</v>
      </c>
      <c r="AW189" s="216">
        <f>SUM(AW188:AW188)</f>
        <v>729000</v>
      </c>
      <c r="AX189" s="210">
        <f>SUM(AX188:AX188)</f>
        <v>408709</v>
      </c>
      <c r="AY189" s="88"/>
      <c r="AZ189" s="158"/>
      <c r="BA189" s="158"/>
      <c r="BB189" s="88"/>
      <c r="BC189" s="160">
        <f>SUM(BC188:BC188)</f>
        <v>196000</v>
      </c>
      <c r="BD189" s="160">
        <f>SUM(BD188:BD188)</f>
        <v>744800.0000000005</v>
      </c>
      <c r="BE189" s="161">
        <f>SUM(BE188:BE188)</f>
        <v>0</v>
      </c>
      <c r="BF189" s="160"/>
      <c r="BG189" s="161">
        <f>SUM(BG188:BG188)</f>
        <v>0</v>
      </c>
      <c r="BH189" s="161">
        <f>SUM(BH188:BH188)</f>
        <v>0</v>
      </c>
      <c r="BI189" s="57">
        <f>SUM(BI188:BI188)</f>
        <v>0</v>
      </c>
      <c r="BJ189" s="162"/>
      <c r="BK189" s="162"/>
      <c r="BL189" s="97">
        <f t="shared" si="123"/>
        <v>0.8229166666666666</v>
      </c>
      <c r="BM189" s="98"/>
      <c r="BN189" s="82"/>
      <c r="BO189" s="82"/>
      <c r="BP189" s="82"/>
      <c r="BQ189" s="161">
        <f t="shared" si="125"/>
        <v>196000</v>
      </c>
      <c r="BR189" s="101"/>
      <c r="BS189" s="161">
        <f t="shared" si="126"/>
        <v>2688000</v>
      </c>
      <c r="BT189" s="161">
        <f t="shared" si="127"/>
        <v>2212000</v>
      </c>
      <c r="BU189" s="163">
        <f t="shared" si="128"/>
        <v>-0.17708333333333337</v>
      </c>
    </row>
    <row r="190" spans="1:73" ht="12.75">
      <c r="A190" s="251"/>
      <c r="B190" s="251"/>
      <c r="C190" s="251"/>
      <c r="D190" s="251"/>
      <c r="E190" s="2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1"/>
      <c r="AQ190" s="1"/>
      <c r="AR190" s="1"/>
      <c r="AS190" s="164"/>
      <c r="AT190" s="82"/>
      <c r="AU190" s="165"/>
      <c r="AV190" s="82"/>
      <c r="AW190" s="164"/>
      <c r="AX190" s="339"/>
      <c r="AY190" s="88"/>
      <c r="AZ190" s="88"/>
      <c r="BA190" s="88"/>
      <c r="BB190" s="88"/>
      <c r="BC190" s="169"/>
      <c r="BD190" s="169"/>
      <c r="BE190" s="101"/>
      <c r="BF190" s="219"/>
      <c r="BG190" s="101"/>
      <c r="BH190" s="101"/>
      <c r="BI190" s="220"/>
      <c r="BJ190" s="162"/>
      <c r="BK190" s="162"/>
      <c r="BL190" s="97"/>
      <c r="BM190" s="98">
        <f>SUM(BM4:BM189)</f>
        <v>1580205.4000000006</v>
      </c>
      <c r="BN190" s="97"/>
      <c r="BO190" s="97"/>
      <c r="BP190" s="97"/>
      <c r="BQ190" s="101"/>
      <c r="BR190" s="101"/>
      <c r="BS190" s="101"/>
      <c r="BT190" s="101"/>
      <c r="BU190" s="221"/>
    </row>
    <row r="191" spans="1:73" ht="13.5" thickBot="1">
      <c r="A191" s="340"/>
      <c r="B191" s="340"/>
      <c r="C191" s="340"/>
      <c r="D191" s="340"/>
      <c r="E191" s="340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"/>
      <c r="AQ191" s="1"/>
      <c r="AR191" s="1"/>
      <c r="AS191" s="164"/>
      <c r="AT191" s="82"/>
      <c r="AU191" s="339"/>
      <c r="AV191" s="82"/>
      <c r="AW191" s="164"/>
      <c r="AX191" s="339"/>
      <c r="AY191" s="88"/>
      <c r="AZ191" s="88"/>
      <c r="BA191" s="88"/>
      <c r="BB191" s="88"/>
      <c r="BC191" s="169"/>
      <c r="BD191" s="169"/>
      <c r="BE191" s="101"/>
      <c r="BF191" s="219"/>
      <c r="BG191" s="101"/>
      <c r="BH191" s="101"/>
      <c r="BI191" s="220"/>
      <c r="BJ191" s="162"/>
      <c r="BK191" s="162"/>
      <c r="BL191" s="97"/>
      <c r="BM191" s="98"/>
      <c r="BN191" s="97"/>
      <c r="BO191" s="97"/>
      <c r="BP191" s="97"/>
      <c r="BQ191" s="101"/>
      <c r="BR191" s="101"/>
      <c r="BS191" s="101"/>
      <c r="BT191" s="101"/>
      <c r="BU191" s="221"/>
    </row>
    <row r="192" spans="1:73" ht="29.25" customHeight="1" thickBot="1">
      <c r="A192" s="340"/>
      <c r="B192" s="340"/>
      <c r="C192" s="340"/>
      <c r="D192" s="340"/>
      <c r="E192" s="38" t="s">
        <v>253</v>
      </c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5">
        <f aca="true" t="shared" si="131" ref="Q192:AM192">Q189+Q186+Q180+Q176+Q174+Q170+Q168+Q159+Q149+Q121+Q114+Q109+Q93+Q88+Q81+Q76+Q65+Q58+Q43+Q38+Q27+Q9+Q31</f>
        <v>59475953</v>
      </c>
      <c r="R192" s="5">
        <f t="shared" si="131"/>
        <v>101416078</v>
      </c>
      <c r="S192" s="5">
        <f t="shared" si="131"/>
        <v>5813353</v>
      </c>
      <c r="T192" s="5">
        <f t="shared" si="131"/>
        <v>5120829</v>
      </c>
      <c r="U192" s="5">
        <f t="shared" si="131"/>
        <v>3917307</v>
      </c>
      <c r="V192" s="5">
        <f t="shared" si="131"/>
        <v>2726893</v>
      </c>
      <c r="W192" s="5">
        <f t="shared" si="131"/>
        <v>14652406</v>
      </c>
      <c r="X192" s="5">
        <f t="shared" si="131"/>
        <v>13906657</v>
      </c>
      <c r="Y192" s="5">
        <f t="shared" si="131"/>
        <v>10631451</v>
      </c>
      <c r="Z192" s="5">
        <f t="shared" si="131"/>
        <v>10597180</v>
      </c>
      <c r="AA192" s="5">
        <f t="shared" si="131"/>
        <v>19616014</v>
      </c>
      <c r="AB192" s="5">
        <f t="shared" si="131"/>
        <v>17953956</v>
      </c>
      <c r="AC192" s="5">
        <f t="shared" si="131"/>
        <v>13527227</v>
      </c>
      <c r="AD192" s="5">
        <f t="shared" si="131"/>
        <v>20479916</v>
      </c>
      <c r="AE192" s="5">
        <f t="shared" si="131"/>
        <v>2805067</v>
      </c>
      <c r="AF192" s="5">
        <f t="shared" si="131"/>
        <v>4149541</v>
      </c>
      <c r="AG192" s="5">
        <f t="shared" si="131"/>
        <v>47248823</v>
      </c>
      <c r="AH192" s="5">
        <f t="shared" si="131"/>
        <v>5046538</v>
      </c>
      <c r="AI192" s="5">
        <f t="shared" si="131"/>
        <v>15012916</v>
      </c>
      <c r="AJ192" s="5">
        <f t="shared" si="131"/>
        <v>8722682</v>
      </c>
      <c r="AK192" s="5">
        <f t="shared" si="131"/>
        <v>11725140</v>
      </c>
      <c r="AL192" s="5">
        <f t="shared" si="131"/>
        <v>191634367</v>
      </c>
      <c r="AM192" s="5">
        <f t="shared" si="131"/>
        <v>187135876</v>
      </c>
      <c r="AN192" s="164"/>
      <c r="AO192" s="5">
        <f>AO189+AO186+AO180+AO176+AO174+AO170+AO168+AO159+AO149+AO121+AO114+AO109+AO93+AO88+AO81+AO76+AO65+AO58+AO43+AO38+AO27+AO9+AO31</f>
        <v>71627400</v>
      </c>
      <c r="AP192" s="40">
        <f>AO192/R192</f>
        <v>0.7062726286851676</v>
      </c>
      <c r="AQ192" s="41">
        <f>-1+AO192/Q192</f>
        <v>0.20430857156673055</v>
      </c>
      <c r="AR192" s="1"/>
      <c r="AS192" s="39">
        <f t="shared" si="103"/>
        <v>146424935</v>
      </c>
      <c r="AT192" s="42">
        <f t="shared" si="104"/>
        <v>0.7598575098789174</v>
      </c>
      <c r="AU192" s="39" t="e">
        <f>AU189+AU186+AU180+AU176+AU174+AU170+AU168+AU159+AU149+AU121+AU114+AU109+AU93+AU88+AU81+AU76+AU65+AU58+#REF!+AU43+AU38+AU27+AU9+AU31</f>
        <v>#REF!</v>
      </c>
      <c r="AV192" s="42">
        <f t="shared" si="106"/>
        <v>0.7824525052587993</v>
      </c>
      <c r="AW192" s="39" t="e">
        <f>AW189+AW186+AW180+AW176+AW174+AW170+AW168+AW159+AW149+AW121+AW114+AW109+AW93+AW88+AW81+AW76+AW65+AW58+#REF!+AW43+AW38+AW27+AW9+AW31</f>
        <v>#REF!</v>
      </c>
      <c r="AX192" s="5" t="e">
        <f>AX189+AX186+AX180+AX176+AX174+AX170+AX168+AX159+AX149+AX121+AX114+AX109+AX93+AX88+AX81+AX76+AX65+AX58+#REF!+AX43+AX38+AX27+AX9+AX31</f>
        <v>#REF!</v>
      </c>
      <c r="AY192" s="88"/>
      <c r="AZ192" s="88"/>
      <c r="BA192" s="88"/>
      <c r="BB192" s="88"/>
      <c r="BC192" s="43">
        <f>BC189+BC186+BC180+BC176+BC174+BC170+BC168+BC159+BC149+BC121+BC114+BC109+BC93+BC88+BC81+BC76+BC65+BC58+BC43+BC38+BC27+BC9+BC31</f>
        <v>7539921</v>
      </c>
      <c r="BD192" s="43" t="e">
        <f>BD189+BD186+BD180+BD176+BD174+BD170+BD168+BD159+BD149+BD121+BD114+BD109+BD93+BD88+BD81+BD76+BD65+BD58+#REF!+BD43+BD38+BD27+BD9+BD31</f>
        <v>#REF!</v>
      </c>
      <c r="BE192" s="44" t="e">
        <f>BE189+BE186+BE180+BE176+BE174+BE170+BE168+BE159+BE149+BE121+BE114+BE109+BE93+BE88+BE81+BE76+BE65+BE58+#REF!+BE43+BE38+BE27+BE9+BE31</f>
        <v>#REF!</v>
      </c>
      <c r="BF192" s="43"/>
      <c r="BG192" s="44" t="e">
        <f>BG189+BG186+BG180+BG176+BG174+BG170+BG168+BG159+BG149+BG121+BG114+BG109+BG93+BG88+BG81+BG76+BG65+BG58+#REF!+BG43+BG38+BG27+BG9+BG31</f>
        <v>#REF!</v>
      </c>
      <c r="BH192" s="44" t="e">
        <f>BH189+BH186+BH180+BH176+BH174+BH170+BH168+BH159+BH149+BH121+BH114+BH109+BH93+BH88+BH81+BH76+BH65+BH58+#REF!+BH43+BH38+BH27+BH9+BH31</f>
        <v>#REF!</v>
      </c>
      <c r="BI192" s="57">
        <f>BI189+BI186+BI180+BI176+BI174+BI170+BI168+BI159+BI149+BI121+BI114+BI109+BI93+BI88+BI81+BI76+BI65+BI58+BI43+BI38+BI27+BI9+BI31</f>
        <v>8499862</v>
      </c>
      <c r="BJ192" s="52"/>
      <c r="BK192" s="52"/>
      <c r="BL192" s="52"/>
      <c r="BM192" s="52"/>
      <c r="BN192" s="52"/>
      <c r="BO192" s="52"/>
      <c r="BP192" s="52"/>
      <c r="BQ192" s="44">
        <f>BQ189+BQ186+BQ180+BQ176+BQ174+BQ170+BQ168+BQ159+BQ149+BQ121+BQ114+BQ109+BQ93+BQ88+BQ81+BQ76+BQ65+BQ58+BQ43+BQ38+BQ27+BQ9+BQ31</f>
        <v>16039783</v>
      </c>
      <c r="BR192" s="52"/>
      <c r="BS192" s="44">
        <f>BS189+BS186+BS180+BS176+BS174+BS170+BS168+BS159+BS149+BS121+BS114+BS109+BS93+BS88+BS81+BS76+BS65+BS58+BS43+BS38+BS27+BS9+BS31</f>
        <v>74128359</v>
      </c>
      <c r="BT192" s="44">
        <f>BT189+BT186+BT180+BT176+BT174+BT170+BT168+BT159+BT149+BT121+BT114+BT109+BT93+BT88+BT81+BT76+BT65+BT58+BT43+BT38+BT27+BT9+BT31</f>
        <v>87667183</v>
      </c>
      <c r="BU192" s="163">
        <f>-1+BT192/BS192</f>
        <v>0.1826402767124522</v>
      </c>
    </row>
    <row r="193" ht="13.5" customHeight="1">
      <c r="Q193" s="45"/>
    </row>
    <row r="194" spans="1:74" ht="12">
      <c r="A194" s="357" t="s">
        <v>384</v>
      </c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</row>
    <row r="195" spans="1:74" ht="12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</row>
    <row r="196" spans="1:74" ht="12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</row>
    <row r="197" spans="4:63" ht="12">
      <c r="D197" s="48"/>
      <c r="E197" s="2"/>
      <c r="O197" s="4"/>
      <c r="P197" s="4"/>
      <c r="AO197" s="2"/>
      <c r="AR197" s="4"/>
      <c r="AS197" s="2"/>
      <c r="AT197" s="4"/>
      <c r="AV197" s="37"/>
      <c r="AX197" s="2"/>
      <c r="BB197" s="36"/>
      <c r="BK197" s="2"/>
    </row>
    <row r="198" spans="4:63" ht="12">
      <c r="D198" s="48"/>
      <c r="E198" s="2"/>
      <c r="O198" s="4"/>
      <c r="P198" s="4"/>
      <c r="AO198" s="2"/>
      <c r="AR198" s="4"/>
      <c r="AS198" s="2"/>
      <c r="AT198" s="4"/>
      <c r="AX198" s="2"/>
      <c r="BB198" s="36"/>
      <c r="BK198" s="2"/>
    </row>
    <row r="199" spans="4:63" ht="12">
      <c r="D199" s="48"/>
      <c r="E199" s="2"/>
      <c r="O199" s="4"/>
      <c r="P199" s="4"/>
      <c r="AO199" s="2"/>
      <c r="AR199" s="4"/>
      <c r="AS199" s="2"/>
      <c r="AT199" s="4"/>
      <c r="AX199" s="2"/>
      <c r="BB199" s="36"/>
      <c r="BK199" s="2"/>
    </row>
    <row r="200" spans="4:63" ht="12">
      <c r="D200" s="48"/>
      <c r="E200" s="2"/>
      <c r="O200" s="4"/>
      <c r="P200" s="4"/>
      <c r="AO200" s="2"/>
      <c r="AR200" s="4"/>
      <c r="AS200" s="2"/>
      <c r="AT200" s="4"/>
      <c r="AX200" s="2"/>
      <c r="BB200" s="36"/>
      <c r="BK200" s="2"/>
    </row>
    <row r="201" spans="4:63" ht="12">
      <c r="D201" s="48"/>
      <c r="E201" s="2"/>
      <c r="O201" s="4"/>
      <c r="P201" s="4"/>
      <c r="AO201" s="2"/>
      <c r="AR201" s="4"/>
      <c r="AS201" s="2"/>
      <c r="AT201" s="4"/>
      <c r="AX201" s="2"/>
      <c r="BB201" s="36"/>
      <c r="BK201" s="2"/>
    </row>
    <row r="202" spans="4:63" ht="12">
      <c r="D202" s="48"/>
      <c r="E202" s="2"/>
      <c r="O202" s="4"/>
      <c r="P202" s="4"/>
      <c r="AO202" s="2"/>
      <c r="AR202" s="4"/>
      <c r="AS202" s="2"/>
      <c r="AT202" s="4"/>
      <c r="AX202" s="2"/>
      <c r="BB202" s="36"/>
      <c r="BK202" s="2"/>
    </row>
    <row r="203" spans="4:63" ht="12">
      <c r="D203" s="48"/>
      <c r="E203" s="2"/>
      <c r="O203" s="4"/>
      <c r="P203" s="4"/>
      <c r="AO203" s="2"/>
      <c r="AR203" s="4"/>
      <c r="AS203" s="2"/>
      <c r="AT203" s="4"/>
      <c r="AX203" s="2"/>
      <c r="BB203" s="36"/>
      <c r="BK203" s="2"/>
    </row>
    <row r="204" spans="3:63" ht="12">
      <c r="C204" s="46"/>
      <c r="D204" s="48"/>
      <c r="E204" s="2"/>
      <c r="O204" s="4"/>
      <c r="P204" s="4"/>
      <c r="AO204" s="2"/>
      <c r="AR204" s="4"/>
      <c r="AS204" s="2"/>
      <c r="AT204" s="4"/>
      <c r="AX204" s="2"/>
      <c r="BB204" s="36"/>
      <c r="BK204" s="2"/>
    </row>
    <row r="205" spans="4:63" ht="12">
      <c r="D205" s="48"/>
      <c r="E205" s="2"/>
      <c r="O205" s="4"/>
      <c r="P205" s="4"/>
      <c r="AO205" s="2"/>
      <c r="AR205" s="4"/>
      <c r="AS205" s="2"/>
      <c r="AT205" s="4"/>
      <c r="AX205" s="2"/>
      <c r="BB205" s="36"/>
      <c r="BK205" s="2"/>
    </row>
    <row r="206" spans="4:63" ht="12">
      <c r="D206" s="48"/>
      <c r="E206" s="2"/>
      <c r="O206" s="4"/>
      <c r="P206" s="4"/>
      <c r="AO206" s="2"/>
      <c r="AR206" s="4"/>
      <c r="AS206" s="2"/>
      <c r="AT206" s="4"/>
      <c r="AX206" s="2"/>
      <c r="BB206" s="36"/>
      <c r="BK206" s="2"/>
    </row>
    <row r="207" spans="4:63" ht="12">
      <c r="D207" s="48"/>
      <c r="E207" s="2"/>
      <c r="O207" s="4"/>
      <c r="P207" s="4"/>
      <c r="AO207" s="2"/>
      <c r="AR207" s="4"/>
      <c r="AS207" s="2"/>
      <c r="AT207" s="4"/>
      <c r="AX207" s="2"/>
      <c r="BB207" s="36"/>
      <c r="BK207" s="2"/>
    </row>
    <row r="208" spans="4:63" ht="12">
      <c r="D208" s="48"/>
      <c r="E208" s="2"/>
      <c r="O208" s="4"/>
      <c r="P208" s="4"/>
      <c r="AO208" s="2"/>
      <c r="AR208" s="4"/>
      <c r="AS208" s="2"/>
      <c r="AT208" s="4"/>
      <c r="AX208" s="2"/>
      <c r="BB208" s="36"/>
      <c r="BK208" s="2"/>
    </row>
    <row r="209" spans="3:63" ht="12">
      <c r="C209" s="46"/>
      <c r="D209" s="47"/>
      <c r="E209" s="2"/>
      <c r="O209" s="4"/>
      <c r="P209" s="4"/>
      <c r="AO209" s="2"/>
      <c r="AR209" s="4"/>
      <c r="AS209" s="2"/>
      <c r="AT209" s="4"/>
      <c r="AX209" s="2"/>
      <c r="BB209" s="36"/>
      <c r="BK209" s="2"/>
    </row>
    <row r="210" spans="4:63" ht="12">
      <c r="D210" s="48"/>
      <c r="E210" s="2"/>
      <c r="O210" s="4"/>
      <c r="P210" s="4"/>
      <c r="AO210" s="2"/>
      <c r="AR210" s="4"/>
      <c r="AS210" s="2"/>
      <c r="AT210" s="4"/>
      <c r="AX210" s="2"/>
      <c r="BB210" s="36"/>
      <c r="BK210" s="2"/>
    </row>
    <row r="211" spans="4:63" ht="12">
      <c r="D211" s="48"/>
      <c r="E211" s="2"/>
      <c r="O211" s="4"/>
      <c r="P211" s="4"/>
      <c r="AO211" s="2"/>
      <c r="AR211" s="4"/>
      <c r="AS211" s="2"/>
      <c r="AT211" s="4"/>
      <c r="AX211" s="2"/>
      <c r="BB211" s="36"/>
      <c r="BK211" s="2"/>
    </row>
    <row r="212" spans="4:63" ht="12">
      <c r="D212" s="48"/>
      <c r="E212" s="2"/>
      <c r="O212" s="4"/>
      <c r="P212" s="4"/>
      <c r="AO212" s="2"/>
      <c r="AR212" s="4"/>
      <c r="AS212" s="2"/>
      <c r="AT212" s="4"/>
      <c r="AX212" s="2"/>
      <c r="BB212" s="36"/>
      <c r="BK212" s="2"/>
    </row>
    <row r="213" spans="3:63" ht="12">
      <c r="C213" s="46"/>
      <c r="D213" s="47"/>
      <c r="E213" s="4"/>
      <c r="O213" s="4"/>
      <c r="P213" s="4"/>
      <c r="AO213" s="2"/>
      <c r="AR213" s="4"/>
      <c r="AS213" s="2"/>
      <c r="AT213" s="4"/>
      <c r="AX213" s="2"/>
      <c r="BB213" s="36"/>
      <c r="BK213" s="2"/>
    </row>
    <row r="214" spans="4:63" ht="12">
      <c r="D214" s="48"/>
      <c r="E214" s="2"/>
      <c r="O214" s="4"/>
      <c r="P214" s="4"/>
      <c r="AO214" s="2"/>
      <c r="AR214" s="4"/>
      <c r="AS214" s="2"/>
      <c r="AT214" s="4"/>
      <c r="AX214" s="2"/>
      <c r="BB214" s="36"/>
      <c r="BK214" s="2"/>
    </row>
    <row r="215" spans="4:63" ht="12">
      <c r="D215" s="48"/>
      <c r="E215" s="2"/>
      <c r="O215" s="4"/>
      <c r="P215" s="4"/>
      <c r="AO215" s="2"/>
      <c r="AR215" s="4"/>
      <c r="AS215" s="2"/>
      <c r="AT215" s="4"/>
      <c r="AX215" s="2"/>
      <c r="BB215" s="36"/>
      <c r="BK215" s="2"/>
    </row>
    <row r="216" spans="4:63" ht="12">
      <c r="D216" s="48"/>
      <c r="E216" s="2"/>
      <c r="O216" s="4"/>
      <c r="P216" s="4"/>
      <c r="AO216" s="2"/>
      <c r="AR216" s="4"/>
      <c r="AS216" s="2"/>
      <c r="AT216" s="4"/>
      <c r="AX216" s="2"/>
      <c r="BB216" s="36"/>
      <c r="BK216" s="2"/>
    </row>
    <row r="217" spans="4:63" ht="12">
      <c r="D217" s="48"/>
      <c r="E217" s="2"/>
      <c r="O217" s="4"/>
      <c r="P217" s="4"/>
      <c r="AO217" s="2"/>
      <c r="AR217" s="4"/>
      <c r="AS217" s="2"/>
      <c r="AT217" s="4"/>
      <c r="AX217" s="2"/>
      <c r="BB217" s="36"/>
      <c r="BK217" s="2"/>
    </row>
    <row r="218" spans="4:63" ht="12">
      <c r="D218" s="48"/>
      <c r="E218" s="2"/>
      <c r="O218" s="4"/>
      <c r="P218" s="4"/>
      <c r="AO218" s="2"/>
      <c r="AR218" s="4"/>
      <c r="AS218" s="2"/>
      <c r="AT218" s="4"/>
      <c r="AX218" s="2"/>
      <c r="BB218" s="36"/>
      <c r="BK218" s="2"/>
    </row>
    <row r="219" spans="4:5" ht="12">
      <c r="D219" s="48"/>
      <c r="E219" s="48"/>
    </row>
    <row r="220" ht="12">
      <c r="D220" s="48"/>
    </row>
    <row r="221" ht="12">
      <c r="D221" s="48"/>
    </row>
    <row r="222" spans="2:4" ht="12">
      <c r="B222" s="46"/>
      <c r="C222" s="46"/>
      <c r="D222" s="47"/>
    </row>
    <row r="223" spans="57:72" ht="12">
      <c r="BE223" s="8"/>
      <c r="BF223" s="8"/>
      <c r="BG223" s="8"/>
      <c r="BH223" s="8"/>
      <c r="BI223" s="60"/>
      <c r="BQ223" s="8"/>
      <c r="BR223" s="8"/>
      <c r="BS223" s="8"/>
      <c r="BT223" s="8"/>
    </row>
    <row r="224" spans="55:58" ht="12">
      <c r="BC224" s="10"/>
      <c r="BD224" s="10"/>
      <c r="BF224" s="10"/>
    </row>
  </sheetData>
  <mergeCells count="25">
    <mergeCell ref="A186:E186"/>
    <mergeCell ref="A149:E149"/>
    <mergeCell ref="A159:E159"/>
    <mergeCell ref="A168:E168"/>
    <mergeCell ref="A180:E180"/>
    <mergeCell ref="BJ3:BK3"/>
    <mergeCell ref="A81:E81"/>
    <mergeCell ref="A88:E88"/>
    <mergeCell ref="A93:E93"/>
    <mergeCell ref="A65:E65"/>
    <mergeCell ref="A76:E76"/>
    <mergeCell ref="A9:E9"/>
    <mergeCell ref="A27:E27"/>
    <mergeCell ref="A38:E38"/>
    <mergeCell ref="A31:E31"/>
    <mergeCell ref="A194:BV196"/>
    <mergeCell ref="A43:E43"/>
    <mergeCell ref="BV90:BV92"/>
    <mergeCell ref="BV152:BV155"/>
    <mergeCell ref="A58:E58"/>
    <mergeCell ref="A174:E174"/>
    <mergeCell ref="A109:E109"/>
    <mergeCell ref="A189:E189"/>
    <mergeCell ref="A114:E114"/>
    <mergeCell ref="A121:E121"/>
  </mergeCells>
  <conditionalFormatting sqref="BF4:BF30 BF32:BF189">
    <cfRule type="cellIs" priority="1" dxfId="0" operator="lessThan" stopIfTrue="1">
      <formula>$BF$38</formula>
    </cfRule>
  </conditionalFormatting>
  <conditionalFormatting sqref="BL1:BL191 BL193 BL197:BL65536">
    <cfRule type="cellIs" priority="2" dxfId="1" operator="lessThan" stopIfTrue="1">
      <formula>$BL$3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7" r:id="rId3"/>
  <headerFooter alignWithMargins="0">
    <oddFooter>&amp;CStránka &amp;P z &amp;N</oddFooter>
  </headerFooter>
  <rowBreaks count="1" manualBreakCount="1">
    <brk id="89" max="7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workbookViewId="0" topLeftCell="A40">
      <selection activeCell="C2" sqref="C2"/>
    </sheetView>
  </sheetViews>
  <sheetFormatPr defaultColWidth="9.00390625" defaultRowHeight="12.75"/>
  <cols>
    <col min="1" max="1" width="9.125" style="12" customWidth="1"/>
    <col min="3" max="4" width="9.125" style="12" customWidth="1"/>
  </cols>
  <sheetData>
    <row r="1" spans="1:4" s="12" customFormat="1" ht="12.75">
      <c r="A1" s="15" t="s">
        <v>182</v>
      </c>
      <c r="B1" s="15"/>
      <c r="C1" s="15"/>
      <c r="D1" s="16">
        <f>SUM(C2:C4)</f>
        <v>932241</v>
      </c>
    </row>
    <row r="2" spans="2:3" ht="12.75">
      <c r="B2">
        <v>5221</v>
      </c>
      <c r="C2" s="13">
        <f>'Dotace 2008-ostatní'!BI128+'Dotace 2008-ostatní'!BI135</f>
        <v>13500</v>
      </c>
    </row>
    <row r="3" spans="2:3" ht="12.75">
      <c r="B3">
        <v>5222</v>
      </c>
      <c r="C3" s="13">
        <f>'Dotace 2008-ostatní'!BI124+'Dotace 2008-ostatní'!BI125+'Dotace 2008-ostatní'!BI126+'Dotace 2008-ostatní'!BI127+'Dotace 2008-ostatní'!BI129+'Dotace 2008-ostatní'!BI130+'Dotace 2008-ostatní'!BI131+'Dotace 2008-ostatní'!BI132+'Dotace 2008-ostatní'!BI133+'Dotace 2008-ostatní'!BI134+'Dotace 2008-ostatní'!BI136+'Dotace 2008-ostatní'!BI138+'Dotace 2008-ostatní'!BI139+'Dotace 2008-ostatní'!BI140+'Dotace 2008-ostatní'!BI141+'Dotace 2008-ostatní'!BI142+'Dotace 2008-ostatní'!BI143+'Dotace 2008-ostatní'!BI144+'Dotace 2008-ostatní'!BI145+'Dotace 2008-ostatní'!BI146+'Dotace 2008-ostatní'!BI147+'Dotace 2008-ostatní'!BI148</f>
        <v>713412</v>
      </c>
    </row>
    <row r="4" spans="2:3" ht="12.75">
      <c r="B4">
        <v>5223</v>
      </c>
      <c r="C4" s="13">
        <f>'Dotace 2008-ostatní'!BI123+'Dotace 2008-ostatní'!BI137</f>
        <v>205329</v>
      </c>
    </row>
    <row r="5" spans="1:4" ht="12.75">
      <c r="A5" s="15" t="s">
        <v>209</v>
      </c>
      <c r="B5" s="14"/>
      <c r="C5" s="15"/>
      <c r="D5" s="16">
        <f>SUM(C6:C8)</f>
        <v>552584</v>
      </c>
    </row>
    <row r="6" spans="2:3" ht="12.75">
      <c r="B6">
        <v>5221</v>
      </c>
      <c r="C6" s="13">
        <f>'Dotace 2008-ostatní'!BI156</f>
        <v>0</v>
      </c>
    </row>
    <row r="7" spans="2:3" ht="12.75">
      <c r="B7">
        <v>5222</v>
      </c>
      <c r="C7" s="13">
        <f>'Dotace 2008-ostatní'!BI152+'Dotace 2008-ostatní'!BI153+'Dotace 2008-ostatní'!BI154+'Dotace 2008-ostatní'!BI155+'Dotace 2008-ostatní'!BI158</f>
        <v>380000</v>
      </c>
    </row>
    <row r="8" spans="2:3" ht="12.75">
      <c r="B8">
        <v>5223</v>
      </c>
      <c r="C8" s="13">
        <f>'Dotace 2008-ostatní'!BI151+'Dotace 2008-ostatní'!BI157</f>
        <v>172584</v>
      </c>
    </row>
    <row r="9" spans="1:4" ht="12.75">
      <c r="A9" s="15" t="s">
        <v>127</v>
      </c>
      <c r="B9" s="14"/>
      <c r="C9" s="15"/>
      <c r="D9" s="16">
        <f>SUM(C10:C13)</f>
        <v>1027350</v>
      </c>
    </row>
    <row r="10" spans="2:3" ht="12.75">
      <c r="B10">
        <v>5223</v>
      </c>
      <c r="C10" s="13">
        <f>'Dotace 2008-ostatní'!BI67+'Dotace 2008-ostatní'!BI69+'Dotace 2008-ostatní'!BI71</f>
        <v>357050</v>
      </c>
    </row>
    <row r="11" spans="2:3" ht="12.75">
      <c r="B11">
        <v>5221</v>
      </c>
      <c r="C11" s="13">
        <f>'Dotace 2008-ostatní'!BI68</f>
        <v>13000</v>
      </c>
    </row>
    <row r="12" spans="2:3" ht="12.75">
      <c r="B12">
        <v>5222</v>
      </c>
      <c r="C12" s="13">
        <f>'Dotace 2008-ostatní'!BI70+'Dotace 2008-ostatní'!BI72+'Dotace 2008-ostatní'!BI74+'Dotace 2008-ostatní'!BI75</f>
        <v>617300</v>
      </c>
    </row>
    <row r="13" spans="2:3" ht="12.75">
      <c r="B13">
        <v>5321</v>
      </c>
      <c r="C13" s="13">
        <f>'Dotace 2008-ostatní'!BI73</f>
        <v>40000</v>
      </c>
    </row>
    <row r="14" spans="1:4" ht="12.75">
      <c r="A14" s="15" t="s">
        <v>244</v>
      </c>
      <c r="B14" s="14"/>
      <c r="C14" s="15"/>
      <c r="D14" s="16">
        <f>SUM(C15)</f>
        <v>60000</v>
      </c>
    </row>
    <row r="15" spans="2:3" ht="12.75">
      <c r="B15">
        <v>5222</v>
      </c>
      <c r="C15" s="13">
        <f>'Dotace 2008-ostatní'!BI178+'Dotace 2008-ostatní'!BI179</f>
        <v>60000</v>
      </c>
    </row>
    <row r="16" spans="1:4" ht="12.75">
      <c r="A16" s="15" t="s">
        <v>137</v>
      </c>
      <c r="B16" s="14"/>
      <c r="C16" s="15"/>
      <c r="D16" s="16">
        <f>SUM(C17:C18)</f>
        <v>0</v>
      </c>
    </row>
    <row r="17" spans="2:3" ht="12.75">
      <c r="B17">
        <v>5221</v>
      </c>
      <c r="C17" s="13">
        <f>'Dotace 2008-ostatní'!BI78+'Dotace 2008-ostatní'!BI79</f>
        <v>0</v>
      </c>
    </row>
    <row r="18" spans="2:3" ht="12.75">
      <c r="B18">
        <v>5321</v>
      </c>
      <c r="C18" s="13">
        <f>'Dotace 2008-ostatní'!BI80</f>
        <v>0</v>
      </c>
    </row>
    <row r="19" spans="1:4" ht="12.75">
      <c r="A19" s="15" t="s">
        <v>244</v>
      </c>
      <c r="B19" s="14"/>
      <c r="C19" s="15"/>
      <c r="D19" s="16">
        <f>SUM(C20)</f>
        <v>37080</v>
      </c>
    </row>
    <row r="20" spans="2:3" ht="12.75">
      <c r="B20">
        <v>5222</v>
      </c>
      <c r="C20" s="13">
        <f>'Dotace 2008-ostatní'!BI33+'Dotace 2008-ostatní'!BI34+'Dotace 2008-ostatní'!BI35+'Dotace 2008-ostatní'!BI36</f>
        <v>37080</v>
      </c>
    </row>
    <row r="21" spans="1:4" ht="12.75">
      <c r="A21" s="15" t="s">
        <v>252</v>
      </c>
      <c r="B21" s="14"/>
      <c r="C21" s="15"/>
      <c r="D21" s="16">
        <f>SUM(C22:C23)</f>
        <v>0</v>
      </c>
    </row>
    <row r="22" spans="2:3" ht="12.75">
      <c r="B22">
        <v>5222</v>
      </c>
      <c r="C22" s="13">
        <f>'Dotace 2008-ostatní'!BI37</f>
        <v>0</v>
      </c>
    </row>
    <row r="23" spans="2:3" ht="12.75">
      <c r="B23">
        <v>5321</v>
      </c>
      <c r="C23" s="13">
        <f>'Dotace 2008-ostatní'!BI188</f>
        <v>0</v>
      </c>
    </row>
    <row r="24" spans="1:4" ht="12.75">
      <c r="A24" s="15" t="s">
        <v>50</v>
      </c>
      <c r="B24" s="14"/>
      <c r="C24" s="15"/>
      <c r="D24" s="16">
        <f>SUM(C25:C28)</f>
        <v>2580714</v>
      </c>
    </row>
    <row r="25" spans="2:3" ht="12.75">
      <c r="B25">
        <v>5221</v>
      </c>
      <c r="C25" s="13">
        <f>'Dotace 2008-ostatní'!BI5+'Dotace 2008-ostatní'!BI16</f>
        <v>100000</v>
      </c>
    </row>
    <row r="26" spans="2:3" ht="12.75">
      <c r="B26">
        <v>5222</v>
      </c>
      <c r="C26" s="13">
        <f>'Dotace 2008-ostatní'!BI6+'Dotace 2008-ostatní'!BI7+'Dotace 2008-ostatní'!BI15+'Dotace 2008-ostatní'!BI17+'Dotace 2008-ostatní'!BI23+'Dotace 2008-ostatní'!BI26</f>
        <v>799000</v>
      </c>
    </row>
    <row r="27" spans="2:3" ht="12.75">
      <c r="B27">
        <v>5223</v>
      </c>
      <c r="C27" s="13">
        <f>'Dotace 2008-ostatní'!BI4+'Dotace 2008-ostatní'!BI11+'Dotace 2008-ostatní'!BI14+'Dotace 2008-ostatní'!BI20+'Dotace 2008-ostatní'!BI21+'Dotace 2008-ostatní'!BI22</f>
        <v>1681714</v>
      </c>
    </row>
    <row r="28" spans="2:3" ht="12.75">
      <c r="B28">
        <v>5321</v>
      </c>
      <c r="C28" s="13">
        <f>'Dotace 2008-ostatní'!BI8+'Dotace 2008-ostatní'!BI12+'Dotace 2008-ostatní'!BI13+'Dotace 2008-ostatní'!BI18+'Dotace 2008-ostatní'!BI19+'Dotace 2008-ostatní'!BI24+'Dotace 2008-ostatní'!BI25</f>
        <v>0</v>
      </c>
    </row>
    <row r="29" spans="1:4" ht="12.75">
      <c r="A29" s="15" t="s">
        <v>254</v>
      </c>
      <c r="B29" s="14"/>
      <c r="C29" s="15"/>
      <c r="D29" s="16" t="e">
        <f>SUM(C30:C32)</f>
        <v>#REF!</v>
      </c>
    </row>
    <row r="30" spans="2:3" ht="12.75">
      <c r="B30">
        <v>5222</v>
      </c>
      <c r="C30" s="13" t="e">
        <f>'Dotace 2008-ostatní'!BI62+'Dotace 2008-ostatní'!#REF!+'Dotace 2008-ostatní'!BI64</f>
        <v>#REF!</v>
      </c>
    </row>
    <row r="31" spans="2:3" ht="12.75">
      <c r="B31">
        <v>5223</v>
      </c>
      <c r="C31" s="13">
        <f>'Dotace 2008-ostatní'!BI60+'Dotace 2008-ostatní'!BI61</f>
        <v>105586</v>
      </c>
    </row>
    <row r="32" spans="2:3" ht="12.75">
      <c r="B32">
        <v>5321</v>
      </c>
      <c r="C32" s="13">
        <f>'Dotace 2008-ostatní'!BI63</f>
        <v>40000</v>
      </c>
    </row>
    <row r="33" spans="1:4" ht="12.75">
      <c r="A33" s="15" t="s">
        <v>170</v>
      </c>
      <c r="B33" s="14"/>
      <c r="C33" s="15"/>
      <c r="D33" s="16">
        <f>SUM(C34:C35)</f>
        <v>144940</v>
      </c>
    </row>
    <row r="34" spans="2:3" ht="12.75">
      <c r="B34">
        <v>5222</v>
      </c>
      <c r="C34" s="13">
        <f>'Dotace 2008-ostatní'!BI85+'Dotace 2008-ostatní'!BI86+'Dotace 2008-ostatní'!BI87+'Dotace 2008-ostatní'!BI111+'Dotace 2008-ostatní'!BI112+'Dotace 2008-ostatní'!BI113</f>
        <v>74000</v>
      </c>
    </row>
    <row r="35" spans="2:3" ht="12.75">
      <c r="B35">
        <v>5223</v>
      </c>
      <c r="C35" s="13">
        <f>'Dotace 2008-ostatní'!BI83+'Dotace 2008-ostatní'!BI84</f>
        <v>70940</v>
      </c>
    </row>
    <row r="36" spans="1:4" ht="12.75">
      <c r="A36" s="15" t="s">
        <v>267</v>
      </c>
      <c r="B36" s="14"/>
      <c r="C36" s="16"/>
      <c r="D36" s="16">
        <f>SUM(C37:C38)</f>
        <v>310140</v>
      </c>
    </row>
    <row r="37" spans="2:3" ht="12.75">
      <c r="B37">
        <v>5221</v>
      </c>
      <c r="C37" s="13">
        <f>'Dotace 2008-ostatní'!BI29</f>
        <v>50000</v>
      </c>
    </row>
    <row r="38" spans="2:3" ht="12.75">
      <c r="B38">
        <v>5222</v>
      </c>
      <c r="C38" s="13">
        <f>'Dotace 2008-ostatní'!BI30</f>
        <v>260140</v>
      </c>
    </row>
    <row r="39" spans="1:4" ht="12.75">
      <c r="A39" s="15" t="s">
        <v>104</v>
      </c>
      <c r="B39" s="14"/>
      <c r="C39" s="15"/>
      <c r="D39" s="16">
        <f>SUM(C40:C42)</f>
        <v>418921</v>
      </c>
    </row>
    <row r="40" spans="2:3" ht="12.75">
      <c r="B40">
        <v>5222</v>
      </c>
      <c r="C40" s="13">
        <f>'Dotace 2008-ostatní'!BI55+'Dotace 2008-ostatní'!BI57</f>
        <v>50000</v>
      </c>
    </row>
    <row r="41" spans="2:3" ht="12.75">
      <c r="B41">
        <v>5223</v>
      </c>
      <c r="C41" s="13">
        <f>'Dotace 2008-ostatní'!BI46+'Dotace 2008-ostatní'!BI47+'Dotace 2008-ostatní'!BI49+'Dotace 2008-ostatní'!BI50+'Dotace 2008-ostatní'!BI51+'Dotace 2008-ostatní'!BI52+'Dotace 2008-ostatní'!BI53+'Dotace 2008-ostatní'!BI54+'Dotace 2008-ostatní'!BI56</f>
        <v>368921</v>
      </c>
    </row>
    <row r="42" spans="2:3" ht="12.75">
      <c r="B42">
        <v>5321</v>
      </c>
      <c r="C42" s="13">
        <f>'Dotace 2008-ostatní'!BI48</f>
        <v>0</v>
      </c>
    </row>
    <row r="43" spans="1:4" ht="12.75">
      <c r="A43" s="15" t="s">
        <v>97</v>
      </c>
      <c r="B43" s="14"/>
      <c r="C43" s="15"/>
      <c r="D43" s="16">
        <f>SUM(C44:C45)</f>
        <v>1783186</v>
      </c>
    </row>
    <row r="44" spans="2:3" ht="12.75">
      <c r="B44">
        <v>5222</v>
      </c>
      <c r="C44" s="13">
        <f>'Dotace 2008-ostatní'!BI40+'Dotace 2008-ostatní'!BI90+'Dotace 2008-ostatní'!BI91+'Dotace 2008-ostatní'!BI92+'Dotace 2008-ostatní'!BI172+'Dotace 2008-ostatní'!BI173</f>
        <v>1253255</v>
      </c>
    </row>
    <row r="45" spans="2:3" ht="12.75">
      <c r="B45">
        <v>5223</v>
      </c>
      <c r="C45" s="13">
        <f>'Dotace 2008-ostatní'!BI41+'Dotace 2008-ostatní'!BI42</f>
        <v>529931</v>
      </c>
    </row>
    <row r="46" spans="1:4" ht="12.75">
      <c r="A46" s="15" t="s">
        <v>174</v>
      </c>
      <c r="B46" s="14"/>
      <c r="C46" s="15"/>
      <c r="D46" s="16">
        <f>SUM(C47:C49)</f>
        <v>135000</v>
      </c>
    </row>
    <row r="47" spans="2:3" ht="12.75">
      <c r="B47">
        <v>5221</v>
      </c>
      <c r="C47" s="13">
        <f>'Dotace 2008-ostatní'!BI119</f>
        <v>0</v>
      </c>
    </row>
    <row r="48" spans="2:3" ht="12.75">
      <c r="B48">
        <v>5222</v>
      </c>
      <c r="C48" s="13">
        <f>'Dotace 2008-ostatní'!BI117+'Dotace 2008-ostatní'!BI118+'Dotace 2008-ostatní'!BI120</f>
        <v>135000</v>
      </c>
    </row>
    <row r="49" spans="2:3" ht="12.75">
      <c r="B49">
        <v>5223</v>
      </c>
      <c r="C49" s="13">
        <f>'Dotace 2008-ostatní'!BI116</f>
        <v>0</v>
      </c>
    </row>
    <row r="50" spans="1:4" ht="12.75">
      <c r="A50" s="15" t="s">
        <v>239</v>
      </c>
      <c r="B50" s="14"/>
      <c r="C50" s="15"/>
      <c r="D50" s="16">
        <f>SUM(C51)</f>
        <v>0</v>
      </c>
    </row>
    <row r="51" spans="2:3" ht="12.75">
      <c r="B51">
        <v>5222</v>
      </c>
      <c r="C51" s="13">
        <f>'Dotace 2008-ostatní'!BI176</f>
        <v>0</v>
      </c>
    </row>
    <row r="52" spans="1:4" ht="12.75">
      <c r="A52" s="15" t="s">
        <v>155</v>
      </c>
      <c r="B52" s="14"/>
      <c r="C52" s="15"/>
      <c r="D52" s="16">
        <f>SUM(C53:C56)</f>
        <v>372120</v>
      </c>
    </row>
    <row r="53" spans="2:3" ht="12.75">
      <c r="B53">
        <v>5221</v>
      </c>
      <c r="C53" s="13">
        <f>'Dotace 2008-ostatní'!BI99+'Dotace 2008-ostatní'!BI100+'Dotace 2008-ostatní'!BI182</f>
        <v>10000</v>
      </c>
    </row>
    <row r="54" spans="2:3" ht="12.75">
      <c r="B54">
        <v>5222</v>
      </c>
      <c r="C54" s="13">
        <f>'Dotace 2008-ostatní'!BI95+'Dotace 2008-ostatní'!BI96+'Dotace 2008-ostatní'!BI97+'Dotace 2008-ostatní'!BI98+'Dotace 2008-ostatní'!BI107+'Dotace 2008-ostatní'!BI108+'Dotace 2008-ostatní'!BI183+'Dotace 2008-ostatní'!BI184+'Dotace 2008-ostatní'!BI185</f>
        <v>72360</v>
      </c>
    </row>
    <row r="55" spans="2:3" ht="12.75">
      <c r="B55">
        <v>5223</v>
      </c>
      <c r="C55" s="13">
        <f>'Dotace 2008-ostatní'!BI101+'Dotace 2008-ostatní'!BI102+'Dotace 2008-ostatní'!BI103+'Dotace 2008-ostatní'!BI104+'Dotace 2008-ostatní'!BI105</f>
        <v>289760</v>
      </c>
    </row>
    <row r="56" spans="2:3" ht="12.75">
      <c r="B56">
        <v>5321</v>
      </c>
      <c r="C56" s="13">
        <f>'Dotace 2008-ostatní'!BI106</f>
        <v>0</v>
      </c>
    </row>
    <row r="59" spans="3:4" ht="12.75">
      <c r="C59" s="13" t="e">
        <f>SUM(C1:C58)</f>
        <v>#REF!</v>
      </c>
      <c r="D59" s="13" t="e">
        <f>SUM(D1:D56)</f>
        <v>#REF!</v>
      </c>
    </row>
  </sheetData>
  <printOptions/>
  <pageMargins left="0.75" right="0.75" top="1" bottom="1" header="0.4921259845" footer="0.492125984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2008-03-17T09:16:29Z</cp:lastPrinted>
  <dcterms:created xsi:type="dcterms:W3CDTF">2008-01-23T12:57:27Z</dcterms:created>
  <dcterms:modified xsi:type="dcterms:W3CDTF">2008-03-17T09:18:17Z</dcterms:modified>
  <cp:category/>
  <cp:version/>
  <cp:contentType/>
  <cp:contentStatus/>
</cp:coreProperties>
</file>