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775" activeTab="0"/>
  </bookViews>
  <sheets>
    <sheet name="DÚSP Černovice" sheetId="1" r:id="rId1"/>
    <sheet name="ÚSP Zboží" sheetId="2" r:id="rId2"/>
    <sheet name="USP Ledeč nad Sázavou" sheetId="3" r:id="rId3"/>
    <sheet name="ÚSP Lidmaň" sheetId="4" r:id="rId4"/>
    <sheet name="ÚSP Věž" sheetId="5" r:id="rId5"/>
    <sheet name="ÚSP Těchobuz" sheetId="6" r:id="rId6"/>
    <sheet name="ÚSP Jinošov" sheetId="7" r:id="rId7"/>
    <sheet name="ÚSP Nové Syrovice" sheetId="8" r:id="rId8"/>
    <sheet name="DD M.Curierových" sheetId="9" r:id="rId9"/>
    <sheet name="DD Třebíč Koutkova" sheetId="10" r:id="rId10"/>
    <sheet name="DD Náměšť nad Os" sheetId="11" r:id="rId11"/>
    <sheet name="DD Velký Újezd" sheetId="12" r:id="rId12"/>
    <sheet name="Psych.Jihl." sheetId="13" r:id="rId13"/>
    <sheet name="ÚSP Křižanov" sheetId="14" r:id="rId14"/>
    <sheet name="DD Mitrov" sheetId="15" r:id="rId15"/>
    <sheet name="DD Velké Meziříčí" sheetId="16" r:id="rId16"/>
    <sheet name="DD Havlíčkův Brod" sheetId="17" r:id="rId17"/>
    <sheet name="DD Humpolec" sheetId="18" r:id="rId18"/>
    <sheet name="DD Proseč u Pošné" sheetId="19" r:id="rId19"/>
    <sheet name="DD Onšov" sheetId="20" r:id="rId20"/>
    <sheet name="DD Proseč Obořiště" sheetId="21" r:id="rId21"/>
    <sheet name="DD Ždírec" sheetId="22" r:id="rId22"/>
  </sheets>
  <definedNames>
    <definedName name="_xlnm.Print_Area" localSheetId="16">'DD Havlíčkův Brod'!$A$1:$O$123</definedName>
    <definedName name="_xlnm.Print_Area" localSheetId="17">'DD Humpolec'!$A$1:$O$122</definedName>
    <definedName name="_xlnm.Print_Area" localSheetId="19">'DD Onšov'!$A$1:$O$125</definedName>
    <definedName name="_xlnm.Print_Area" localSheetId="20">'DD Proseč Obořiště'!$A$1:$O$126</definedName>
    <definedName name="_xlnm.Print_Area" localSheetId="18">'DD Proseč u Pošné'!$A$1:$O$122</definedName>
    <definedName name="_xlnm.Print_Area" localSheetId="15">'DD Velké Meziříčí'!$A$1:$O$125</definedName>
    <definedName name="_xlnm.Print_Area" localSheetId="11">'DD Velký Újezd'!$A$1:$O$117</definedName>
    <definedName name="_xlnm.Print_Area" localSheetId="21">'DD Ždírec'!$A$1:$O$120</definedName>
    <definedName name="_xlnm.Print_Area" localSheetId="0">'DÚSP Černovice'!$A$1:$O$134</definedName>
    <definedName name="_xlnm.Print_Area" localSheetId="13">'ÚSP Křižanov'!$A$1:$O$118</definedName>
    <definedName name="_xlnm.Print_Area" localSheetId="2">'USP Ledeč nad Sázavou'!$A$1:$O$122</definedName>
    <definedName name="_xlnm.Print_Area" localSheetId="3">'ÚSP Lidmaň'!$A$1:$O$117</definedName>
    <definedName name="_xlnm.Print_Area" localSheetId="5">'ÚSP Těchobuz'!$A$1:$O$118</definedName>
    <definedName name="_xlnm.Print_Area" localSheetId="4">'ÚSP Věž'!$A$1:$O$118</definedName>
    <definedName name="_xlnm.Print_Area" localSheetId="1">'ÚSP Zboží'!$A$1:$O$120</definedName>
  </definedNames>
  <calcPr fullCalcOnLoad="1"/>
</workbook>
</file>

<file path=xl/sharedStrings.xml><?xml version="1.0" encoding="utf-8"?>
<sst xmlns="http://schemas.openxmlformats.org/spreadsheetml/2006/main" count="4775" uniqueCount="559">
  <si>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</si>
  <si>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</si>
  <si>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</si>
  <si>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</si>
  <si>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</si>
  <si>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</si>
  <si>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</si>
  <si>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</si>
  <si>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</si>
  <si>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</si>
  <si>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</si>
  <si>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</si>
  <si>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</si>
  <si>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</si>
  <si>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</si>
  <si>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</si>
  <si>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</si>
  <si>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</si>
  <si>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</si>
  <si>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</si>
  <si>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</si>
  <si>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</si>
  <si>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</si>
  <si>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</si>
  <si>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</si>
  <si>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</si>
  <si>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</si>
  <si>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</si>
  <si>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</si>
  <si>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</si>
  <si>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</si>
  <si>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</si>
  <si>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</si>
  <si>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</si>
  <si>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</si>
  <si>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</si>
  <si>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</si>
  <si>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</si>
  <si>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</si>
  <si>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v tis.Kč</t>
  </si>
  <si>
    <t>Odvod do rozpočtu zřizovatele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</si>
  <si>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</si>
  <si>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</si>
  <si>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</si>
  <si>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</si>
  <si>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</si>
  <si>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</si>
  <si>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Zaměstnanci</t>
  </si>
  <si>
    <t>průměrný přepočtený počet zaměstnanců</t>
  </si>
  <si>
    <t>Průměrná mzda</t>
  </si>
  <si>
    <t>Rozdíl</t>
  </si>
  <si>
    <t>hospodářskosprávní a provoznětechničtí zam.</t>
  </si>
  <si>
    <t>NZP</t>
  </si>
  <si>
    <t>PZP</t>
  </si>
  <si>
    <t>pedagogičtí pracovníci vychovatelé</t>
  </si>
  <si>
    <t>nepedagog.prac.-pomocní Vychovatelé</t>
  </si>
  <si>
    <t>prac. sociální péče</t>
  </si>
  <si>
    <t>sociální pracovníci</t>
  </si>
  <si>
    <t>zam.převážně manuelně pracující</t>
  </si>
  <si>
    <t>Přepočtený počet zaměstnanců</t>
  </si>
  <si>
    <t>Počty lůžek</t>
  </si>
  <si>
    <t>rok</t>
  </si>
  <si>
    <t>Plán</t>
  </si>
  <si>
    <t>kapacita</t>
  </si>
  <si>
    <t>Pořizovací cena majetku</t>
  </si>
  <si>
    <t>celkem</t>
  </si>
  <si>
    <t>z toho odpisová skupina: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</si>
  <si>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</si>
  <si>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</si>
  <si>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</si>
  <si>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</si>
  <si>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</si>
  <si>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</si>
  <si>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</si>
  <si>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</si>
  <si>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</si>
  <si>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</si>
  <si>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</si>
  <si>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</si>
  <si>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</si>
  <si>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</si>
  <si>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</si>
  <si>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</si>
  <si>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</si>
  <si>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odvod do rozpočtu zřizovatele</t>
  </si>
  <si>
    <t>SZP</t>
  </si>
  <si>
    <t>lékaři</t>
  </si>
  <si>
    <t>čtecí zařízení</t>
  </si>
  <si>
    <t>žehlič válcový - mandl</t>
  </si>
  <si>
    <t>odvod zřizovateli</t>
  </si>
  <si>
    <t>kotel varný</t>
  </si>
  <si>
    <t>konvektomat</t>
  </si>
  <si>
    <t>výměna oken</t>
  </si>
  <si>
    <t>opravy aut</t>
  </si>
  <si>
    <t>běžné opravy</t>
  </si>
  <si>
    <t>Fondy v tis. Kč</t>
  </si>
  <si>
    <t xml:space="preserve">          investiční fond</t>
  </si>
  <si>
    <t>kopírka</t>
  </si>
  <si>
    <t>Oprava podlah</t>
  </si>
  <si>
    <t xml:space="preserve"> </t>
  </si>
  <si>
    <t>oprava strojního zařízení</t>
  </si>
  <si>
    <t>údržba zeleně parku</t>
  </si>
  <si>
    <t>malířské a natěračské práce</t>
  </si>
  <si>
    <t>pračka</t>
  </si>
  <si>
    <t>Dezinfekční stroj na podložní mísy</t>
  </si>
  <si>
    <t>Elektroúdržba</t>
  </si>
  <si>
    <t>Opravy a údržba podlah</t>
  </si>
  <si>
    <t>Nátěry, malby</t>
  </si>
  <si>
    <t>Sadové úpravy, údržba zeleně</t>
  </si>
  <si>
    <t>Nepředvídané</t>
  </si>
  <si>
    <t xml:space="preserve">malování </t>
  </si>
  <si>
    <t>myčka nádobí</t>
  </si>
  <si>
    <t>práce zednické</t>
  </si>
  <si>
    <t>práce malířské</t>
  </si>
  <si>
    <t>práce truhlářské</t>
  </si>
  <si>
    <t>práce topenářské</t>
  </si>
  <si>
    <t>malování</t>
  </si>
  <si>
    <t>běžná údržba zařízení</t>
  </si>
  <si>
    <t>telefonní ústředna</t>
  </si>
  <si>
    <t>běžné provozní opravy</t>
  </si>
  <si>
    <t>myčka podložních mís</t>
  </si>
  <si>
    <t>ostatní opravy</t>
  </si>
  <si>
    <t>v tis. Kč</t>
  </si>
  <si>
    <t>v tis . Kč</t>
  </si>
  <si>
    <t xml:space="preserve">Příděl ze zlepšeného ročního VH </t>
  </si>
  <si>
    <t>Dary</t>
  </si>
  <si>
    <t>Počáteční stav k 1.1.</t>
  </si>
  <si>
    <t>Příděl ze zlep. ročního VH</t>
  </si>
  <si>
    <t>Neinvest. výdaje ISPROFIN</t>
  </si>
  <si>
    <t>Převod do IF</t>
  </si>
  <si>
    <t>Skutečnost za rok 2005</t>
  </si>
  <si>
    <t>Rozdíl 2006 - 2005</t>
  </si>
  <si>
    <t>Investice 2005</t>
  </si>
  <si>
    <t>havarijní situace, drobné opravy</t>
  </si>
  <si>
    <t>průměrný přepočtený počet zaměstnaců k poslednímu dni sledovaného období</t>
  </si>
  <si>
    <t>sporák plynový</t>
  </si>
  <si>
    <t>opravy nemovitého majetku</t>
  </si>
  <si>
    <t>prádelna</t>
  </si>
  <si>
    <t>PC síť</t>
  </si>
  <si>
    <t>opravy auta</t>
  </si>
  <si>
    <t>ostatní opravy DDHM, DHM</t>
  </si>
  <si>
    <t>odpis nekryt. Fondu</t>
  </si>
  <si>
    <t>oprava střechy dílna</t>
  </si>
  <si>
    <t>pračka průmyslová</t>
  </si>
  <si>
    <t>skleník ALFA</t>
  </si>
  <si>
    <t>keramická pec</t>
  </si>
  <si>
    <t>oprava střechy</t>
  </si>
  <si>
    <t>běžné opravy a udržování</t>
  </si>
  <si>
    <t>opravy praček</t>
  </si>
  <si>
    <t>natírání věže</t>
  </si>
  <si>
    <t>opravy elektro</t>
  </si>
  <si>
    <t>opravy zařízení</t>
  </si>
  <si>
    <t>Manipulační zařízení pro imobilní</t>
  </si>
  <si>
    <t>Mikrobus 9 místný</t>
  </si>
  <si>
    <t>oprava střechy a okapů</t>
  </si>
  <si>
    <t>oprava konstrukce stropu</t>
  </si>
  <si>
    <t>oprava a údržba motorových vozidel</t>
  </si>
  <si>
    <t>revize a údržba požární signalizace</t>
  </si>
  <si>
    <t>ostatní údržba</t>
  </si>
  <si>
    <t>práce instalatérské</t>
  </si>
  <si>
    <t>oprava strojů a přístrojů</t>
  </si>
  <si>
    <t>údržba autoparku</t>
  </si>
  <si>
    <t>práce zámečnické</t>
  </si>
  <si>
    <t>masážní křeslo</t>
  </si>
  <si>
    <t>oprava obkladů</t>
  </si>
  <si>
    <t>prádelenský lis</t>
  </si>
  <si>
    <t>oprava vodohosp.infrastruktury</t>
  </si>
  <si>
    <t>oprava vodárny</t>
  </si>
  <si>
    <t>oprava dveří, obložení a rohů na chodbách</t>
  </si>
  <si>
    <t>signalizace</t>
  </si>
  <si>
    <t>opravy a údržba staveb</t>
  </si>
  <si>
    <t>údržba parku</t>
  </si>
  <si>
    <t>plynový sušič</t>
  </si>
  <si>
    <t>mandl</t>
  </si>
  <si>
    <t>klimatizace v prádelně</t>
  </si>
  <si>
    <t>myčka toaletních křesel</t>
  </si>
  <si>
    <t>opravy aut a ostatní opravy</t>
  </si>
  <si>
    <t>opravy a servis v kotelně</t>
  </si>
  <si>
    <t>oprava záložních zdrojů osvětlení</t>
  </si>
  <si>
    <t>oprava a servis výtahů</t>
  </si>
  <si>
    <t>rezerva</t>
  </si>
  <si>
    <t>oprava podlah, čištění lin</t>
  </si>
  <si>
    <t>oprava a servis el. zařízení</t>
  </si>
  <si>
    <t>Europračka</t>
  </si>
  <si>
    <t>bezdrátový tel. systém</t>
  </si>
  <si>
    <t>nátěry dveří a zárubní</t>
  </si>
  <si>
    <t>zpevnění ploch v zahradě</t>
  </si>
  <si>
    <t>revize</t>
  </si>
  <si>
    <t>opravy strojů a zařízení</t>
  </si>
  <si>
    <t>fyzioterapeut</t>
  </si>
  <si>
    <t>kráječ</t>
  </si>
  <si>
    <t xml:space="preserve">Dezinfekční stroj na podložní mísy </t>
  </si>
  <si>
    <t>brigádníci</t>
  </si>
  <si>
    <t>Cestovné 512</t>
  </si>
  <si>
    <t xml:space="preserve">Zvedací židle </t>
  </si>
  <si>
    <t>Běžné opravy</t>
  </si>
  <si>
    <t>masér</t>
  </si>
  <si>
    <t>kráječ chleba</t>
  </si>
  <si>
    <t>dělička těsta</t>
  </si>
  <si>
    <t>počítač</t>
  </si>
  <si>
    <t>varný kotel</t>
  </si>
  <si>
    <t>ostatní</t>
  </si>
  <si>
    <t>oprava auta</t>
  </si>
  <si>
    <t>docházkový systém</t>
  </si>
  <si>
    <t>Stav k 1.1.2006</t>
  </si>
  <si>
    <t>Stav k 31.12.2006</t>
  </si>
  <si>
    <t xml:space="preserve">  </t>
  </si>
  <si>
    <t>nákup auta</t>
  </si>
  <si>
    <t>kuchyně</t>
  </si>
  <si>
    <t>Výtah</t>
  </si>
  <si>
    <t>automobil</t>
  </si>
  <si>
    <t>odvod z odpisů</t>
  </si>
  <si>
    <t>Konečný stav k 31.12.</t>
  </si>
  <si>
    <t>odvod do rozp. zřizovatele</t>
  </si>
  <si>
    <t>zvedák ARJO</t>
  </si>
  <si>
    <t>/v tis. Kč/</t>
  </si>
  <si>
    <t>Skutečnost za rok 2006</t>
  </si>
  <si>
    <t>Návrh na rok 2007</t>
  </si>
  <si>
    <t>Rozdíl 2007 - 2006</t>
  </si>
  <si>
    <t>- příspěvek na provoz z KrÚ</t>
  </si>
  <si>
    <t>- dotace z MPSV</t>
  </si>
  <si>
    <t>Investice 2006</t>
  </si>
  <si>
    <t>Plán čerpání investičního fondu 2007</t>
  </si>
  <si>
    <t>neklidová místnost</t>
  </si>
  <si>
    <t>altán</t>
  </si>
  <si>
    <t>obložení rohů v kuchyni - tech. Zhodnocení</t>
  </si>
  <si>
    <t>rampa</t>
  </si>
  <si>
    <t>plot na zahradě</t>
  </si>
  <si>
    <t>EPS</t>
  </si>
  <si>
    <t>úprava dveří</t>
  </si>
  <si>
    <t>Opravy a údržba  2005</t>
  </si>
  <si>
    <t>Opravy a údržba 2006</t>
  </si>
  <si>
    <t>Plán oprav  dlouhodobého majetku  2007</t>
  </si>
  <si>
    <t>nátěry oken a mříží, plotů střechy</t>
  </si>
  <si>
    <t>servis a opravy výtahů</t>
  </si>
  <si>
    <t>malování prostor chodeb, pokojů</t>
  </si>
  <si>
    <t>oprava a servis aut</t>
  </si>
  <si>
    <t>nátěry balkonů v 5. patře</t>
  </si>
  <si>
    <t>servis v kotelně</t>
  </si>
  <si>
    <t>čištění lin</t>
  </si>
  <si>
    <t>oprava nátěru omítky</t>
  </si>
  <si>
    <t>oprava dláždění chodníků</t>
  </si>
  <si>
    <t>opravy rozvodů vody</t>
  </si>
  <si>
    <t>oprava dlažby chodníku</t>
  </si>
  <si>
    <t>oprava mandlu, další opravy</t>
  </si>
  <si>
    <t>Oprávky k 1.1.2007</t>
  </si>
  <si>
    <t>Účetní odpisy na rok 2007</t>
  </si>
  <si>
    <t>Zůstatková cena k 31.12.2007</t>
  </si>
  <si>
    <t>Zůstatek účtu k 1.1.2006</t>
  </si>
  <si>
    <t>Účetní stav 2006</t>
  </si>
  <si>
    <t>Zůstatek účtu k 31.12.2006</t>
  </si>
  <si>
    <t>Plán 2007</t>
  </si>
  <si>
    <t>Stav k 1.1.2007</t>
  </si>
  <si>
    <t>Stav k 31.12.2007</t>
  </si>
  <si>
    <t>stav k 31.12.2006</t>
  </si>
  <si>
    <t>/v Kč/</t>
  </si>
  <si>
    <t>Ústav sociální péče Ledeč nad Sázavou</t>
  </si>
  <si>
    <t>odsávač pary  / financování KÚ /</t>
  </si>
  <si>
    <t>sporák</t>
  </si>
  <si>
    <t>oprava podlah ,položení PVC</t>
  </si>
  <si>
    <t>oprava pokojů,omítky,PVC,osvětlení</t>
  </si>
  <si>
    <t>oprava pokojů,stropy,PVC</t>
  </si>
  <si>
    <t>malířské práce,oprava fasády</t>
  </si>
  <si>
    <t>oprava IM</t>
  </si>
  <si>
    <t>oprava el.rozvodů</t>
  </si>
  <si>
    <t>drobné opravy</t>
  </si>
  <si>
    <t>ostatní poravy</t>
  </si>
  <si>
    <t xml:space="preserve">Domov důchodců Onšov </t>
  </si>
  <si>
    <t xml:space="preserve">Konvektomat </t>
  </si>
  <si>
    <t xml:space="preserve">Odvod do rozpočtu zřizovatele </t>
  </si>
  <si>
    <t>Postupná obnova výtahu Kubešova</t>
  </si>
  <si>
    <t>Automobil na převoz stravy a prádla</t>
  </si>
  <si>
    <t>Skleněná přepážka pro uzavření oddělení</t>
  </si>
  <si>
    <t>Oprava záložního zdroje Kubešova</t>
  </si>
  <si>
    <t>Revize</t>
  </si>
  <si>
    <t>Oprava elektroinstalace Kubešova</t>
  </si>
  <si>
    <t>Oprava bazénu</t>
  </si>
  <si>
    <t>Oprava kuchyň + prádelna</t>
  </si>
  <si>
    <t>Udržování SW</t>
  </si>
  <si>
    <t>Domov důchodců Velký Újezd</t>
  </si>
  <si>
    <t xml:space="preserve">odvod zřizovateli </t>
  </si>
  <si>
    <t xml:space="preserve">Pračka </t>
  </si>
  <si>
    <t>Zvedací židle Calypo</t>
  </si>
  <si>
    <t xml:space="preserve">Běžné opravy a údržba </t>
  </si>
  <si>
    <t xml:space="preserve">Běžná oprava údržba </t>
  </si>
  <si>
    <t>stravovací personál</t>
  </si>
  <si>
    <t>myčka prov. Nádobí</t>
  </si>
  <si>
    <t>oprava nemovitého majetku</t>
  </si>
  <si>
    <t>doch. A vstupní systém</t>
  </si>
  <si>
    <t>kráječ knedlíků</t>
  </si>
  <si>
    <t>oprava příjezd.cesty+márnice</t>
  </si>
  <si>
    <t>malování, běžné prov. Opravy</t>
  </si>
  <si>
    <t>běžné provoz. Opravy</t>
  </si>
  <si>
    <t>oprava koupelny</t>
  </si>
  <si>
    <t>oprava ventilátoru</t>
  </si>
  <si>
    <t>kuchyň vzduchotechnika</t>
  </si>
  <si>
    <t>Domov důchodců Proseč u Pošné</t>
  </si>
  <si>
    <t>mandl želhlicí</t>
  </si>
  <si>
    <t>myčka sanitačních nádob</t>
  </si>
  <si>
    <t>tech.zhodnocení garáž</t>
  </si>
  <si>
    <t>*automobil: Kč 600,-- dotace KÚ</t>
  </si>
  <si>
    <t>sprchovací panel s lůžkem</t>
  </si>
  <si>
    <t>stojní</t>
  </si>
  <si>
    <t>stavební</t>
  </si>
  <si>
    <t>autopark</t>
  </si>
  <si>
    <t>opravy podlah - čerpáno z inv.fondu</t>
  </si>
  <si>
    <t>*stavební Kč 67000,-- čerpáno z rez.fondu</t>
  </si>
  <si>
    <t xml:space="preserve">Domov důchodců Ždírec </t>
  </si>
  <si>
    <t xml:space="preserve">nářezový stroj </t>
  </si>
  <si>
    <t>desinfektor</t>
  </si>
  <si>
    <t xml:space="preserve">škrabka na brambory </t>
  </si>
  <si>
    <t xml:space="preserve">odvod odpisů zřizovateli </t>
  </si>
  <si>
    <t xml:space="preserve">odovo odpisů zřizovateli </t>
  </si>
  <si>
    <t>malování 50</t>
  </si>
  <si>
    <t>opravy el.instalace</t>
  </si>
  <si>
    <t xml:space="preserve">oprava el.instalace </t>
  </si>
  <si>
    <t xml:space="preserve">opravy v kuchyni, pračky </t>
  </si>
  <si>
    <t>opravy podlah</t>
  </si>
  <si>
    <t>oprava kotle</t>
  </si>
  <si>
    <t xml:space="preserve">drobné opravy </t>
  </si>
  <si>
    <t xml:space="preserve">opravy kotlů a sporáku </t>
  </si>
  <si>
    <t xml:space="preserve">oprava regulátoru </t>
  </si>
  <si>
    <t xml:space="preserve">oprava lůžka Termo </t>
  </si>
  <si>
    <t xml:space="preserve">Pohledávky-půjčky zaměstnanců </t>
  </si>
  <si>
    <t>myčka</t>
  </si>
  <si>
    <t>čerpadlo</t>
  </si>
  <si>
    <t>práce elektroinstalatérské</t>
  </si>
  <si>
    <t>PPOP</t>
  </si>
  <si>
    <t>Convotherm</t>
  </si>
  <si>
    <t>Víceúčelový robot</t>
  </si>
  <si>
    <t>Myčka na sklo a nádobí</t>
  </si>
  <si>
    <t>Sušička</t>
  </si>
  <si>
    <t>Přístřešek na auta</t>
  </si>
  <si>
    <t>Sklad pracovní terapie</t>
  </si>
  <si>
    <t>Zahradní domek</t>
  </si>
  <si>
    <t>Oprava strojního zařízení</t>
  </si>
  <si>
    <t>Malby a nátěry</t>
  </si>
  <si>
    <t>Oprava a výměna plotu nádvoří</t>
  </si>
  <si>
    <t>Běžná údržba a opravy zařízení</t>
  </si>
  <si>
    <t>Oprava podlah. Krytin</t>
  </si>
  <si>
    <t>Oprava střechy</t>
  </si>
  <si>
    <t>Opravy dlažby nádvoří</t>
  </si>
  <si>
    <t>Postupná oprava el. Instalací</t>
  </si>
  <si>
    <t>Opravy venkovních omítek</t>
  </si>
  <si>
    <t>Oprava podlah na pokojích klientů a na chodbě</t>
  </si>
  <si>
    <t>Oprava podlah a oken - půda</t>
  </si>
  <si>
    <t>Ústav sociální péče Jinošov</t>
  </si>
  <si>
    <t>1 ks mycího a dezinfekčního automatu na  sanitár.</t>
  </si>
  <si>
    <t>odovod do rozpočtu zřízovatele</t>
  </si>
  <si>
    <t>nádoby</t>
  </si>
  <si>
    <t>mycí a dezinfekční automat na sanitár.nádoby</t>
  </si>
  <si>
    <t>odvlhčení budovy</t>
  </si>
  <si>
    <t>oprava nouzového osvětlení</t>
  </si>
  <si>
    <t>oprava oplocení areálu</t>
  </si>
  <si>
    <t>oprava vrátnice</t>
  </si>
  <si>
    <t>oprava dvěří a obložení</t>
  </si>
  <si>
    <t>opravy a údržba aut</t>
  </si>
  <si>
    <t>výměna PVC</t>
  </si>
  <si>
    <t>úprava a údržba parku</t>
  </si>
  <si>
    <t>oprava el. instalace</t>
  </si>
  <si>
    <t>oprava a údržba strojního zařízení</t>
  </si>
  <si>
    <t>oprava a údržba podlah.krytin</t>
  </si>
  <si>
    <t>opravy a údržba aut.</t>
  </si>
  <si>
    <t>opravy a údržba strojního zařízení</t>
  </si>
  <si>
    <t>Domov důchodců Proseč Obořiště</t>
  </si>
  <si>
    <t>kotel Vaillant - tech. zhodn. - Zámek</t>
  </si>
  <si>
    <t>kotel - Hájovna</t>
  </si>
  <si>
    <t>vana Bellentra</t>
  </si>
  <si>
    <t>sluneční kolektory - Zámek</t>
  </si>
  <si>
    <t>instalace el. bojlerů - Zámek</t>
  </si>
  <si>
    <t>opravy a údržba stavební</t>
  </si>
  <si>
    <t>výměna ohřívačů - Zámek</t>
  </si>
  <si>
    <t>oprava vodoinstalace</t>
  </si>
  <si>
    <t>oprava elektroinstalace</t>
  </si>
  <si>
    <t>oprava zdi a nový plot</t>
  </si>
  <si>
    <t>údržba parku a plotu</t>
  </si>
  <si>
    <t>oprava budovy  kanceláří</t>
  </si>
  <si>
    <t>oprava interiéru kaple</t>
  </si>
  <si>
    <t>Ústav sociální péče Zboží</t>
  </si>
  <si>
    <t>- dotace MPSV</t>
  </si>
  <si>
    <t>údržba výtahů</t>
  </si>
  <si>
    <t>opravy stroj. Zařízení</t>
  </si>
  <si>
    <t>opravy vodov. A WC</t>
  </si>
  <si>
    <t>malby</t>
  </si>
  <si>
    <t>el.sporák</t>
  </si>
  <si>
    <t>rozšíření PC sítě</t>
  </si>
  <si>
    <t>docház.systém</t>
  </si>
  <si>
    <t>docház.systém rozprac.</t>
  </si>
  <si>
    <t>Ústav sociální péče Lidmaň</t>
  </si>
  <si>
    <t>vestavba soc. zařízení</t>
  </si>
  <si>
    <t>přístroj na elektroléčbu</t>
  </si>
  <si>
    <t>průmyslová myčka nádobí</t>
  </si>
  <si>
    <t>pračka Primus</t>
  </si>
  <si>
    <t>oprava elektroinstalace 4. a 5.NP</t>
  </si>
  <si>
    <t>oprava izolace v koupelnách</t>
  </si>
  <si>
    <t>oprava automobilu</t>
  </si>
  <si>
    <t xml:space="preserve">oprava elektroinstalace 6.- 9. NP </t>
  </si>
  <si>
    <t>revize zařízení,EPS, výtahů, kotelny, el. zařízení</t>
  </si>
  <si>
    <t>malování celého objektu</t>
  </si>
  <si>
    <t>aktualizace software</t>
  </si>
  <si>
    <t>oprava vodovodního potrubí</t>
  </si>
  <si>
    <t>aktualizace aoftware</t>
  </si>
  <si>
    <t>oprava elektroinstalace v byt. jádrech</t>
  </si>
  <si>
    <t>opravy schodových hran</t>
  </si>
  <si>
    <t>Domov pro seniory Havlíčkův Brod</t>
  </si>
  <si>
    <t>Dezinfektor Meiko</t>
  </si>
  <si>
    <t>pračka se sušičkou</t>
  </si>
  <si>
    <t>9-místný automobil</t>
  </si>
  <si>
    <t>stavební úpravy koupelny v Břevnici</t>
  </si>
  <si>
    <t>vstupní brána v Břevnici na dálkové ovl.</t>
  </si>
  <si>
    <t>EPS na pokojích ve 2. patře HB</t>
  </si>
  <si>
    <t>okno u výtahu v HB a další st. práce</t>
  </si>
  <si>
    <t xml:space="preserve">havárie </t>
  </si>
  <si>
    <t>oplechování parapetů HB, nátěry</t>
  </si>
  <si>
    <t>centrální klíč v HB</t>
  </si>
  <si>
    <t>zpevněné plochy pod kontejnery Bř</t>
  </si>
  <si>
    <t>havarijní opravy výtahů a další havárie</t>
  </si>
  <si>
    <t>nepedagog.prac.- instruktoři</t>
  </si>
  <si>
    <t>osobníautomobil</t>
  </si>
  <si>
    <t>zažehlovací lis</t>
  </si>
  <si>
    <t>traktůrek s doplňky</t>
  </si>
  <si>
    <t>zámkový systém</t>
  </si>
  <si>
    <t>trouba plynová</t>
  </si>
  <si>
    <t>masážní stroj</t>
  </si>
  <si>
    <t>odvod do odpisů</t>
  </si>
  <si>
    <t xml:space="preserve">osobní automobil </t>
  </si>
  <si>
    <t>odvod odpisů</t>
  </si>
  <si>
    <t>oprava podlahy</t>
  </si>
  <si>
    <t>běžné opray</t>
  </si>
  <si>
    <t>=- Příspěvek PÚ</t>
  </si>
  <si>
    <t>vstupní a zabezpečovací systém</t>
  </si>
  <si>
    <t>pračka odpružená</t>
  </si>
  <si>
    <t>plynová sušička prádla</t>
  </si>
  <si>
    <t>zprac. proj. dokumentace</t>
  </si>
  <si>
    <t>rekonstrukce vstupních prostorů</t>
  </si>
  <si>
    <t>systém přepravy klientů na ležicím oddělení</t>
  </si>
  <si>
    <t>odvod do rozpočtu zřizovatle</t>
  </si>
  <si>
    <t>běžné opravy, malování</t>
  </si>
  <si>
    <t>oprava podlahovin</t>
  </si>
  <si>
    <t>sekačka na trávu</t>
  </si>
  <si>
    <t>Výměna velkokapacitní pračky 22 kg</t>
  </si>
  <si>
    <t>manipulační zařízení pro imobilní</t>
  </si>
  <si>
    <t>udržovací skříň</t>
  </si>
  <si>
    <t>Manipulační zařízení imobilní</t>
  </si>
  <si>
    <t>rehabilitační přístroj</t>
  </si>
  <si>
    <t>klemlířské a pokrývačské práce</t>
  </si>
  <si>
    <t>Oprava střech a okapů</t>
  </si>
  <si>
    <t>oprava podlah a obložení</t>
  </si>
  <si>
    <t>oprava hygienického zařízení oddělení</t>
  </si>
  <si>
    <t>oprava hygienických zařízení oddělení</t>
  </si>
  <si>
    <t>oprava praček prádla</t>
  </si>
  <si>
    <t>ooprava a výměna podlahových kritin</t>
  </si>
  <si>
    <t>oprava a výměna podlahových krytin</t>
  </si>
  <si>
    <t>revize a udržba požární signalizace</t>
  </si>
  <si>
    <t>opravy a údržba motorových vozidel</t>
  </si>
  <si>
    <t>orava a údržba motorových vozidel</t>
  </si>
  <si>
    <t xml:space="preserve">údržba střediska - nátěry </t>
  </si>
  <si>
    <t xml:space="preserve">Domov důchodců Humpolec </t>
  </si>
  <si>
    <t>Osobní automobil</t>
  </si>
  <si>
    <t>Kuchyňský robot</t>
  </si>
  <si>
    <t>Záloha na výtah</t>
  </si>
  <si>
    <t>Varný kotel</t>
  </si>
  <si>
    <t>Sušička prádla</t>
  </si>
  <si>
    <t>Podlahový mycí stroj</t>
  </si>
  <si>
    <t>Malby, nátěry</t>
  </si>
  <si>
    <t>Různé drobné opravy</t>
  </si>
  <si>
    <t>Oprava oken a vchodových dveří v Lužické</t>
  </si>
  <si>
    <t>Údržba v prádelně</t>
  </si>
  <si>
    <t>Údržba dřevěných staveb</t>
  </si>
  <si>
    <t>Stavební údržba</t>
  </si>
  <si>
    <t>Dotace MPSV na Intervenční centrum</t>
  </si>
  <si>
    <t>Výměna dveří</t>
  </si>
  <si>
    <t xml:space="preserve">   Topení WC</t>
  </si>
  <si>
    <t>Běžné opravy - budova</t>
  </si>
  <si>
    <t>Zimní pneumatiky</t>
  </si>
  <si>
    <t xml:space="preserve">   BRANO - vstupní dveře</t>
  </si>
  <si>
    <t xml:space="preserve">                         - auto</t>
  </si>
  <si>
    <t>Ostatní drobné -svítidla,křesla,dveře do sklepa….</t>
  </si>
  <si>
    <t xml:space="preserve">   Stavební úpravy Třebíč</t>
  </si>
  <si>
    <t xml:space="preserve">                         zařízení</t>
  </si>
  <si>
    <t xml:space="preserve">   Servis PC + telefon  + drobné opravy zařízení</t>
  </si>
  <si>
    <t xml:space="preserve">samočinné otvírání dveří </t>
  </si>
  <si>
    <t>myčka na nádobí</t>
  </si>
  <si>
    <t>vnitřní kamerový systém - I. etapa</t>
  </si>
  <si>
    <t>Domov pro seniory Velké Meziříčí</t>
  </si>
  <si>
    <t>odvod na účet zřizovatele</t>
  </si>
  <si>
    <t>odvod na účet zřiozovatele</t>
  </si>
  <si>
    <t>odd. se zvýšeným dohledem</t>
  </si>
  <si>
    <t>pračka 24 kg</t>
  </si>
  <si>
    <t>El. Trouba</t>
  </si>
  <si>
    <t>docházkový čipový systém</t>
  </si>
  <si>
    <t>rozšíření odd. se zvýšeným dohledem</t>
  </si>
  <si>
    <t>El. Zvedací židle Calypso</t>
  </si>
  <si>
    <t>zvedák</t>
  </si>
  <si>
    <t xml:space="preserve">automobil Opel </t>
  </si>
  <si>
    <t>sporák kombinovaný</t>
  </si>
  <si>
    <t>sporák elektrický</t>
  </si>
  <si>
    <t>opravy - voda,plyn,elektrika,EPS apod.</t>
  </si>
  <si>
    <t>malování, podlahy, udržování budovy</t>
  </si>
  <si>
    <t>podlaha v jídelně</t>
  </si>
  <si>
    <t>malování, omítky, PVC</t>
  </si>
  <si>
    <t>opravy strojů a zařízení, voda,plyn, elektrika apod</t>
  </si>
  <si>
    <t>opravy - voda,topení,odpady</t>
  </si>
  <si>
    <t>oprava strojů,přístrojů a zařízení</t>
  </si>
  <si>
    <t>oprava zařízení</t>
  </si>
  <si>
    <t>autoprovoz</t>
  </si>
  <si>
    <t>Diagnostický ústav sociální péče Černovice</t>
  </si>
  <si>
    <t>žehlicí stůl</t>
  </si>
  <si>
    <t>x</t>
  </si>
  <si>
    <t>Rezervní fond 2006</t>
  </si>
  <si>
    <t>Plán tvorby a čerpání rezervního fondu 2007</t>
  </si>
  <si>
    <t>K dalšímu rozvoji činnosti</t>
  </si>
  <si>
    <t>nákup osobního automobilu</t>
  </si>
  <si>
    <t xml:space="preserve">odvod do rozpočtu zřizovatele </t>
  </si>
  <si>
    <t>Ztráta z předchozích let</t>
  </si>
  <si>
    <t>Ústav sociálné péče Věž</t>
  </si>
  <si>
    <t>Nákup osobního automobilu</t>
  </si>
  <si>
    <t>Ústav sociální péče  Těchobuz</t>
  </si>
  <si>
    <t>Převod fond obyvatel</t>
  </si>
  <si>
    <t>Domov pro seniory Třebíč, Koutkova - Kubešova</t>
  </si>
  <si>
    <t>běžná oprava a údržba</t>
  </si>
  <si>
    <t>Na zhoršení VH</t>
  </si>
  <si>
    <t>strojní</t>
  </si>
  <si>
    <t>oprava a revize výtahů</t>
  </si>
  <si>
    <t>oprava a údržba vnitřního vybavení oddělení</t>
  </si>
  <si>
    <t xml:space="preserve">DD </t>
  </si>
  <si>
    <t>DD Kubešova</t>
  </si>
  <si>
    <t>DD K+K</t>
  </si>
  <si>
    <t>Koutkova</t>
  </si>
  <si>
    <t>Kubešova</t>
  </si>
  <si>
    <t>Převod z KFO</t>
  </si>
  <si>
    <t>Odvod do rozpočtu zřirovatele</t>
  </si>
  <si>
    <t>Pro klienty ústavu dle darovací smlouvy</t>
  </si>
  <si>
    <t>Pro klienty ústavu</t>
  </si>
  <si>
    <t>oprava a údržba kong. jednotky a plyn. kotle</t>
  </si>
  <si>
    <t>oprava a údržba nem. majetku</t>
  </si>
  <si>
    <t>K úhradě ztráty</t>
  </si>
  <si>
    <t>Vodovod pro rekreační zařízení Lhotka</t>
  </si>
  <si>
    <t>pracovní stůl nerezový - kuchyň Zámek</t>
  </si>
  <si>
    <t>raider (traktor) parkový</t>
  </si>
  <si>
    <t>kamerový systém</t>
  </si>
  <si>
    <t>pec-Axmann</t>
  </si>
  <si>
    <t>osobní auto</t>
  </si>
  <si>
    <t>sprchy</t>
  </si>
  <si>
    <t>myčky na nádobí</t>
  </si>
  <si>
    <t>Běžná oprava</t>
  </si>
  <si>
    <t>běžná oprava</t>
  </si>
  <si>
    <t>- dotace z ÚP</t>
  </si>
  <si>
    <t>server-zálohování dat, posílení sítě</t>
  </si>
  <si>
    <t>opravy a udržování</t>
  </si>
  <si>
    <t>opravy z fondu</t>
  </si>
  <si>
    <t>Ústav sociální péče Nové Syrovice</t>
  </si>
  <si>
    <t>Domov pro seniory Třebíč - Manž. Curieových</t>
  </si>
  <si>
    <t>Domov pro seniory Náměšť nad Oslavou</t>
  </si>
  <si>
    <t>Psychocentrum - MRP kraje Vysočina</t>
  </si>
  <si>
    <t>Ústav sociální péče Křižanov</t>
  </si>
  <si>
    <t>Domov pro seniory Mitrov</t>
  </si>
  <si>
    <t>Oprava kanalizace v budově v Lužické</t>
  </si>
  <si>
    <t>Opravy výtahů, prádelenských strojů, kuch.zařízení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</si>
</sst>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7" xfId="20" applyFont="1" applyFill="1" applyBorder="1" applyAlignment="1">
      <alignment horizontal="center" vertical="center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2" fillId="0" borderId="9" xfId="20" applyNumberFormat="1" applyFont="1" applyBorder="1" applyAlignment="1">
      <alignment horizontal="right" vertical="center"/>
      <protection/>
    </xf>
    <xf numFmtId="3" fontId="2" fillId="0" borderId="10" xfId="20" applyNumberFormat="1" applyFont="1" applyBorder="1" applyAlignment="1">
      <alignment horizontal="right" vertical="center"/>
      <protection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3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 quotePrefix="1">
      <alignment horizontal="center"/>
    </xf>
    <xf numFmtId="3" fontId="2" fillId="0" borderId="16" xfId="0" applyNumberFormat="1" applyFont="1" applyBorder="1" applyAlignment="1" quotePrefix="1">
      <alignment horizontal="center"/>
    </xf>
    <xf numFmtId="3" fontId="2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 quotePrefix="1">
      <alignment horizontal="center"/>
    </xf>
    <xf numFmtId="3" fontId="2" fillId="0" borderId="6" xfId="0" applyNumberFormat="1" applyFont="1" applyBorder="1" applyAlignment="1" quotePrefix="1">
      <alignment horizontal="center"/>
    </xf>
    <xf numFmtId="0" fontId="4" fillId="0" borderId="2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32" xfId="20" applyNumberFormat="1" applyFont="1" applyBorder="1" applyAlignment="1">
      <alignment horizontal="right" vertical="center"/>
      <protection/>
    </xf>
    <xf numFmtId="3" fontId="2" fillId="0" borderId="33" xfId="20" applyNumberFormat="1" applyFont="1" applyBorder="1" applyAlignment="1">
      <alignment horizontal="right" vertical="center"/>
      <protection/>
    </xf>
    <xf numFmtId="0" fontId="2" fillId="2" borderId="10" xfId="20" applyFont="1" applyFill="1" applyBorder="1" applyAlignment="1">
      <alignment horizontal="center" vertical="center"/>
      <protection/>
    </xf>
    <xf numFmtId="0" fontId="4" fillId="2" borderId="34" xfId="0" applyFont="1" applyFill="1" applyBorder="1" applyAlignment="1">
      <alignment vertical="top"/>
    </xf>
    <xf numFmtId="0" fontId="4" fillId="2" borderId="35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7" xfId="0" applyFont="1" applyFill="1" applyBorder="1" applyAlignment="1">
      <alignment vertical="top"/>
    </xf>
    <xf numFmtId="1" fontId="4" fillId="0" borderId="13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7" xfId="0" applyFont="1" applyBorder="1" applyAlignment="1">
      <alignment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3" fontId="4" fillId="0" borderId="43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3" fontId="2" fillId="4" borderId="46" xfId="0" applyNumberFormat="1" applyFont="1" applyFill="1" applyBorder="1" applyAlignment="1">
      <alignment vertical="center" wrapText="1"/>
    </xf>
    <xf numFmtId="10" fontId="2" fillId="4" borderId="47" xfId="0" applyNumberFormat="1" applyFont="1" applyFill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10" fontId="2" fillId="4" borderId="49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51" xfId="0" applyNumberFormat="1" applyFont="1" applyBorder="1" applyAlignment="1">
      <alignment vertical="center" wrapText="1"/>
    </xf>
    <xf numFmtId="0" fontId="5" fillId="0" borderId="46" xfId="0" applyFont="1" applyBorder="1" applyAlignment="1">
      <alignment horizontal="left"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2" fillId="4" borderId="38" xfId="0" applyNumberFormat="1" applyFont="1" applyFill="1" applyBorder="1" applyAlignment="1">
      <alignment vertical="center" wrapText="1"/>
    </xf>
    <xf numFmtId="10" fontId="2" fillId="4" borderId="41" xfId="0" applyNumberFormat="1" applyFont="1" applyFill="1" applyBorder="1" applyAlignment="1">
      <alignment vertical="center" wrapText="1"/>
    </xf>
    <xf numFmtId="10" fontId="2" fillId="4" borderId="40" xfId="0" applyNumberFormat="1" applyFont="1" applyFill="1" applyBorder="1" applyAlignment="1">
      <alignment vertical="center" wrapText="1"/>
    </xf>
    <xf numFmtId="0" fontId="2" fillId="3" borderId="52" xfId="0" applyFont="1" applyFill="1" applyBorder="1" applyAlignment="1">
      <alignment horizontal="left" vertical="center" wrapText="1"/>
    </xf>
    <xf numFmtId="3" fontId="2" fillId="3" borderId="52" xfId="0" applyNumberFormat="1" applyFont="1" applyFill="1" applyBorder="1" applyAlignment="1">
      <alignment vertical="center" wrapText="1"/>
    </xf>
    <xf numFmtId="3" fontId="2" fillId="3" borderId="53" xfId="0" applyNumberFormat="1" applyFont="1" applyFill="1" applyBorder="1" applyAlignment="1">
      <alignment vertical="center" wrapText="1"/>
    </xf>
    <xf numFmtId="3" fontId="2" fillId="3" borderId="54" xfId="0" applyNumberFormat="1" applyFont="1" applyFill="1" applyBorder="1" applyAlignment="1">
      <alignment vertical="center" wrapText="1"/>
    </xf>
    <xf numFmtId="3" fontId="2" fillId="4" borderId="52" xfId="0" applyNumberFormat="1" applyFont="1" applyFill="1" applyBorder="1" applyAlignment="1">
      <alignment vertical="center" wrapText="1"/>
    </xf>
    <xf numFmtId="10" fontId="2" fillId="4" borderId="53" xfId="0" applyNumberFormat="1" applyFont="1" applyFill="1" applyBorder="1" applyAlignment="1">
      <alignment vertical="center" wrapText="1"/>
    </xf>
    <xf numFmtId="3" fontId="2" fillId="3" borderId="55" xfId="0" applyNumberFormat="1" applyFont="1" applyFill="1" applyBorder="1" applyAlignment="1">
      <alignment vertical="center" wrapText="1"/>
    </xf>
    <xf numFmtId="10" fontId="2" fillId="4" borderId="54" xfId="0" applyNumberFormat="1" applyFont="1" applyFill="1" applyBorder="1" applyAlignment="1">
      <alignment vertical="center" wrapText="1"/>
    </xf>
    <xf numFmtId="0" fontId="4" fillId="0" borderId="56" xfId="0" applyFont="1" applyBorder="1" applyAlignment="1">
      <alignment horizontal="left" vertical="center" wrapText="1"/>
    </xf>
    <xf numFmtId="3" fontId="4" fillId="0" borderId="57" xfId="0" applyNumberFormat="1" applyFont="1" applyBorder="1" applyAlignment="1">
      <alignment vertical="center" wrapText="1"/>
    </xf>
    <xf numFmtId="3" fontId="2" fillId="4" borderId="43" xfId="0" applyNumberFormat="1" applyFont="1" applyFill="1" applyBorder="1" applyAlignment="1">
      <alignment vertical="center" wrapText="1"/>
    </xf>
    <xf numFmtId="10" fontId="2" fillId="4" borderId="58" xfId="0" applyNumberFormat="1" applyFont="1" applyFill="1" applyBorder="1" applyAlignment="1">
      <alignment vertical="center" wrapText="1"/>
    </xf>
    <xf numFmtId="3" fontId="4" fillId="0" borderId="59" xfId="0" applyNumberFormat="1" applyFont="1" applyBorder="1" applyAlignment="1">
      <alignment vertical="center" wrapText="1"/>
    </xf>
    <xf numFmtId="10" fontId="2" fillId="4" borderId="59" xfId="0" applyNumberFormat="1" applyFont="1" applyFill="1" applyBorder="1" applyAlignment="1">
      <alignment vertical="center" wrapText="1"/>
    </xf>
    <xf numFmtId="3" fontId="4" fillId="0" borderId="51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3" fontId="4" fillId="0" borderId="50" xfId="0" applyNumberFormat="1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3" fontId="4" fillId="0" borderId="42" xfId="0" applyNumberFormat="1" applyFont="1" applyBorder="1" applyAlignment="1">
      <alignment vertical="center" wrapText="1"/>
    </xf>
    <xf numFmtId="3" fontId="2" fillId="4" borderId="61" xfId="0" applyNumberFormat="1" applyFont="1" applyFill="1" applyBorder="1" applyAlignment="1">
      <alignment vertical="center" wrapText="1"/>
    </xf>
    <xf numFmtId="10" fontId="2" fillId="4" borderId="62" xfId="0" applyNumberFormat="1" applyFont="1" applyFill="1" applyBorder="1" applyAlignment="1">
      <alignment vertical="center" wrapText="1"/>
    </xf>
    <xf numFmtId="0" fontId="6" fillId="3" borderId="52" xfId="0" applyFont="1" applyFill="1" applyBorder="1" applyAlignment="1">
      <alignment horizontal="left" vertical="center" wrapText="1"/>
    </xf>
    <xf numFmtId="3" fontId="6" fillId="0" borderId="59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2" fillId="0" borderId="59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2" fillId="3" borderId="54" xfId="0" applyNumberFormat="1" applyFont="1" applyFill="1" applyBorder="1" applyAlignment="1">
      <alignment vertical="center"/>
    </xf>
    <xf numFmtId="3" fontId="6" fillId="0" borderId="58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/>
    </xf>
    <xf numFmtId="3" fontId="2" fillId="0" borderId="64" xfId="0" applyNumberFormat="1" applyFont="1" applyBorder="1" applyAlignment="1">
      <alignment horizontal="right"/>
    </xf>
    <xf numFmtId="3" fontId="2" fillId="3" borderId="53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/>
    </xf>
    <xf numFmtId="3" fontId="2" fillId="3" borderId="50" xfId="0" applyNumberFormat="1" applyFont="1" applyFill="1" applyBorder="1" applyAlignment="1">
      <alignment horizontal="center"/>
    </xf>
    <xf numFmtId="3" fontId="2" fillId="3" borderId="47" xfId="0" applyNumberFormat="1" applyFont="1" applyFill="1" applyBorder="1" applyAlignment="1">
      <alignment horizontal="center"/>
    </xf>
    <xf numFmtId="3" fontId="2" fillId="3" borderId="49" xfId="0" applyNumberFormat="1" applyFont="1" applyFill="1" applyBorder="1" applyAlignment="1">
      <alignment horizontal="center"/>
    </xf>
    <xf numFmtId="0" fontId="0" fillId="3" borderId="65" xfId="0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2" fillId="0" borderId="51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/>
    </xf>
    <xf numFmtId="3" fontId="2" fillId="0" borderId="68" xfId="0" applyNumberFormat="1" applyFont="1" applyBorder="1" applyAlignment="1">
      <alignment/>
    </xf>
    <xf numFmtId="0" fontId="2" fillId="0" borderId="65" xfId="0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1" fontId="2" fillId="0" borderId="65" xfId="0" applyNumberFormat="1" applyFont="1" applyBorder="1" applyAlignment="1">
      <alignment horizontal="center"/>
    </xf>
    <xf numFmtId="3" fontId="2" fillId="0" borderId="69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0" fontId="6" fillId="3" borderId="5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wrapText="1"/>
    </xf>
    <xf numFmtId="4" fontId="6" fillId="0" borderId="50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1" xfId="0" applyNumberFormat="1" applyFont="1" applyBorder="1" applyAlignment="1">
      <alignment horizontal="right"/>
    </xf>
    <xf numFmtId="4" fontId="6" fillId="0" borderId="50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0" fontId="6" fillId="0" borderId="65" xfId="0" applyFont="1" applyBorder="1" applyAlignment="1">
      <alignment wrapText="1"/>
    </xf>
    <xf numFmtId="4" fontId="6" fillId="0" borderId="66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65" xfId="0" applyNumberFormat="1" applyFont="1" applyBorder="1" applyAlignment="1">
      <alignment horizontal="right"/>
    </xf>
    <xf numFmtId="4" fontId="6" fillId="0" borderId="66" xfId="0" applyNumberFormat="1" applyFont="1" applyBorder="1" applyAlignment="1">
      <alignment horizontal="right"/>
    </xf>
    <xf numFmtId="4" fontId="6" fillId="0" borderId="67" xfId="0" applyNumberFormat="1" applyFont="1" applyFill="1" applyBorder="1" applyAlignment="1">
      <alignment horizontal="right"/>
    </xf>
    <xf numFmtId="3" fontId="4" fillId="0" borderId="27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7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71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 quotePrefix="1">
      <alignment horizontal="right"/>
    </xf>
    <xf numFmtId="3" fontId="2" fillId="0" borderId="72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 quotePrefix="1">
      <alignment horizontal="center"/>
    </xf>
    <xf numFmtId="3" fontId="2" fillId="0" borderId="22" xfId="0" applyNumberFormat="1" applyFont="1" applyBorder="1" applyAlignment="1" quotePrefix="1">
      <alignment horizontal="center"/>
    </xf>
    <xf numFmtId="3" fontId="2" fillId="0" borderId="28" xfId="0" applyNumberFormat="1" applyFont="1" applyBorder="1" applyAlignment="1" quotePrefix="1">
      <alignment horizontal="center"/>
    </xf>
    <xf numFmtId="3" fontId="2" fillId="0" borderId="3" xfId="0" applyNumberFormat="1" applyFont="1" applyFill="1" applyBorder="1" applyAlignment="1" quotePrefix="1">
      <alignment horizontal="right"/>
    </xf>
    <xf numFmtId="3" fontId="2" fillId="0" borderId="6" xfId="0" applyNumberFormat="1" applyFont="1" applyBorder="1" applyAlignment="1" quotePrefix="1">
      <alignment horizontal="right"/>
    </xf>
    <xf numFmtId="3" fontId="4" fillId="0" borderId="75" xfId="0" applyNumberFormat="1" applyFont="1" applyFill="1" applyBorder="1" applyAlignment="1">
      <alignment vertical="center" wrapText="1"/>
    </xf>
    <xf numFmtId="0" fontId="2" fillId="3" borderId="76" xfId="0" applyFont="1" applyFill="1" applyBorder="1" applyAlignment="1">
      <alignment horizontal="left" vertical="center" wrapText="1"/>
    </xf>
    <xf numFmtId="0" fontId="4" fillId="3" borderId="77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3" fontId="2" fillId="3" borderId="76" xfId="0" applyNumberFormat="1" applyFont="1" applyFill="1" applyBorder="1" applyAlignment="1">
      <alignment vertical="center" wrapText="1"/>
    </xf>
    <xf numFmtId="3" fontId="2" fillId="3" borderId="62" xfId="0" applyNumberFormat="1" applyFont="1" applyFill="1" applyBorder="1" applyAlignment="1">
      <alignment vertical="center" wrapText="1"/>
    </xf>
    <xf numFmtId="3" fontId="2" fillId="3" borderId="79" xfId="0" applyNumberFormat="1" applyFont="1" applyFill="1" applyBorder="1" applyAlignment="1">
      <alignment vertical="center" wrapText="1"/>
    </xf>
    <xf numFmtId="0" fontId="4" fillId="3" borderId="63" xfId="0" applyFont="1" applyFill="1" applyBorder="1" applyAlignment="1">
      <alignment horizontal="center"/>
    </xf>
    <xf numFmtId="3" fontId="2" fillId="4" borderId="76" xfId="0" applyNumberFormat="1" applyFont="1" applyFill="1" applyBorder="1" applyAlignment="1">
      <alignment vertical="center" wrapText="1"/>
    </xf>
    <xf numFmtId="3" fontId="2" fillId="4" borderId="27" xfId="0" applyNumberFormat="1" applyFont="1" applyFill="1" applyBorder="1" applyAlignment="1">
      <alignment vertical="center" wrapText="1"/>
    </xf>
    <xf numFmtId="10" fontId="2" fillId="4" borderId="28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vertical="center" wrapText="1"/>
    </xf>
    <xf numFmtId="10" fontId="2" fillId="4" borderId="6" xfId="0" applyNumberFormat="1" applyFont="1" applyFill="1" applyBorder="1" applyAlignment="1">
      <alignment vertical="center" wrapText="1"/>
    </xf>
    <xf numFmtId="10" fontId="2" fillId="4" borderId="70" xfId="0" applyNumberFormat="1" applyFont="1" applyFill="1" applyBorder="1" applyAlignment="1">
      <alignment vertical="center" wrapText="1"/>
    </xf>
    <xf numFmtId="10" fontId="2" fillId="4" borderId="18" xfId="0" applyNumberFormat="1" applyFont="1" applyFill="1" applyBorder="1" applyAlignment="1">
      <alignment vertical="center" wrapText="1"/>
    </xf>
    <xf numFmtId="0" fontId="4" fillId="3" borderId="80" xfId="0" applyFont="1" applyFill="1" applyBorder="1" applyAlignment="1">
      <alignment horizontal="center"/>
    </xf>
    <xf numFmtId="3" fontId="2" fillId="3" borderId="81" xfId="0" applyNumberFormat="1" applyFont="1" applyFill="1" applyBorder="1" applyAlignment="1">
      <alignment vertical="center" wrapText="1"/>
    </xf>
    <xf numFmtId="10" fontId="2" fillId="4" borderId="79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4" fillId="0" borderId="8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4" fillId="0" borderId="8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2" fillId="3" borderId="88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3" fontId="2" fillId="0" borderId="3" xfId="0" applyNumberFormat="1" applyFont="1" applyBorder="1" applyAlignment="1" quotePrefix="1">
      <alignment horizontal="right"/>
    </xf>
    <xf numFmtId="3" fontId="2" fillId="0" borderId="16" xfId="0" applyNumberFormat="1" applyFont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7" fillId="0" borderId="0" xfId="18" applyAlignment="1">
      <alignment/>
    </xf>
    <xf numFmtId="0" fontId="4" fillId="0" borderId="83" xfId="0" applyFont="1" applyBorder="1" applyAlignment="1" quotePrefix="1">
      <alignment horizontal="left" vertical="center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9" xfId="0" applyFont="1" applyBorder="1" applyAlignment="1">
      <alignment horizontal="left" vertical="center" wrapText="1"/>
    </xf>
    <xf numFmtId="3" fontId="4" fillId="0" borderId="90" xfId="0" applyNumberFormat="1" applyFont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2" fillId="4" borderId="90" xfId="0" applyNumberFormat="1" applyFont="1" applyFill="1" applyBorder="1" applyAlignment="1">
      <alignment vertical="center" wrapText="1"/>
    </xf>
    <xf numFmtId="10" fontId="2" fillId="4" borderId="68" xfId="0" applyNumberFormat="1" applyFont="1" applyFill="1" applyBorder="1" applyAlignment="1">
      <alignment vertical="center" wrapText="1"/>
    </xf>
    <xf numFmtId="0" fontId="4" fillId="0" borderId="9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vertical="center" wrapText="1"/>
    </xf>
    <xf numFmtId="3" fontId="2" fillId="4" borderId="51" xfId="0" applyNumberFormat="1" applyFont="1" applyFill="1" applyBorder="1" applyAlignment="1">
      <alignment vertical="center" wrapText="1"/>
    </xf>
    <xf numFmtId="0" fontId="5" fillId="0" borderId="93" xfId="0" applyFont="1" applyBorder="1" applyAlignment="1">
      <alignment horizontal="left" vertical="center" wrapText="1"/>
    </xf>
    <xf numFmtId="49" fontId="4" fillId="0" borderId="94" xfId="0" applyNumberFormat="1" applyFont="1" applyBorder="1" applyAlignment="1">
      <alignment horizontal="left" vertical="center" wrapText="1"/>
    </xf>
    <xf numFmtId="49" fontId="4" fillId="0" borderId="95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3" borderId="91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3" borderId="66" xfId="20" applyFont="1" applyFill="1" applyBorder="1" applyAlignment="1">
      <alignment horizontal="center" vertical="center"/>
      <protection/>
    </xf>
    <xf numFmtId="0" fontId="2" fillId="3" borderId="67" xfId="20" applyFont="1" applyFill="1" applyBorder="1" applyAlignment="1">
      <alignment horizontal="center" vertical="center"/>
      <protection/>
    </xf>
    <xf numFmtId="3" fontId="5" fillId="0" borderId="50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2" fillId="0" borderId="60" xfId="20" applyNumberFormat="1" applyFont="1" applyBorder="1" applyAlignment="1">
      <alignment horizontal="center" vertical="center"/>
      <protection/>
    </xf>
    <xf numFmtId="3" fontId="2" fillId="0" borderId="69" xfId="20" applyNumberFormat="1" applyFont="1" applyBorder="1" applyAlignment="1">
      <alignment horizontal="right" vertical="center"/>
      <protection/>
    </xf>
    <xf numFmtId="3" fontId="2" fillId="0" borderId="62" xfId="20" applyNumberFormat="1" applyFont="1" applyBorder="1" applyAlignment="1">
      <alignment horizontal="right" vertical="center"/>
      <protection/>
    </xf>
    <xf numFmtId="3" fontId="2" fillId="0" borderId="96" xfId="20" applyNumberFormat="1" applyFont="1" applyBorder="1" applyAlignment="1">
      <alignment horizontal="right" vertical="center"/>
      <protection/>
    </xf>
    <xf numFmtId="1" fontId="4" fillId="0" borderId="79" xfId="0" applyNumberFormat="1" applyFont="1" applyBorder="1" applyAlignment="1">
      <alignment/>
    </xf>
    <xf numFmtId="3" fontId="2" fillId="0" borderId="67" xfId="20" applyNumberFormat="1" applyFont="1" applyBorder="1" applyAlignment="1">
      <alignment horizontal="right" vertical="center"/>
      <protection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0" fontId="6" fillId="3" borderId="81" xfId="0" applyFont="1" applyFill="1" applyBorder="1" applyAlignment="1">
      <alignment horizontal="center" vertical="center" wrapText="1"/>
    </xf>
    <xf numFmtId="0" fontId="6" fillId="3" borderId="97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98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1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99" xfId="0" applyNumberFormat="1" applyFont="1" applyBorder="1" applyAlignment="1">
      <alignment/>
    </xf>
    <xf numFmtId="3" fontId="2" fillId="0" borderId="100" xfId="0" applyNumberFormat="1" applyFont="1" applyBorder="1" applyAlignment="1">
      <alignment horizontal="center"/>
    </xf>
    <xf numFmtId="3" fontId="2" fillId="0" borderId="90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0" fontId="6" fillId="0" borderId="93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93" xfId="0" applyNumberFormat="1" applyFont="1" applyBorder="1" applyAlignment="1">
      <alignment/>
    </xf>
    <xf numFmtId="3" fontId="2" fillId="0" borderId="101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right"/>
    </xf>
    <xf numFmtId="3" fontId="2" fillId="0" borderId="46" xfId="0" applyNumberFormat="1" applyFont="1" applyBorder="1" applyAlignment="1">
      <alignment horizontal="center"/>
    </xf>
    <xf numFmtId="3" fontId="2" fillId="0" borderId="101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6" fillId="0" borderId="95" xfId="0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95" xfId="0" applyNumberFormat="1" applyFont="1" applyBorder="1" applyAlignment="1">
      <alignment/>
    </xf>
    <xf numFmtId="3" fontId="2" fillId="0" borderId="102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vertical="center" wrapText="1"/>
    </xf>
    <xf numFmtId="10" fontId="2" fillId="4" borderId="71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10" fontId="2" fillId="4" borderId="3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3" fontId="4" fillId="0" borderId="41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3" fontId="2" fillId="4" borderId="42" xfId="0" applyNumberFormat="1" applyFont="1" applyFill="1" applyBorder="1" applyAlignment="1">
      <alignment vertical="center" wrapText="1"/>
    </xf>
    <xf numFmtId="3" fontId="2" fillId="3" borderId="103" xfId="0" applyNumberFormat="1" applyFont="1" applyFill="1" applyBorder="1" applyAlignment="1">
      <alignment vertical="center" wrapText="1"/>
    </xf>
    <xf numFmtId="3" fontId="2" fillId="3" borderId="104" xfId="0" applyNumberFormat="1" applyFont="1" applyFill="1" applyBorder="1" applyAlignment="1">
      <alignment vertical="center" wrapText="1"/>
    </xf>
    <xf numFmtId="3" fontId="2" fillId="3" borderId="105" xfId="0" applyNumberFormat="1" applyFont="1" applyFill="1" applyBorder="1" applyAlignment="1">
      <alignment vertical="center" wrapText="1"/>
    </xf>
    <xf numFmtId="3" fontId="2" fillId="3" borderId="106" xfId="0" applyNumberFormat="1" applyFont="1" applyFill="1" applyBorder="1" applyAlignment="1">
      <alignment vertical="center" wrapText="1"/>
    </xf>
    <xf numFmtId="3" fontId="2" fillId="4" borderId="106" xfId="0" applyNumberFormat="1" applyFont="1" applyFill="1" applyBorder="1" applyAlignment="1">
      <alignment vertical="center" wrapText="1"/>
    </xf>
    <xf numFmtId="3" fontId="2" fillId="3" borderId="107" xfId="0" applyNumberFormat="1" applyFont="1" applyFill="1" applyBorder="1" applyAlignment="1">
      <alignment vertical="center" wrapText="1"/>
    </xf>
    <xf numFmtId="10" fontId="2" fillId="4" borderId="108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3" borderId="109" xfId="0" applyNumberFormat="1" applyFont="1" applyFill="1" applyBorder="1" applyAlignment="1">
      <alignment horizontal="center" vertical="center" wrapText="1"/>
    </xf>
    <xf numFmtId="3" fontId="2" fillId="3" borderId="79" xfId="0" applyNumberFormat="1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2" fillId="0" borderId="84" xfId="0" applyNumberFormat="1" applyFont="1" applyBorder="1" applyAlignment="1">
      <alignment horizontal="right"/>
    </xf>
    <xf numFmtId="3" fontId="2" fillId="0" borderId="85" xfId="0" applyNumberFormat="1" applyFont="1" applyBorder="1" applyAlignment="1">
      <alignment horizontal="right"/>
    </xf>
    <xf numFmtId="3" fontId="2" fillId="0" borderId="86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4" fillId="2" borderId="36" xfId="0" applyFont="1" applyFill="1" applyBorder="1" applyAlignment="1">
      <alignment vertical="top"/>
    </xf>
    <xf numFmtId="0" fontId="6" fillId="0" borderId="1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3" fontId="4" fillId="0" borderId="111" xfId="0" applyNumberFormat="1" applyFont="1" applyBorder="1" applyAlignment="1">
      <alignment vertical="center" wrapText="1"/>
    </xf>
    <xf numFmtId="3" fontId="4" fillId="0" borderId="112" xfId="0" applyNumberFormat="1" applyFont="1" applyBorder="1" applyAlignment="1">
      <alignment vertical="center" wrapText="1"/>
    </xf>
    <xf numFmtId="3" fontId="4" fillId="0" borderId="112" xfId="0" applyNumberFormat="1" applyFont="1" applyFill="1" applyBorder="1" applyAlignment="1">
      <alignment vertical="center" wrapText="1"/>
    </xf>
    <xf numFmtId="3" fontId="4" fillId="0" borderId="113" xfId="0" applyNumberFormat="1" applyFont="1" applyFill="1" applyBorder="1" applyAlignment="1">
      <alignment vertical="center" wrapText="1"/>
    </xf>
    <xf numFmtId="3" fontId="2" fillId="4" borderId="114" xfId="0" applyNumberFormat="1" applyFont="1" applyFill="1" applyBorder="1" applyAlignment="1">
      <alignment vertical="center" wrapText="1"/>
    </xf>
    <xf numFmtId="10" fontId="2" fillId="4" borderId="115" xfId="0" applyNumberFormat="1" applyFont="1" applyFill="1" applyBorder="1" applyAlignment="1">
      <alignment vertical="center" wrapText="1"/>
    </xf>
    <xf numFmtId="3" fontId="2" fillId="4" borderId="20" xfId="0" applyNumberFormat="1" applyFont="1" applyFill="1" applyBorder="1" applyAlignment="1">
      <alignment vertical="center" wrapText="1"/>
    </xf>
    <xf numFmtId="10" fontId="2" fillId="4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horizontal="right"/>
    </xf>
    <xf numFmtId="10" fontId="2" fillId="4" borderId="9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116" xfId="0" applyNumberFormat="1" applyFont="1" applyBorder="1" applyAlignment="1">
      <alignment/>
    </xf>
    <xf numFmtId="3" fontId="4" fillId="0" borderId="11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4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/>
    </xf>
    <xf numFmtId="3" fontId="4" fillId="0" borderId="117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vertical="center" wrapText="1"/>
    </xf>
    <xf numFmtId="3" fontId="2" fillId="3" borderId="118" xfId="0" applyNumberFormat="1" applyFont="1" applyFill="1" applyBorder="1" applyAlignment="1">
      <alignment vertical="center" wrapText="1"/>
    </xf>
    <xf numFmtId="3" fontId="2" fillId="3" borderId="119" xfId="0" applyNumberFormat="1" applyFont="1" applyFill="1" applyBorder="1" applyAlignment="1">
      <alignment vertical="center" wrapText="1"/>
    </xf>
    <xf numFmtId="3" fontId="2" fillId="3" borderId="115" xfId="0" applyNumberFormat="1" applyFont="1" applyFill="1" applyBorder="1" applyAlignment="1">
      <alignment vertical="center" wrapText="1"/>
    </xf>
    <xf numFmtId="10" fontId="2" fillId="4" borderId="118" xfId="0" applyNumberFormat="1" applyFont="1" applyFill="1" applyBorder="1" applyAlignment="1">
      <alignment vertical="center" wrapText="1"/>
    </xf>
    <xf numFmtId="4" fontId="2" fillId="0" borderId="51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3" fontId="4" fillId="0" borderId="120" xfId="0" applyNumberFormat="1" applyFont="1" applyBorder="1" applyAlignment="1">
      <alignment vertical="center" wrapText="1"/>
    </xf>
    <xf numFmtId="3" fontId="4" fillId="0" borderId="75" xfId="0" applyNumberFormat="1" applyFont="1" applyBorder="1" applyAlignment="1">
      <alignment vertical="center" wrapText="1"/>
    </xf>
    <xf numFmtId="0" fontId="4" fillId="0" borderId="1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122" xfId="0" applyNumberFormat="1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6" fillId="0" borderId="7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3" borderId="9" xfId="0" applyNumberFormat="1" applyFont="1" applyFill="1" applyBorder="1" applyAlignment="1">
      <alignment vertical="center"/>
    </xf>
    <xf numFmtId="3" fontId="6" fillId="0" borderId="70" xfId="0" applyNumberFormat="1" applyFont="1" applyBorder="1" applyAlignment="1">
      <alignment/>
    </xf>
    <xf numFmtId="3" fontId="2" fillId="3" borderId="92" xfId="0" applyNumberFormat="1" applyFont="1" applyFill="1" applyBorder="1" applyAlignment="1">
      <alignment horizontal="center" vertical="center"/>
    </xf>
    <xf numFmtId="0" fontId="1" fillId="3" borderId="123" xfId="0" applyFont="1" applyFill="1" applyBorder="1" applyAlignment="1">
      <alignment horizontal="center" vertical="center"/>
    </xf>
    <xf numFmtId="0" fontId="1" fillId="3" borderId="10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0" borderId="68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3" fillId="3" borderId="90" xfId="0" applyFont="1" applyFill="1" applyBorder="1" applyAlignment="1">
      <alignment vertical="center"/>
    </xf>
    <xf numFmtId="0" fontId="2" fillId="3" borderId="91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2" fillId="3" borderId="125" xfId="0" applyNumberFormat="1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 wrapText="1"/>
    </xf>
    <xf numFmtId="3" fontId="2" fillId="3" borderId="126" xfId="0" applyNumberFormat="1" applyFont="1" applyFill="1" applyBorder="1" applyAlignment="1">
      <alignment horizontal="center" vertical="center"/>
    </xf>
    <xf numFmtId="3" fontId="2" fillId="3" borderId="89" xfId="0" applyNumberFormat="1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3" fontId="2" fillId="3" borderId="76" xfId="0" applyNumberFormat="1" applyFont="1" applyFill="1" applyBorder="1" applyAlignment="1">
      <alignment vertical="center"/>
    </xf>
    <xf numFmtId="3" fontId="2" fillId="3" borderId="97" xfId="0" applyNumberFormat="1" applyFont="1" applyFill="1" applyBorder="1" applyAlignment="1">
      <alignment vertical="center"/>
    </xf>
    <xf numFmtId="0" fontId="2" fillId="3" borderId="81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12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2" fillId="3" borderId="54" xfId="0" applyNumberFormat="1" applyFont="1" applyFill="1" applyBorder="1" applyAlignment="1">
      <alignment horizontal="center" vertical="center"/>
    </xf>
    <xf numFmtId="3" fontId="6" fillId="0" borderId="128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29" xfId="0" applyNumberFormat="1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2" fillId="3" borderId="55" xfId="0" applyNumberFormat="1" applyFont="1" applyFill="1" applyBorder="1" applyAlignment="1">
      <alignment vertical="center"/>
    </xf>
    <xf numFmtId="3" fontId="2" fillId="3" borderId="81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9" fillId="3" borderId="130" xfId="0" applyFont="1" applyFill="1" applyBorder="1" applyAlignment="1">
      <alignment horizontal="center" vertical="center"/>
    </xf>
    <xf numFmtId="0" fontId="9" fillId="3" borderId="131" xfId="0" applyFont="1" applyFill="1" applyBorder="1" applyAlignment="1">
      <alignment horizontal="center" vertical="center"/>
    </xf>
    <xf numFmtId="0" fontId="9" fillId="3" borderId="13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3" fontId="2" fillId="3" borderId="133" xfId="0" applyNumberFormat="1" applyFont="1" applyFill="1" applyBorder="1" applyAlignment="1">
      <alignment horizontal="center" vertical="center"/>
    </xf>
    <xf numFmtId="3" fontId="2" fillId="3" borderId="134" xfId="0" applyNumberFormat="1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horizontal="left" vertical="center"/>
    </xf>
    <xf numFmtId="3" fontId="9" fillId="3" borderId="135" xfId="0" applyNumberFormat="1" applyFont="1" applyFill="1" applyBorder="1" applyAlignment="1">
      <alignment horizontal="left" vertical="center"/>
    </xf>
    <xf numFmtId="3" fontId="6" fillId="0" borderId="51" xfId="0" applyNumberFormat="1" applyFont="1" applyBorder="1" applyAlignment="1">
      <alignment/>
    </xf>
    <xf numFmtId="3" fontId="6" fillId="0" borderId="51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48" xfId="0" applyNumberFormat="1" applyFont="1" applyBorder="1" applyAlignment="1">
      <alignment horizontal="left"/>
    </xf>
    <xf numFmtId="3" fontId="6" fillId="0" borderId="48" xfId="0" applyNumberFormat="1" applyFont="1" applyBorder="1" applyAlignment="1">
      <alignment/>
    </xf>
    <xf numFmtId="3" fontId="6" fillId="0" borderId="135" xfId="0" applyNumberFormat="1" applyFont="1" applyBorder="1" applyAlignment="1">
      <alignment/>
    </xf>
    <xf numFmtId="3" fontId="2" fillId="3" borderId="109" xfId="0" applyNumberFormat="1" applyFont="1" applyFill="1" applyBorder="1" applyAlignment="1">
      <alignment horizontal="center" vertical="center" wrapText="1"/>
    </xf>
    <xf numFmtId="4" fontId="2" fillId="3" borderId="109" xfId="0" applyNumberFormat="1" applyFont="1" applyFill="1" applyBorder="1" applyAlignment="1">
      <alignment horizontal="center" vertical="center" wrapText="1"/>
    </xf>
    <xf numFmtId="3" fontId="2" fillId="3" borderId="52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top"/>
    </xf>
    <xf numFmtId="0" fontId="4" fillId="2" borderId="136" xfId="0" applyFont="1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2" fillId="2" borderId="103" xfId="0" applyFont="1" applyFill="1" applyBorder="1" applyAlignment="1">
      <alignment vertical="top"/>
    </xf>
    <xf numFmtId="0" fontId="0" fillId="0" borderId="37" xfId="0" applyBorder="1" applyAlignment="1">
      <alignment/>
    </xf>
    <xf numFmtId="0" fontId="4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137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120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5" fillId="3" borderId="90" xfId="0" applyFont="1" applyFill="1" applyBorder="1" applyAlignment="1">
      <alignment vertical="center"/>
    </xf>
    <xf numFmtId="0" fontId="2" fillId="3" borderId="65" xfId="20" applyFont="1" applyFill="1" applyBorder="1" applyAlignment="1">
      <alignment horizontal="center" vertical="center"/>
      <protection/>
    </xf>
    <xf numFmtId="0" fontId="2" fillId="3" borderId="49" xfId="20" applyFont="1" applyFill="1" applyBorder="1" applyAlignment="1">
      <alignment horizontal="center" vertical="center"/>
      <protection/>
    </xf>
    <xf numFmtId="0" fontId="2" fillId="3" borderId="52" xfId="20" applyFont="1" applyFill="1" applyBorder="1" applyAlignment="1">
      <alignment horizontal="center" vertical="center"/>
      <protection/>
    </xf>
    <xf numFmtId="0" fontId="2" fillId="3" borderId="53" xfId="20" applyFont="1" applyFill="1" applyBorder="1" applyAlignment="1">
      <alignment horizontal="center" vertical="center" wrapText="1"/>
      <protection/>
    </xf>
    <xf numFmtId="0" fontId="3" fillId="3" borderId="89" xfId="20" applyFont="1" applyFill="1" applyBorder="1" applyAlignment="1">
      <alignment horizontal="center" vertical="center"/>
      <protection/>
    </xf>
    <xf numFmtId="0" fontId="6" fillId="3" borderId="138" xfId="20" applyFont="1" applyFill="1" applyBorder="1" applyAlignment="1">
      <alignment horizontal="center" vertical="center" wrapText="1"/>
      <protection/>
    </xf>
    <xf numFmtId="0" fontId="2" fillId="3" borderId="138" xfId="0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vertical="center"/>
    </xf>
    <xf numFmtId="0" fontId="6" fillId="3" borderId="52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/>
    </xf>
    <xf numFmtId="0" fontId="6" fillId="3" borderId="10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39" xfId="0" applyFont="1" applyFill="1" applyBorder="1" applyAlignment="1">
      <alignment horizontal="center" vertical="center"/>
    </xf>
    <xf numFmtId="0" fontId="9" fillId="2" borderId="103" xfId="0" applyFont="1" applyFill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3" fontId="6" fillId="0" borderId="141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80" xfId="0" applyNumberFormat="1" applyFont="1" applyBorder="1" applyAlignment="1">
      <alignment horizontal="left"/>
    </xf>
    <xf numFmtId="3" fontId="2" fillId="3" borderId="142" xfId="0" applyNumberFormat="1" applyFont="1" applyFill="1" applyBorder="1" applyAlignment="1">
      <alignment vertical="center"/>
    </xf>
    <xf numFmtId="3" fontId="2" fillId="3" borderId="143" xfId="0" applyNumberFormat="1" applyFont="1" applyFill="1" applyBorder="1" applyAlignment="1">
      <alignment vertical="center"/>
    </xf>
    <xf numFmtId="3" fontId="2" fillId="3" borderId="144" xfId="0" applyNumberFormat="1" applyFont="1" applyFill="1" applyBorder="1" applyAlignment="1">
      <alignment vertical="center"/>
    </xf>
    <xf numFmtId="3" fontId="6" fillId="0" borderId="47" xfId="0" applyNumberFormat="1" applyFont="1" applyBorder="1" applyAlignment="1">
      <alignment/>
    </xf>
    <xf numFmtId="0" fontId="2" fillId="2" borderId="145" xfId="20" applyFont="1" applyFill="1" applyBorder="1" applyAlignment="1">
      <alignment horizontal="center" vertical="center"/>
      <protection/>
    </xf>
    <xf numFmtId="0" fontId="0" fillId="0" borderId="141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2" fillId="2" borderId="147" xfId="20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2" borderId="27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2" borderId="148" xfId="20" applyFont="1" applyFill="1" applyBorder="1" applyAlignment="1">
      <alignment horizontal="center" vertical="center" wrapText="1"/>
      <protection/>
    </xf>
    <xf numFmtId="0" fontId="5" fillId="0" borderId="149" xfId="0" applyFont="1" applyBorder="1" applyAlignment="1">
      <alignment horizontal="center" vertical="center" wrapText="1"/>
    </xf>
    <xf numFmtId="0" fontId="5" fillId="0" borderId="150" xfId="0" applyFont="1" applyBorder="1" applyAlignment="1">
      <alignment horizontal="center" vertical="center" wrapText="1"/>
    </xf>
    <xf numFmtId="0" fontId="5" fillId="2" borderId="121" xfId="0" applyFont="1" applyFill="1" applyBorder="1" applyAlignment="1">
      <alignment vertical="center"/>
    </xf>
    <xf numFmtId="0" fontId="0" fillId="0" borderId="120" xfId="0" applyBorder="1" applyAlignment="1">
      <alignment vertical="center"/>
    </xf>
    <xf numFmtId="0" fontId="2" fillId="2" borderId="3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2" borderId="2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/>
    </xf>
    <xf numFmtId="0" fontId="2" fillId="2" borderId="148" xfId="0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/>
    </xf>
    <xf numFmtId="0" fontId="3" fillId="0" borderId="72" xfId="0" applyFont="1" applyBorder="1" applyAlignment="1">
      <alignment/>
    </xf>
    <xf numFmtId="0" fontId="3" fillId="0" borderId="151" xfId="0" applyFont="1" applyBorder="1" applyAlignment="1">
      <alignment/>
    </xf>
    <xf numFmtId="0" fontId="3" fillId="2" borderId="152" xfId="0" applyFont="1" applyFill="1" applyBorder="1" applyAlignment="1">
      <alignment vertical="center"/>
    </xf>
    <xf numFmtId="0" fontId="0" fillId="0" borderId="153" xfId="0" applyFont="1" applyBorder="1" applyAlignment="1">
      <alignment vertical="center"/>
    </xf>
    <xf numFmtId="0" fontId="6" fillId="2" borderId="145" xfId="0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0" fillId="0" borderId="151" xfId="0" applyBorder="1" applyAlignment="1">
      <alignment/>
    </xf>
    <xf numFmtId="0" fontId="6" fillId="2" borderId="152" xfId="0" applyFont="1" applyFill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1" fillId="3" borderId="154" xfId="0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left"/>
    </xf>
    <xf numFmtId="3" fontId="6" fillId="0" borderId="101" xfId="0" applyNumberFormat="1" applyFont="1" applyBorder="1" applyAlignment="1">
      <alignment horizontal="left"/>
    </xf>
    <xf numFmtId="3" fontId="6" fillId="0" borderId="112" xfId="0" applyNumberFormat="1" applyFont="1" applyBorder="1" applyAlignment="1">
      <alignment horizontal="left"/>
    </xf>
    <xf numFmtId="3" fontId="4" fillId="0" borderId="5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55" xfId="0" applyNumberFormat="1" applyFont="1" applyBorder="1" applyAlignment="1">
      <alignment horizontal="left"/>
    </xf>
    <xf numFmtId="3" fontId="4" fillId="0" borderId="42" xfId="0" applyNumberFormat="1" applyFont="1" applyBorder="1" applyAlignment="1">
      <alignment horizontal="left"/>
    </xf>
    <xf numFmtId="3" fontId="4" fillId="0" borderId="42" xfId="0" applyNumberFormat="1" applyFont="1" applyBorder="1" applyAlignment="1">
      <alignment/>
    </xf>
    <xf numFmtId="3" fontId="4" fillId="0" borderId="156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4" fillId="0" borderId="156" xfId="0" applyNumberFormat="1" applyFont="1" applyBorder="1" applyAlignment="1">
      <alignment horizontal="left"/>
    </xf>
    <xf numFmtId="3" fontId="4" fillId="0" borderId="119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157" xfId="0" applyNumberFormat="1" applyFont="1" applyBorder="1" applyAlignment="1">
      <alignment/>
    </xf>
    <xf numFmtId="3" fontId="4" fillId="0" borderId="157" xfId="0" applyNumberFormat="1" applyFont="1" applyBorder="1" applyAlignment="1">
      <alignment horizontal="left"/>
    </xf>
    <xf numFmtId="3" fontId="4" fillId="0" borderId="51" xfId="0" applyNumberFormat="1" applyFont="1" applyBorder="1" applyAlignment="1">
      <alignment horizontal="left"/>
    </xf>
    <xf numFmtId="3" fontId="4" fillId="0" borderId="155" xfId="0" applyNumberFormat="1" applyFont="1" applyBorder="1" applyAlignment="1">
      <alignment/>
    </xf>
    <xf numFmtId="3" fontId="4" fillId="0" borderId="15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158" xfId="0" applyNumberFormat="1" applyFont="1" applyBorder="1" applyAlignment="1">
      <alignment horizontal="left"/>
    </xf>
    <xf numFmtId="3" fontId="4" fillId="0" borderId="48" xfId="0" applyNumberFormat="1" applyFont="1" applyBorder="1" applyAlignment="1">
      <alignment horizontal="left"/>
    </xf>
    <xf numFmtId="3" fontId="4" fillId="0" borderId="135" xfId="0" applyNumberFormat="1" applyFont="1" applyBorder="1" applyAlignment="1">
      <alignment/>
    </xf>
    <xf numFmtId="3" fontId="4" fillId="0" borderId="159" xfId="0" applyNumberFormat="1" applyFont="1" applyBorder="1" applyAlignment="1">
      <alignment/>
    </xf>
    <xf numFmtId="3" fontId="4" fillId="0" borderId="160" xfId="0" applyNumberFormat="1" applyFont="1" applyBorder="1" applyAlignment="1">
      <alignment/>
    </xf>
    <xf numFmtId="3" fontId="4" fillId="0" borderId="159" xfId="0" applyNumberFormat="1" applyFont="1" applyBorder="1" applyAlignment="1">
      <alignment horizontal="left"/>
    </xf>
    <xf numFmtId="3" fontId="4" fillId="0" borderId="160" xfId="0" applyNumberFormat="1" applyFont="1" applyBorder="1" applyAlignment="1">
      <alignment horizontal="left"/>
    </xf>
    <xf numFmtId="0" fontId="9" fillId="3" borderId="123" xfId="0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3" fontId="6" fillId="0" borderId="161" xfId="0" applyNumberFormat="1" applyFont="1" applyBorder="1" applyAlignment="1">
      <alignment/>
    </xf>
    <xf numFmtId="3" fontId="6" fillId="0" borderId="158" xfId="0" applyNumberFormat="1" applyFont="1" applyBorder="1" applyAlignment="1">
      <alignment horizontal="left"/>
    </xf>
    <xf numFmtId="3" fontId="9" fillId="3" borderId="162" xfId="0" applyNumberFormat="1" applyFont="1" applyFill="1" applyBorder="1" applyAlignment="1">
      <alignment horizontal="left" vertical="center"/>
    </xf>
    <xf numFmtId="3" fontId="9" fillId="3" borderId="163" xfId="0" applyNumberFormat="1" applyFont="1" applyFill="1" applyBorder="1" applyAlignment="1">
      <alignment horizontal="left" vertical="center"/>
    </xf>
    <xf numFmtId="3" fontId="9" fillId="3" borderId="164" xfId="0" applyNumberFormat="1" applyFont="1" applyFill="1" applyBorder="1" applyAlignment="1">
      <alignment horizontal="left" vertical="center"/>
    </xf>
    <xf numFmtId="3" fontId="6" fillId="0" borderId="157" xfId="0" applyNumberFormat="1" applyFont="1" applyBorder="1" applyAlignment="1">
      <alignment/>
    </xf>
    <xf numFmtId="3" fontId="6" fillId="0" borderId="157" xfId="0" applyNumberFormat="1" applyFont="1" applyBorder="1" applyAlignment="1">
      <alignment horizontal="left"/>
    </xf>
    <xf numFmtId="3" fontId="6" fillId="0" borderId="155" xfId="0" applyNumberFormat="1" applyFont="1" applyBorder="1" applyAlignment="1">
      <alignment/>
    </xf>
    <xf numFmtId="3" fontId="2" fillId="3" borderId="165" xfId="0" applyNumberFormat="1" applyFont="1" applyFill="1" applyBorder="1" applyAlignment="1">
      <alignment vertical="center"/>
    </xf>
    <xf numFmtId="3" fontId="2" fillId="3" borderId="166" xfId="0" applyNumberFormat="1" applyFont="1" applyFill="1" applyBorder="1" applyAlignment="1">
      <alignment vertical="center"/>
    </xf>
    <xf numFmtId="0" fontId="2" fillId="3" borderId="165" xfId="0" applyFont="1" applyFill="1" applyBorder="1" applyAlignment="1">
      <alignment vertical="center"/>
    </xf>
    <xf numFmtId="0" fontId="2" fillId="3" borderId="166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3" fontId="6" fillId="0" borderId="167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01" xfId="0" applyNumberFormat="1" applyFont="1" applyBorder="1" applyAlignment="1">
      <alignment/>
    </xf>
    <xf numFmtId="3" fontId="2" fillId="3" borderId="20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6" fillId="0" borderId="2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9" fillId="3" borderId="128" xfId="0" applyFont="1" applyFill="1" applyBorder="1" applyAlignment="1">
      <alignment horizontal="center" vertical="center"/>
    </xf>
    <xf numFmtId="3" fontId="2" fillId="3" borderId="168" xfId="0" applyNumberFormat="1" applyFont="1" applyFill="1" applyBorder="1" applyAlignment="1">
      <alignment horizontal="center" vertical="center"/>
    </xf>
    <xf numFmtId="0" fontId="9" fillId="3" borderId="169" xfId="0" applyFont="1" applyFill="1" applyBorder="1" applyAlignment="1">
      <alignment horizontal="center" vertical="center"/>
    </xf>
    <xf numFmtId="3" fontId="2" fillId="3" borderId="170" xfId="0" applyNumberFormat="1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zoomScaleSheetLayoutView="100" workbookViewId="0" topLeftCell="A1">
      <selection activeCell="J17" sqref="J17"/>
    </sheetView>
  </sheetViews>
  <sheetFormatPr defaultColWidth="9.00390625" defaultRowHeight="12.75"/>
  <cols>
    <col min="1" max="1" width="28.125" style="246" customWidth="1"/>
    <col min="2" max="3" width="9.75390625" style="8" customWidth="1"/>
    <col min="4" max="4" width="10.25390625" style="8" customWidth="1"/>
    <col min="5" max="6" width="9.75390625" style="8" customWidth="1"/>
    <col min="7" max="7" width="9.625" style="8" customWidth="1"/>
    <col min="8" max="8" width="8.125" style="8" customWidth="1"/>
    <col min="9" max="9" width="8.875" style="246" customWidth="1"/>
    <col min="10" max="10" width="9.125" style="246" customWidth="1"/>
    <col min="11" max="11" width="9.25390625" style="246" customWidth="1"/>
    <col min="12" max="12" width="8.625" style="246" customWidth="1"/>
    <col min="13" max="13" width="9.125" style="246" customWidth="1"/>
    <col min="14" max="14" width="9.875" style="246" customWidth="1"/>
    <col min="15" max="16" width="9.125" style="246" customWidth="1"/>
  </cols>
  <sheetData>
    <row r="1" spans="1:14" ht="15.7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6.5" thickBot="1">
      <c r="A2" s="247"/>
      <c r="B2" s="248"/>
      <c r="C2" s="248"/>
      <c r="D2" s="248"/>
      <c r="E2" s="248"/>
      <c r="F2" s="248"/>
      <c r="G2" s="248"/>
      <c r="H2" s="248"/>
      <c r="L2" s="9"/>
      <c r="N2" s="10" t="s">
        <v>215</v>
      </c>
    </row>
    <row r="3" spans="1:14" ht="24" customHeight="1" thickBot="1">
      <c r="A3" s="413" t="s">
        <v>0</v>
      </c>
      <c r="B3" s="414" t="s">
        <v>506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3.5" thickBot="1">
      <c r="A4" s="413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3.5" thickBot="1">
      <c r="A5" s="413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3.5" thickBot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49" t="s">
        <v>8</v>
      </c>
      <c r="B7" s="250"/>
      <c r="C7" s="251"/>
      <c r="D7" s="252">
        <f aca="true" t="shared" si="0" ref="D7:D15">SUM(B7:C7)</f>
        <v>0</v>
      </c>
      <c r="E7" s="250"/>
      <c r="F7" s="251"/>
      <c r="G7" s="252">
        <f aca="true" t="shared" si="1" ref="G7:G17">SUM(E7:F7)</f>
        <v>0</v>
      </c>
      <c r="H7" s="218">
        <f aca="true" t="shared" si="2" ref="H7:H37">+G7-D7</f>
        <v>0</v>
      </c>
      <c r="I7" s="219"/>
      <c r="J7" s="360"/>
      <c r="K7" s="251"/>
      <c r="L7" s="252">
        <f aca="true" t="shared" si="3" ref="L7:L17">SUM(J7:K7)</f>
        <v>0</v>
      </c>
      <c r="M7" s="253">
        <f aca="true" t="shared" si="4" ref="M7:M37">+L7-G7</f>
        <v>0</v>
      </c>
      <c r="N7" s="254"/>
    </row>
    <row r="8" spans="1:14" ht="13.5" customHeight="1">
      <c r="A8" s="255" t="s">
        <v>9</v>
      </c>
      <c r="B8" s="105">
        <v>7369</v>
      </c>
      <c r="C8" s="104">
        <v>1096</v>
      </c>
      <c r="D8" s="256">
        <f t="shared" si="0"/>
        <v>8465</v>
      </c>
      <c r="E8" s="105">
        <v>7956</v>
      </c>
      <c r="F8" s="104">
        <v>1119</v>
      </c>
      <c r="G8" s="256">
        <f t="shared" si="1"/>
        <v>9075</v>
      </c>
      <c r="H8" s="220">
        <f t="shared" si="2"/>
        <v>610</v>
      </c>
      <c r="I8" s="221">
        <f aca="true" t="shared" si="5" ref="I8:I21">+G8/D8</f>
        <v>1.0720614294152393</v>
      </c>
      <c r="J8" s="361">
        <f>13228+4836</f>
        <v>18064</v>
      </c>
      <c r="K8" s="104">
        <v>1100</v>
      </c>
      <c r="L8" s="256">
        <f t="shared" si="3"/>
        <v>19164</v>
      </c>
      <c r="M8" s="257">
        <f t="shared" si="4"/>
        <v>10089</v>
      </c>
      <c r="N8" s="101">
        <f aca="true" t="shared" si="6" ref="N8:N21">+L8/G8</f>
        <v>2.1117355371900826</v>
      </c>
    </row>
    <row r="9" spans="1:14" ht="13.5" customHeight="1">
      <c r="A9" s="255" t="s">
        <v>10</v>
      </c>
      <c r="B9" s="105"/>
      <c r="C9" s="104"/>
      <c r="D9" s="256">
        <f t="shared" si="0"/>
        <v>0</v>
      </c>
      <c r="E9" s="105"/>
      <c r="F9" s="104"/>
      <c r="G9" s="256">
        <f t="shared" si="1"/>
        <v>0</v>
      </c>
      <c r="H9" s="220">
        <f t="shared" si="2"/>
        <v>0</v>
      </c>
      <c r="I9" s="221"/>
      <c r="J9" s="361"/>
      <c r="K9" s="104"/>
      <c r="L9" s="256">
        <f t="shared" si="3"/>
        <v>0</v>
      </c>
      <c r="M9" s="257">
        <f t="shared" si="4"/>
        <v>0</v>
      </c>
      <c r="N9" s="101"/>
    </row>
    <row r="10" spans="1:14" ht="13.5" customHeight="1">
      <c r="A10" s="255" t="s">
        <v>11</v>
      </c>
      <c r="B10" s="105"/>
      <c r="C10" s="104"/>
      <c r="D10" s="256">
        <f t="shared" si="0"/>
        <v>0</v>
      </c>
      <c r="E10" s="105"/>
      <c r="F10" s="104"/>
      <c r="G10" s="256">
        <f t="shared" si="1"/>
        <v>0</v>
      </c>
      <c r="H10" s="220">
        <f t="shared" si="2"/>
        <v>0</v>
      </c>
      <c r="I10" s="221"/>
      <c r="J10" s="361"/>
      <c r="K10" s="104"/>
      <c r="L10" s="256">
        <f t="shared" si="3"/>
        <v>0</v>
      </c>
      <c r="M10" s="257">
        <f t="shared" si="4"/>
        <v>0</v>
      </c>
      <c r="N10" s="101"/>
    </row>
    <row r="11" spans="1:14" ht="13.5" customHeight="1">
      <c r="A11" s="255" t="s">
        <v>12</v>
      </c>
      <c r="B11" s="105">
        <v>325</v>
      </c>
      <c r="C11" s="104">
        <v>59</v>
      </c>
      <c r="D11" s="256">
        <f t="shared" si="0"/>
        <v>384</v>
      </c>
      <c r="E11" s="105">
        <v>374</v>
      </c>
      <c r="F11" s="104">
        <v>297</v>
      </c>
      <c r="G11" s="256">
        <f t="shared" si="1"/>
        <v>671</v>
      </c>
      <c r="H11" s="220">
        <f t="shared" si="2"/>
        <v>287</v>
      </c>
      <c r="I11" s="221">
        <f t="shared" si="5"/>
        <v>1.7473958333333333</v>
      </c>
      <c r="J11" s="361">
        <v>374</v>
      </c>
      <c r="K11" s="104">
        <v>300</v>
      </c>
      <c r="L11" s="256">
        <f t="shared" si="3"/>
        <v>674</v>
      </c>
      <c r="M11" s="257">
        <f t="shared" si="4"/>
        <v>3</v>
      </c>
      <c r="N11" s="101">
        <f t="shared" si="6"/>
        <v>1.0044709388971684</v>
      </c>
    </row>
    <row r="12" spans="1:14" ht="13.5" customHeight="1">
      <c r="A12" s="258" t="s">
        <v>13</v>
      </c>
      <c r="B12" s="105">
        <v>311</v>
      </c>
      <c r="C12" s="104">
        <v>59</v>
      </c>
      <c r="D12" s="256">
        <f t="shared" si="0"/>
        <v>370</v>
      </c>
      <c r="E12" s="105">
        <v>323</v>
      </c>
      <c r="F12" s="104">
        <v>57</v>
      </c>
      <c r="G12" s="256">
        <f t="shared" si="1"/>
        <v>380</v>
      </c>
      <c r="H12" s="220">
        <f t="shared" si="2"/>
        <v>10</v>
      </c>
      <c r="I12" s="221">
        <f t="shared" si="5"/>
        <v>1.027027027027027</v>
      </c>
      <c r="J12" s="361">
        <v>323</v>
      </c>
      <c r="K12" s="104">
        <v>57</v>
      </c>
      <c r="L12" s="256">
        <f t="shared" si="3"/>
        <v>380</v>
      </c>
      <c r="M12" s="257">
        <f t="shared" si="4"/>
        <v>0</v>
      </c>
      <c r="N12" s="101">
        <f t="shared" si="6"/>
        <v>1</v>
      </c>
    </row>
    <row r="13" spans="1:14" ht="13.5" customHeight="1">
      <c r="A13" s="258" t="s">
        <v>14</v>
      </c>
      <c r="B13" s="105">
        <v>42</v>
      </c>
      <c r="C13" s="104"/>
      <c r="D13" s="256">
        <f t="shared" si="0"/>
        <v>42</v>
      </c>
      <c r="E13" s="105">
        <v>53</v>
      </c>
      <c r="F13" s="104"/>
      <c r="G13" s="256">
        <f t="shared" si="1"/>
        <v>53</v>
      </c>
      <c r="H13" s="220">
        <f t="shared" si="2"/>
        <v>11</v>
      </c>
      <c r="I13" s="221">
        <f t="shared" si="5"/>
        <v>1.2619047619047619</v>
      </c>
      <c r="J13" s="361"/>
      <c r="K13" s="104"/>
      <c r="L13" s="256">
        <f t="shared" si="3"/>
        <v>0</v>
      </c>
      <c r="M13" s="257">
        <f t="shared" si="4"/>
        <v>-53</v>
      </c>
      <c r="N13" s="101">
        <f t="shared" si="6"/>
        <v>0</v>
      </c>
    </row>
    <row r="14" spans="1:14" ht="23.25" customHeight="1">
      <c r="A14" s="258" t="s">
        <v>15</v>
      </c>
      <c r="B14" s="105"/>
      <c r="C14" s="104"/>
      <c r="D14" s="256">
        <f t="shared" si="0"/>
        <v>0</v>
      </c>
      <c r="E14" s="105"/>
      <c r="F14" s="104"/>
      <c r="G14" s="256">
        <f t="shared" si="1"/>
        <v>0</v>
      </c>
      <c r="H14" s="220">
        <f t="shared" si="2"/>
        <v>0</v>
      </c>
      <c r="I14" s="221"/>
      <c r="J14" s="361"/>
      <c r="K14" s="104"/>
      <c r="L14" s="256">
        <f t="shared" si="3"/>
        <v>0</v>
      </c>
      <c r="M14" s="257">
        <f t="shared" si="4"/>
        <v>0</v>
      </c>
      <c r="N14" s="101"/>
    </row>
    <row r="15" spans="1:14" ht="13.5" customHeight="1">
      <c r="A15" s="255" t="s">
        <v>16</v>
      </c>
      <c r="B15" s="104">
        <f>SUM(B16:B17)</f>
        <v>46794</v>
      </c>
      <c r="C15" s="104">
        <f>SUM(C16:C17)</f>
        <v>0</v>
      </c>
      <c r="D15" s="256">
        <f t="shared" si="0"/>
        <v>46794</v>
      </c>
      <c r="E15" s="104">
        <f>SUM(E16:E17)</f>
        <v>49821</v>
      </c>
      <c r="F15" s="104">
        <f>SUM(F16:F17)</f>
        <v>0</v>
      </c>
      <c r="G15" s="256">
        <f t="shared" si="1"/>
        <v>49821</v>
      </c>
      <c r="H15" s="220">
        <f t="shared" si="2"/>
        <v>3027</v>
      </c>
      <c r="I15" s="221">
        <f t="shared" si="5"/>
        <v>1.0646877804846775</v>
      </c>
      <c r="J15" s="361">
        <f>SUM(J16:J17)</f>
        <v>41264</v>
      </c>
      <c r="K15" s="126">
        <f>SUM(K16:K17)</f>
        <v>0</v>
      </c>
      <c r="L15" s="256">
        <f t="shared" si="3"/>
        <v>41264</v>
      </c>
      <c r="M15" s="257">
        <f t="shared" si="4"/>
        <v>-8557</v>
      </c>
      <c r="N15" s="101">
        <f t="shared" si="6"/>
        <v>0.8282451175207242</v>
      </c>
    </row>
    <row r="16" spans="1:14" ht="13.5" customHeight="1">
      <c r="A16" s="259" t="s">
        <v>219</v>
      </c>
      <c r="B16" s="105">
        <v>46794</v>
      </c>
      <c r="C16" s="104"/>
      <c r="D16" s="256">
        <v>46794</v>
      </c>
      <c r="E16" s="105">
        <v>49821</v>
      </c>
      <c r="F16" s="104"/>
      <c r="G16" s="256">
        <f t="shared" si="1"/>
        <v>49821</v>
      </c>
      <c r="H16" s="220">
        <f t="shared" si="2"/>
        <v>3027</v>
      </c>
      <c r="I16" s="221">
        <f t="shared" si="5"/>
        <v>1.0646877804846775</v>
      </c>
      <c r="J16" s="362">
        <v>6005</v>
      </c>
      <c r="K16" s="104"/>
      <c r="L16" s="256">
        <f t="shared" si="3"/>
        <v>6005</v>
      </c>
      <c r="M16" s="257">
        <f t="shared" si="4"/>
        <v>-43816</v>
      </c>
      <c r="N16" s="101">
        <f t="shared" si="6"/>
        <v>0.12053150277995223</v>
      </c>
    </row>
    <row r="17" spans="1:14" ht="13.5" customHeight="1" thickBot="1">
      <c r="A17" s="260" t="s">
        <v>220</v>
      </c>
      <c r="B17" s="130"/>
      <c r="C17" s="108"/>
      <c r="D17" s="319"/>
      <c r="E17" s="130"/>
      <c r="F17" s="108"/>
      <c r="G17" s="319">
        <f t="shared" si="1"/>
        <v>0</v>
      </c>
      <c r="H17" s="366">
        <f t="shared" si="2"/>
        <v>0</v>
      </c>
      <c r="I17" s="367"/>
      <c r="J17" s="363">
        <v>35259</v>
      </c>
      <c r="K17" s="108"/>
      <c r="L17" s="320">
        <f t="shared" si="3"/>
        <v>35259</v>
      </c>
      <c r="M17" s="321">
        <f t="shared" si="4"/>
        <v>35259</v>
      </c>
      <c r="N17" s="111"/>
    </row>
    <row r="18" spans="1:14" ht="13.5" customHeight="1" thickBot="1">
      <c r="A18" s="209" t="s">
        <v>17</v>
      </c>
      <c r="B18" s="322">
        <f aca="true" t="shared" si="7" ref="B18:G18">SUM(B7+B8+B9+B10+B11+B13+B15)</f>
        <v>54530</v>
      </c>
      <c r="C18" s="323">
        <f t="shared" si="7"/>
        <v>1155</v>
      </c>
      <c r="D18" s="324">
        <f t="shared" si="7"/>
        <v>55685</v>
      </c>
      <c r="E18" s="325">
        <f t="shared" si="7"/>
        <v>58204</v>
      </c>
      <c r="F18" s="323">
        <f t="shared" si="7"/>
        <v>1416</v>
      </c>
      <c r="G18" s="324">
        <f t="shared" si="7"/>
        <v>59620</v>
      </c>
      <c r="H18" s="364">
        <f t="shared" si="2"/>
        <v>3935</v>
      </c>
      <c r="I18" s="365">
        <f t="shared" si="5"/>
        <v>1.070665349735117</v>
      </c>
      <c r="J18" s="327">
        <f>SUM(J7+J8+J9+J10+J11+J13+J15)</f>
        <v>59702</v>
      </c>
      <c r="K18" s="323">
        <f>SUM(K7+K8+K9+K10+K11+K13+K15)</f>
        <v>1400</v>
      </c>
      <c r="L18" s="324">
        <f>SUM(L7+L8+L9+L10+L11+L13+L15)</f>
        <v>61102</v>
      </c>
      <c r="M18" s="326">
        <f t="shared" si="4"/>
        <v>1482</v>
      </c>
      <c r="N18" s="328">
        <f t="shared" si="6"/>
        <v>1.0248574303924858</v>
      </c>
    </row>
    <row r="19" spans="1:14" ht="13.5" customHeight="1">
      <c r="A19" s="120" t="s">
        <v>18</v>
      </c>
      <c r="B19" s="95">
        <v>6985</v>
      </c>
      <c r="C19" s="96">
        <v>283</v>
      </c>
      <c r="D19" s="121">
        <f aca="true" t="shared" si="8" ref="D19:D36">SUM(B19:C19)</f>
        <v>7268</v>
      </c>
      <c r="E19" s="95">
        <v>7352</v>
      </c>
      <c r="F19" s="96">
        <v>325</v>
      </c>
      <c r="G19" s="121">
        <f aca="true" t="shared" si="9" ref="G19:G36">SUM(E19:F19)</f>
        <v>7677</v>
      </c>
      <c r="H19" s="122">
        <f t="shared" si="2"/>
        <v>409</v>
      </c>
      <c r="I19" s="123">
        <f t="shared" si="5"/>
        <v>1.056274078150798</v>
      </c>
      <c r="J19" s="100">
        <f>4391+1272+562</f>
        <v>6225</v>
      </c>
      <c r="K19" s="96">
        <v>325</v>
      </c>
      <c r="L19" s="124">
        <f aca="true" t="shared" si="10" ref="L19:L36">SUM(J19:K19)</f>
        <v>6550</v>
      </c>
      <c r="M19" s="122">
        <f t="shared" si="4"/>
        <v>-1127</v>
      </c>
      <c r="N19" s="125">
        <f t="shared" si="6"/>
        <v>0.8531978637488602</v>
      </c>
    </row>
    <row r="20" spans="1:14" ht="21" customHeight="1">
      <c r="A20" s="106" t="s">
        <v>19</v>
      </c>
      <c r="B20" s="95">
        <v>911</v>
      </c>
      <c r="C20" s="96">
        <v>10</v>
      </c>
      <c r="D20" s="97">
        <f t="shared" si="8"/>
        <v>921</v>
      </c>
      <c r="E20" s="95">
        <v>1338</v>
      </c>
      <c r="F20" s="96">
        <v>12</v>
      </c>
      <c r="G20" s="121">
        <f t="shared" si="9"/>
        <v>1350</v>
      </c>
      <c r="H20" s="98">
        <f t="shared" si="2"/>
        <v>429</v>
      </c>
      <c r="I20" s="99">
        <f t="shared" si="5"/>
        <v>1.4657980456026058</v>
      </c>
      <c r="J20" s="100">
        <v>1085</v>
      </c>
      <c r="K20" s="96">
        <v>15</v>
      </c>
      <c r="L20" s="124">
        <f t="shared" si="10"/>
        <v>1100</v>
      </c>
      <c r="M20" s="98">
        <f t="shared" si="4"/>
        <v>-250</v>
      </c>
      <c r="N20" s="101">
        <f t="shared" si="6"/>
        <v>0.8148148148148148</v>
      </c>
    </row>
    <row r="21" spans="1:14" ht="13.5" customHeight="1">
      <c r="A21" s="102" t="s">
        <v>20</v>
      </c>
      <c r="B21" s="103">
        <v>2909</v>
      </c>
      <c r="C21" s="104">
        <v>91</v>
      </c>
      <c r="D21" s="97">
        <f t="shared" si="8"/>
        <v>3000</v>
      </c>
      <c r="E21" s="103">
        <v>3379</v>
      </c>
      <c r="F21" s="104">
        <v>288</v>
      </c>
      <c r="G21" s="121">
        <f t="shared" si="9"/>
        <v>3667</v>
      </c>
      <c r="H21" s="98">
        <f t="shared" si="2"/>
        <v>667</v>
      </c>
      <c r="I21" s="99">
        <f t="shared" si="5"/>
        <v>1.2223333333333333</v>
      </c>
      <c r="J21" s="105">
        <v>3500</v>
      </c>
      <c r="K21" s="104">
        <v>290</v>
      </c>
      <c r="L21" s="124">
        <f t="shared" si="10"/>
        <v>3790</v>
      </c>
      <c r="M21" s="98">
        <f t="shared" si="4"/>
        <v>123</v>
      </c>
      <c r="N21" s="101">
        <f t="shared" si="6"/>
        <v>1.0335424052358877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2103</v>
      </c>
      <c r="C24" s="104">
        <v>52</v>
      </c>
      <c r="D24" s="97">
        <f t="shared" si="8"/>
        <v>2155</v>
      </c>
      <c r="E24" s="105">
        <v>2686</v>
      </c>
      <c r="F24" s="104">
        <v>106</v>
      </c>
      <c r="G24" s="121">
        <f t="shared" si="9"/>
        <v>2792</v>
      </c>
      <c r="H24" s="98">
        <f t="shared" si="2"/>
        <v>637</v>
      </c>
      <c r="I24" s="99">
        <f aca="true" t="shared" si="11" ref="I24:I37">+G24/D24</f>
        <v>1.2955916473317866</v>
      </c>
      <c r="J24" s="105">
        <v>2432</v>
      </c>
      <c r="K24" s="104">
        <v>100</v>
      </c>
      <c r="L24" s="124">
        <f t="shared" si="10"/>
        <v>2532</v>
      </c>
      <c r="M24" s="98">
        <f t="shared" si="4"/>
        <v>-260</v>
      </c>
      <c r="N24" s="101">
        <f aca="true" t="shared" si="12" ref="N24:N37">+L24/G24</f>
        <v>0.9068767908309455</v>
      </c>
    </row>
    <row r="25" spans="1:14" ht="13.5" customHeight="1">
      <c r="A25" s="106" t="s">
        <v>24</v>
      </c>
      <c r="B25" s="103">
        <v>1189</v>
      </c>
      <c r="C25" s="104">
        <v>16</v>
      </c>
      <c r="D25" s="97">
        <f t="shared" si="8"/>
        <v>1205</v>
      </c>
      <c r="E25" s="103">
        <v>1771</v>
      </c>
      <c r="F25" s="104">
        <v>83</v>
      </c>
      <c r="G25" s="121">
        <f t="shared" si="9"/>
        <v>1854</v>
      </c>
      <c r="H25" s="98">
        <f t="shared" si="2"/>
        <v>649</v>
      </c>
      <c r="I25" s="99">
        <f t="shared" si="11"/>
        <v>1.5385892116182573</v>
      </c>
      <c r="J25" s="126">
        <v>1440</v>
      </c>
      <c r="K25" s="104">
        <v>60</v>
      </c>
      <c r="L25" s="124">
        <f t="shared" si="10"/>
        <v>1500</v>
      </c>
      <c r="M25" s="98">
        <f t="shared" si="4"/>
        <v>-354</v>
      </c>
      <c r="N25" s="101">
        <f t="shared" si="12"/>
        <v>0.8090614886731392</v>
      </c>
    </row>
    <row r="26" spans="1:14" ht="13.5" customHeight="1">
      <c r="A26" s="102" t="s">
        <v>25</v>
      </c>
      <c r="B26" s="103">
        <v>883</v>
      </c>
      <c r="C26" s="104">
        <v>28</v>
      </c>
      <c r="D26" s="97">
        <f t="shared" si="8"/>
        <v>911</v>
      </c>
      <c r="E26" s="103">
        <v>893</v>
      </c>
      <c r="F26" s="104">
        <v>17</v>
      </c>
      <c r="G26" s="121">
        <f t="shared" si="9"/>
        <v>910</v>
      </c>
      <c r="H26" s="98">
        <f t="shared" si="2"/>
        <v>-1</v>
      </c>
      <c r="I26" s="99">
        <f t="shared" si="11"/>
        <v>0.9989023051591658</v>
      </c>
      <c r="J26" s="126">
        <v>985</v>
      </c>
      <c r="K26" s="104">
        <v>15</v>
      </c>
      <c r="L26" s="124">
        <f t="shared" si="10"/>
        <v>1000</v>
      </c>
      <c r="M26" s="98">
        <f t="shared" si="4"/>
        <v>90</v>
      </c>
      <c r="N26" s="101">
        <f t="shared" si="12"/>
        <v>1.098901098901099</v>
      </c>
    </row>
    <row r="27" spans="1:14" ht="13.5" customHeight="1">
      <c r="A27" s="127" t="s">
        <v>26</v>
      </c>
      <c r="B27" s="105">
        <v>38988</v>
      </c>
      <c r="C27" s="104">
        <v>407</v>
      </c>
      <c r="D27" s="97">
        <f t="shared" si="8"/>
        <v>39395</v>
      </c>
      <c r="E27" s="105">
        <v>41621</v>
      </c>
      <c r="F27" s="104">
        <v>370</v>
      </c>
      <c r="G27" s="121">
        <f t="shared" si="9"/>
        <v>41991</v>
      </c>
      <c r="H27" s="98">
        <f t="shared" si="2"/>
        <v>2596</v>
      </c>
      <c r="I27" s="99">
        <f t="shared" si="11"/>
        <v>1.0658966873968778</v>
      </c>
      <c r="J27" s="105">
        <v>44586</v>
      </c>
      <c r="K27" s="104">
        <v>405</v>
      </c>
      <c r="L27" s="124">
        <f t="shared" si="10"/>
        <v>44991</v>
      </c>
      <c r="M27" s="98">
        <f t="shared" si="4"/>
        <v>3000</v>
      </c>
      <c r="N27" s="101">
        <f t="shared" si="12"/>
        <v>1.0714438808316067</v>
      </c>
    </row>
    <row r="28" spans="1:14" ht="13.5" customHeight="1">
      <c r="A28" s="106" t="s">
        <v>27</v>
      </c>
      <c r="B28" s="103">
        <v>28449</v>
      </c>
      <c r="C28" s="104">
        <v>303</v>
      </c>
      <c r="D28" s="97">
        <f t="shared" si="8"/>
        <v>28752</v>
      </c>
      <c r="E28" s="103">
        <v>30372</v>
      </c>
      <c r="F28" s="104">
        <v>274</v>
      </c>
      <c r="G28" s="121">
        <f t="shared" si="9"/>
        <v>30646</v>
      </c>
      <c r="H28" s="98">
        <f t="shared" si="2"/>
        <v>1894</v>
      </c>
      <c r="I28" s="99">
        <f t="shared" si="11"/>
        <v>1.0658736783528102</v>
      </c>
      <c r="J28" s="126">
        <v>32538</v>
      </c>
      <c r="K28" s="128">
        <v>300</v>
      </c>
      <c r="L28" s="124">
        <f t="shared" si="10"/>
        <v>32838</v>
      </c>
      <c r="M28" s="98">
        <f t="shared" si="4"/>
        <v>2192</v>
      </c>
      <c r="N28" s="101">
        <f t="shared" si="12"/>
        <v>1.0715264634862625</v>
      </c>
    </row>
    <row r="29" spans="1:14" ht="13.5" customHeight="1">
      <c r="A29" s="127" t="s">
        <v>28</v>
      </c>
      <c r="B29" s="103">
        <v>28266</v>
      </c>
      <c r="C29" s="104">
        <v>296</v>
      </c>
      <c r="D29" s="97">
        <f t="shared" si="8"/>
        <v>28562</v>
      </c>
      <c r="E29" s="103">
        <v>30182</v>
      </c>
      <c r="F29" s="104">
        <v>274</v>
      </c>
      <c r="G29" s="121">
        <f t="shared" si="9"/>
        <v>30456</v>
      </c>
      <c r="H29" s="98">
        <f t="shared" si="2"/>
        <v>1894</v>
      </c>
      <c r="I29" s="99">
        <f t="shared" si="11"/>
        <v>1.066311882921364</v>
      </c>
      <c r="J29" s="105">
        <v>32288</v>
      </c>
      <c r="K29" s="104">
        <v>300</v>
      </c>
      <c r="L29" s="124">
        <f t="shared" si="10"/>
        <v>32588</v>
      </c>
      <c r="M29" s="98">
        <f t="shared" si="4"/>
        <v>2132</v>
      </c>
      <c r="N29" s="101">
        <f t="shared" si="12"/>
        <v>1.0700026267402154</v>
      </c>
    </row>
    <row r="30" spans="1:14" ht="13.5" customHeight="1">
      <c r="A30" s="106" t="s">
        <v>29</v>
      </c>
      <c r="B30" s="103">
        <v>173</v>
      </c>
      <c r="C30" s="104">
        <v>7</v>
      </c>
      <c r="D30" s="97">
        <f t="shared" si="8"/>
        <v>180</v>
      </c>
      <c r="E30" s="103">
        <v>190</v>
      </c>
      <c r="F30" s="104"/>
      <c r="G30" s="121">
        <f t="shared" si="9"/>
        <v>190</v>
      </c>
      <c r="H30" s="98">
        <f t="shared" si="2"/>
        <v>10</v>
      </c>
      <c r="I30" s="99">
        <f t="shared" si="11"/>
        <v>1.0555555555555556</v>
      </c>
      <c r="J30" s="105">
        <v>250</v>
      </c>
      <c r="K30" s="104"/>
      <c r="L30" s="124">
        <f t="shared" si="10"/>
        <v>250</v>
      </c>
      <c r="M30" s="98">
        <f t="shared" si="4"/>
        <v>60</v>
      </c>
      <c r="N30" s="101">
        <f t="shared" si="12"/>
        <v>1.3157894736842106</v>
      </c>
    </row>
    <row r="31" spans="1:14" ht="13.5" customHeight="1">
      <c r="A31" s="106" t="s">
        <v>30</v>
      </c>
      <c r="B31" s="103">
        <v>10539</v>
      </c>
      <c r="C31" s="104">
        <v>104</v>
      </c>
      <c r="D31" s="97">
        <f t="shared" si="8"/>
        <v>10643</v>
      </c>
      <c r="E31" s="103">
        <v>11249</v>
      </c>
      <c r="F31" s="104">
        <v>96</v>
      </c>
      <c r="G31" s="121">
        <f t="shared" si="9"/>
        <v>11345</v>
      </c>
      <c r="H31" s="98">
        <f t="shared" si="2"/>
        <v>702</v>
      </c>
      <c r="I31" s="99">
        <f t="shared" si="11"/>
        <v>1.065958846189984</v>
      </c>
      <c r="J31" s="105">
        <v>12048</v>
      </c>
      <c r="K31" s="104">
        <v>105</v>
      </c>
      <c r="L31" s="124">
        <f t="shared" si="10"/>
        <v>12153</v>
      </c>
      <c r="M31" s="98">
        <f t="shared" si="4"/>
        <v>808</v>
      </c>
      <c r="N31" s="101">
        <f t="shared" si="12"/>
        <v>1.0712208021154694</v>
      </c>
    </row>
    <row r="32" spans="1:14" ht="13.5" customHeight="1">
      <c r="A32" s="127" t="s">
        <v>31</v>
      </c>
      <c r="B32" s="103">
        <v>9</v>
      </c>
      <c r="C32" s="104">
        <v>12</v>
      </c>
      <c r="D32" s="97">
        <f t="shared" si="8"/>
        <v>21</v>
      </c>
      <c r="E32" s="103">
        <v>13</v>
      </c>
      <c r="F32" s="104">
        <v>6</v>
      </c>
      <c r="G32" s="121">
        <f t="shared" si="9"/>
        <v>19</v>
      </c>
      <c r="H32" s="98">
        <f t="shared" si="2"/>
        <v>-2</v>
      </c>
      <c r="I32" s="99">
        <f t="shared" si="11"/>
        <v>0.9047619047619048</v>
      </c>
      <c r="J32" s="105">
        <v>13</v>
      </c>
      <c r="K32" s="104">
        <v>2</v>
      </c>
      <c r="L32" s="124">
        <f t="shared" si="10"/>
        <v>15</v>
      </c>
      <c r="M32" s="98">
        <f t="shared" si="4"/>
        <v>-4</v>
      </c>
      <c r="N32" s="101">
        <f t="shared" si="12"/>
        <v>0.7894736842105263</v>
      </c>
    </row>
    <row r="33" spans="1:14" ht="13.5" customHeight="1">
      <c r="A33" s="127" t="s">
        <v>32</v>
      </c>
      <c r="B33" s="103">
        <v>361</v>
      </c>
      <c r="C33" s="104">
        <v>30</v>
      </c>
      <c r="D33" s="97">
        <f t="shared" si="8"/>
        <v>391</v>
      </c>
      <c r="E33" s="103">
        <v>520</v>
      </c>
      <c r="F33" s="104">
        <v>31</v>
      </c>
      <c r="G33" s="121">
        <f t="shared" si="9"/>
        <v>551</v>
      </c>
      <c r="H33" s="98">
        <f t="shared" si="2"/>
        <v>160</v>
      </c>
      <c r="I33" s="99">
        <f t="shared" si="11"/>
        <v>1.4092071611253196</v>
      </c>
      <c r="J33" s="105">
        <v>550</v>
      </c>
      <c r="K33" s="104">
        <v>31</v>
      </c>
      <c r="L33" s="124">
        <f t="shared" si="10"/>
        <v>581</v>
      </c>
      <c r="M33" s="98">
        <f t="shared" si="4"/>
        <v>30</v>
      </c>
      <c r="N33" s="101">
        <f t="shared" si="12"/>
        <v>1.0544464609800364</v>
      </c>
    </row>
    <row r="34" spans="1:14" ht="13.5" customHeight="1">
      <c r="A34" s="106" t="s">
        <v>33</v>
      </c>
      <c r="B34" s="103">
        <v>2761</v>
      </c>
      <c r="C34" s="104">
        <v>105</v>
      </c>
      <c r="D34" s="97">
        <f t="shared" si="8"/>
        <v>2866</v>
      </c>
      <c r="E34" s="103">
        <v>2680</v>
      </c>
      <c r="F34" s="104">
        <v>97</v>
      </c>
      <c r="G34" s="121">
        <f t="shared" si="9"/>
        <v>2777</v>
      </c>
      <c r="H34" s="98">
        <f t="shared" si="2"/>
        <v>-89</v>
      </c>
      <c r="I34" s="99">
        <f t="shared" si="11"/>
        <v>0.9689462665736218</v>
      </c>
      <c r="J34" s="126">
        <v>2548</v>
      </c>
      <c r="K34" s="104">
        <v>95</v>
      </c>
      <c r="L34" s="124">
        <f t="shared" si="10"/>
        <v>2643</v>
      </c>
      <c r="M34" s="98">
        <f t="shared" si="4"/>
        <v>-134</v>
      </c>
      <c r="N34" s="101">
        <f t="shared" si="12"/>
        <v>0.9517464890169247</v>
      </c>
    </row>
    <row r="35" spans="1:14" ht="22.5" customHeight="1">
      <c r="A35" s="106" t="s">
        <v>34</v>
      </c>
      <c r="B35" s="103">
        <v>2752</v>
      </c>
      <c r="C35" s="104">
        <v>105</v>
      </c>
      <c r="D35" s="97">
        <f t="shared" si="8"/>
        <v>2857</v>
      </c>
      <c r="E35" s="103">
        <v>2679</v>
      </c>
      <c r="F35" s="104">
        <v>97</v>
      </c>
      <c r="G35" s="121">
        <f t="shared" si="9"/>
        <v>2776</v>
      </c>
      <c r="H35" s="98">
        <f t="shared" si="2"/>
        <v>-81</v>
      </c>
      <c r="I35" s="99">
        <f t="shared" si="11"/>
        <v>0.9716485824291214</v>
      </c>
      <c r="J35" s="126">
        <v>2548</v>
      </c>
      <c r="K35" s="104">
        <v>95</v>
      </c>
      <c r="L35" s="124">
        <f t="shared" si="10"/>
        <v>2643</v>
      </c>
      <c r="M35" s="98">
        <f t="shared" si="4"/>
        <v>-133</v>
      </c>
      <c r="N35" s="101">
        <f t="shared" si="12"/>
        <v>0.9520893371757925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54116</v>
      </c>
      <c r="C37" s="114">
        <f t="shared" si="13"/>
        <v>980</v>
      </c>
      <c r="D37" s="115">
        <f t="shared" si="13"/>
        <v>55096</v>
      </c>
      <c r="E37" s="113">
        <f t="shared" si="13"/>
        <v>58251</v>
      </c>
      <c r="F37" s="114">
        <f t="shared" si="13"/>
        <v>1223</v>
      </c>
      <c r="G37" s="115">
        <f t="shared" si="13"/>
        <v>59474</v>
      </c>
      <c r="H37" s="116">
        <f t="shared" si="2"/>
        <v>4378</v>
      </c>
      <c r="I37" s="117">
        <f t="shared" si="11"/>
        <v>1.0794613039059098</v>
      </c>
      <c r="J37" s="118">
        <f>SUM(J19+J21+J22+J23+J24+J27+J32+J33+J34+J36)</f>
        <v>59854</v>
      </c>
      <c r="K37" s="114">
        <f>SUM(K19+K21+K22+K23+K24+K27+K32+K33+K34+K36)</f>
        <v>1248</v>
      </c>
      <c r="L37" s="115">
        <f>SUM(L19+L21+L22+L23+L24+L27+L32+L33+L34+L36)</f>
        <v>61102</v>
      </c>
      <c r="M37" s="116">
        <f t="shared" si="4"/>
        <v>1628</v>
      </c>
      <c r="N37" s="119">
        <f t="shared" si="12"/>
        <v>1.0273733059824461</v>
      </c>
    </row>
    <row r="38" spans="1:14" ht="13.5" customHeight="1" thickBot="1">
      <c r="A38" s="112" t="s">
        <v>37</v>
      </c>
      <c r="B38" s="470">
        <f>+D18-D37</f>
        <v>589</v>
      </c>
      <c r="C38" s="470"/>
      <c r="D38" s="470"/>
      <c r="E38" s="471">
        <v>146.37</v>
      </c>
      <c r="F38" s="471"/>
      <c r="G38" s="471">
        <v>-50784</v>
      </c>
      <c r="H38" s="131">
        <f>+E38-B38</f>
        <v>-442.63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246"/>
      <c r="C40" s="246"/>
      <c r="D40" s="261"/>
      <c r="E40" s="246"/>
      <c r="F40" s="246"/>
      <c r="G40" s="246"/>
      <c r="H40" s="246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507</v>
      </c>
      <c r="B43" s="469"/>
      <c r="C43" s="134">
        <v>74</v>
      </c>
      <c r="D43" s="468" t="s">
        <v>439</v>
      </c>
      <c r="E43" s="468"/>
      <c r="F43" s="468"/>
      <c r="G43" s="135">
        <v>119</v>
      </c>
      <c r="H43" s="467" t="s">
        <v>440</v>
      </c>
      <c r="I43" s="467"/>
      <c r="J43" s="467"/>
      <c r="K43" s="467"/>
      <c r="L43" s="136">
        <v>400</v>
      </c>
      <c r="O43"/>
      <c r="P43"/>
    </row>
    <row r="44" spans="1:16" ht="12.75">
      <c r="A44" s="463" t="s">
        <v>441</v>
      </c>
      <c r="B44" s="463"/>
      <c r="C44" s="137">
        <v>125</v>
      </c>
      <c r="D44" s="468" t="s">
        <v>153</v>
      </c>
      <c r="E44" s="468"/>
      <c r="F44" s="468"/>
      <c r="G44" s="138">
        <v>648</v>
      </c>
      <c r="H44" s="467" t="s">
        <v>152</v>
      </c>
      <c r="I44" s="467"/>
      <c r="J44" s="467"/>
      <c r="K44" s="467"/>
      <c r="L44" s="136">
        <v>400</v>
      </c>
      <c r="O44"/>
      <c r="P44"/>
    </row>
    <row r="45" spans="1:16" ht="12.75">
      <c r="A45" s="463" t="s">
        <v>442</v>
      </c>
      <c r="B45" s="463"/>
      <c r="C45" s="137">
        <v>113</v>
      </c>
      <c r="D45" s="468" t="s">
        <v>443</v>
      </c>
      <c r="E45" s="468"/>
      <c r="F45" s="468"/>
      <c r="G45" s="138">
        <v>339</v>
      </c>
      <c r="H45" s="467" t="s">
        <v>269</v>
      </c>
      <c r="I45" s="467"/>
      <c r="J45" s="467"/>
      <c r="K45" s="467"/>
      <c r="L45" s="136">
        <v>1471</v>
      </c>
      <c r="O45"/>
      <c r="P45"/>
    </row>
    <row r="46" spans="1:16" ht="12.75">
      <c r="A46" s="463"/>
      <c r="B46" s="463"/>
      <c r="C46" s="139"/>
      <c r="D46" s="463" t="s">
        <v>444</v>
      </c>
      <c r="E46" s="463"/>
      <c r="F46" s="463"/>
      <c r="G46" s="140">
        <v>60</v>
      </c>
      <c r="H46" s="464" t="s">
        <v>537</v>
      </c>
      <c r="I46" s="464"/>
      <c r="J46" s="464"/>
      <c r="K46" s="464"/>
      <c r="L46" s="136">
        <v>100</v>
      </c>
      <c r="O46"/>
      <c r="P46"/>
    </row>
    <row r="47" spans="1:16" ht="12.75">
      <c r="A47" s="463"/>
      <c r="B47" s="463"/>
      <c r="C47" s="139"/>
      <c r="D47" s="463" t="s">
        <v>40</v>
      </c>
      <c r="E47" s="463"/>
      <c r="F47" s="463"/>
      <c r="G47" s="140">
        <v>1477</v>
      </c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312</v>
      </c>
      <c r="D50" s="451" t="s">
        <v>3</v>
      </c>
      <c r="E50" s="451"/>
      <c r="F50" s="451"/>
      <c r="G50" s="141">
        <f>SUM(G43:G49)</f>
        <v>2643</v>
      </c>
      <c r="H50" s="452" t="s">
        <v>3</v>
      </c>
      <c r="I50" s="452"/>
      <c r="J50" s="452"/>
      <c r="K50" s="452"/>
      <c r="L50" s="141">
        <f>SUM(L43:L49)</f>
        <v>2371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262"/>
      <c r="J51" s="262"/>
      <c r="K51" s="262"/>
      <c r="L51" s="262"/>
      <c r="M51" s="262"/>
      <c r="N51" s="262"/>
      <c r="O51" s="262"/>
      <c r="P51" s="262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2"/>
      <c r="I53" s="462"/>
      <c r="J53" s="462"/>
      <c r="K53" s="462"/>
      <c r="L53" s="429"/>
      <c r="O53"/>
      <c r="P53"/>
    </row>
    <row r="54" spans="1:16" ht="12.75">
      <c r="A54" s="445" t="s">
        <v>445</v>
      </c>
      <c r="B54" s="446"/>
      <c r="C54" s="233">
        <v>100</v>
      </c>
      <c r="D54" s="447" t="s">
        <v>154</v>
      </c>
      <c r="E54" s="447"/>
      <c r="F54" s="447"/>
      <c r="G54" s="142">
        <v>200</v>
      </c>
      <c r="H54" s="448" t="s">
        <v>446</v>
      </c>
      <c r="I54" s="449"/>
      <c r="J54" s="449"/>
      <c r="K54" s="449"/>
      <c r="L54" s="335">
        <v>200</v>
      </c>
      <c r="O54"/>
      <c r="P54"/>
    </row>
    <row r="55" spans="1:16" ht="13.5" customHeight="1">
      <c r="A55" s="418" t="s">
        <v>447</v>
      </c>
      <c r="B55" s="419"/>
      <c r="C55" s="234">
        <v>150</v>
      </c>
      <c r="D55" s="420" t="s">
        <v>448</v>
      </c>
      <c r="E55" s="420"/>
      <c r="F55" s="420"/>
      <c r="G55" s="143">
        <v>50</v>
      </c>
      <c r="H55" s="439" t="s">
        <v>449</v>
      </c>
      <c r="I55" s="440"/>
      <c r="J55" s="440"/>
      <c r="K55" s="440"/>
      <c r="L55" s="336">
        <v>150</v>
      </c>
      <c r="O55"/>
      <c r="P55"/>
    </row>
    <row r="56" spans="1:16" ht="13.5" customHeight="1">
      <c r="A56" s="418" t="s">
        <v>450</v>
      </c>
      <c r="B56" s="419"/>
      <c r="C56" s="234">
        <v>80</v>
      </c>
      <c r="D56" s="420" t="s">
        <v>451</v>
      </c>
      <c r="E56" s="420"/>
      <c r="F56" s="420"/>
      <c r="G56" s="143">
        <v>150</v>
      </c>
      <c r="H56" s="439" t="s">
        <v>452</v>
      </c>
      <c r="I56" s="440"/>
      <c r="J56" s="440"/>
      <c r="K56" s="440"/>
      <c r="L56" s="336">
        <v>150</v>
      </c>
      <c r="O56"/>
      <c r="P56"/>
    </row>
    <row r="57" spans="1:16" ht="13.5" customHeight="1">
      <c r="A57" s="418" t="s">
        <v>453</v>
      </c>
      <c r="B57" s="419"/>
      <c r="C57" s="234">
        <v>50</v>
      </c>
      <c r="D57" s="420" t="s">
        <v>156</v>
      </c>
      <c r="E57" s="420"/>
      <c r="F57" s="420"/>
      <c r="G57" s="143">
        <v>130</v>
      </c>
      <c r="H57" s="439" t="s">
        <v>454</v>
      </c>
      <c r="I57" s="440"/>
      <c r="J57" s="440"/>
      <c r="K57" s="440"/>
      <c r="L57" s="336">
        <v>100</v>
      </c>
      <c r="O57"/>
      <c r="P57"/>
    </row>
    <row r="58" spans="1:16" ht="13.5" customHeight="1">
      <c r="A58" s="418" t="s">
        <v>455</v>
      </c>
      <c r="B58" s="419"/>
      <c r="C58" s="235">
        <v>100</v>
      </c>
      <c r="D58" s="420" t="s">
        <v>360</v>
      </c>
      <c r="E58" s="420"/>
      <c r="F58" s="420"/>
      <c r="G58" s="145">
        <v>600</v>
      </c>
      <c r="H58" s="439" t="s">
        <v>360</v>
      </c>
      <c r="I58" s="440"/>
      <c r="J58" s="440"/>
      <c r="K58" s="440"/>
      <c r="L58" s="336">
        <v>300</v>
      </c>
      <c r="O58"/>
      <c r="P58"/>
    </row>
    <row r="59" spans="1:16" ht="13.5" customHeight="1">
      <c r="A59" s="418" t="s">
        <v>155</v>
      </c>
      <c r="B59" s="419"/>
      <c r="C59" s="235">
        <v>90</v>
      </c>
      <c r="D59" s="420" t="s">
        <v>456</v>
      </c>
      <c r="E59" s="420"/>
      <c r="F59" s="420"/>
      <c r="G59" s="145">
        <v>60</v>
      </c>
      <c r="H59" s="439" t="s">
        <v>157</v>
      </c>
      <c r="I59" s="440"/>
      <c r="J59" s="440"/>
      <c r="K59" s="440"/>
      <c r="L59" s="336">
        <v>50</v>
      </c>
      <c r="O59"/>
      <c r="P59"/>
    </row>
    <row r="60" spans="1:16" ht="13.5" customHeight="1">
      <c r="A60" s="441" t="s">
        <v>158</v>
      </c>
      <c r="B60" s="442"/>
      <c r="C60" s="235">
        <v>635</v>
      </c>
      <c r="D60" s="443" t="s">
        <v>158</v>
      </c>
      <c r="E60" s="443"/>
      <c r="F60" s="443"/>
      <c r="G60" s="145">
        <v>664</v>
      </c>
      <c r="H60" s="439" t="s">
        <v>534</v>
      </c>
      <c r="I60" s="440"/>
      <c r="J60" s="440"/>
      <c r="K60" s="440"/>
      <c r="L60" s="336">
        <v>130</v>
      </c>
      <c r="O60"/>
      <c r="P60"/>
    </row>
    <row r="61" spans="1:16" ht="13.5" customHeight="1">
      <c r="A61" s="508"/>
      <c r="B61" s="428"/>
      <c r="C61" s="338"/>
      <c r="D61" s="427"/>
      <c r="E61" s="428"/>
      <c r="F61" s="509"/>
      <c r="G61" s="334"/>
      <c r="H61" s="439" t="s">
        <v>523</v>
      </c>
      <c r="I61" s="510"/>
      <c r="J61" s="510"/>
      <c r="K61" s="510"/>
      <c r="L61" s="336">
        <v>100</v>
      </c>
      <c r="O61"/>
      <c r="P61"/>
    </row>
    <row r="62" spans="1:16" ht="13.5" customHeight="1">
      <c r="A62" s="508"/>
      <c r="B62" s="428"/>
      <c r="C62" s="338"/>
      <c r="D62" s="427"/>
      <c r="E62" s="428"/>
      <c r="F62" s="509"/>
      <c r="G62" s="334"/>
      <c r="H62" s="439" t="s">
        <v>535</v>
      </c>
      <c r="I62" s="510"/>
      <c r="J62" s="510"/>
      <c r="K62" s="510"/>
      <c r="L62" s="336">
        <v>80</v>
      </c>
      <c r="O62"/>
      <c r="P62"/>
    </row>
    <row r="63" spans="1:16" ht="13.5" customHeight="1">
      <c r="A63" s="508"/>
      <c r="B63" s="428"/>
      <c r="C63" s="338"/>
      <c r="D63" s="427"/>
      <c r="E63" s="428"/>
      <c r="F63" s="509"/>
      <c r="G63" s="334"/>
      <c r="H63" s="439" t="s">
        <v>524</v>
      </c>
      <c r="I63" s="510"/>
      <c r="J63" s="510"/>
      <c r="K63" s="510"/>
      <c r="L63" s="336">
        <v>70</v>
      </c>
      <c r="O63"/>
      <c r="P63"/>
    </row>
    <row r="64" spans="1:16" ht="13.5" customHeight="1">
      <c r="A64" s="508"/>
      <c r="B64" s="428"/>
      <c r="C64" s="338"/>
      <c r="D64" s="427"/>
      <c r="E64" s="428"/>
      <c r="F64" s="509"/>
      <c r="G64" s="334"/>
      <c r="H64" s="439" t="s">
        <v>158</v>
      </c>
      <c r="I64" s="510"/>
      <c r="J64" s="510"/>
      <c r="K64" s="510"/>
      <c r="L64" s="336">
        <v>170</v>
      </c>
      <c r="O64"/>
      <c r="P64"/>
    </row>
    <row r="65" spans="1:16" ht="13.5" thickBot="1">
      <c r="A65" s="425"/>
      <c r="B65" s="426"/>
      <c r="C65" s="339"/>
      <c r="D65" s="427"/>
      <c r="E65" s="428"/>
      <c r="F65" s="428"/>
      <c r="G65" s="334"/>
      <c r="H65" s="434"/>
      <c r="I65" s="435"/>
      <c r="J65" s="435"/>
      <c r="K65" s="435"/>
      <c r="L65" s="337"/>
      <c r="O65"/>
      <c r="P65"/>
    </row>
    <row r="66" spans="1:16" ht="13.5" thickBot="1">
      <c r="A66" s="436" t="s">
        <v>3</v>
      </c>
      <c r="B66" s="436"/>
      <c r="C66" s="332">
        <f>SUM(C54:C65)</f>
        <v>1205</v>
      </c>
      <c r="D66" s="437" t="s">
        <v>3</v>
      </c>
      <c r="E66" s="437"/>
      <c r="F66" s="437"/>
      <c r="G66" s="333">
        <f>SUM(G54:G65)</f>
        <v>1854</v>
      </c>
      <c r="H66" s="438" t="s">
        <v>3</v>
      </c>
      <c r="I66" s="438"/>
      <c r="J66" s="438"/>
      <c r="K66" s="438"/>
      <c r="L66" s="332">
        <f>SUM(L54:L65)</f>
        <v>1500</v>
      </c>
      <c r="M66" s="20"/>
      <c r="N66" s="20"/>
      <c r="O66"/>
      <c r="P66"/>
    </row>
    <row r="67" spans="1:14" s="1" customFormat="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1" customFormat="1" ht="13.5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s="1" customFormat="1" ht="26.25" customHeight="1" thickBot="1">
      <c r="A69" s="499" t="s">
        <v>509</v>
      </c>
      <c r="B69" s="500"/>
      <c r="C69" s="500"/>
      <c r="D69" s="500"/>
      <c r="E69" s="501"/>
      <c r="F69" s="502" t="s">
        <v>510</v>
      </c>
      <c r="G69" s="503"/>
      <c r="H69" s="503"/>
      <c r="I69" s="503"/>
      <c r="J69" s="503"/>
      <c r="K69" s="503"/>
      <c r="L69" s="504"/>
      <c r="M69" s="22"/>
      <c r="N69" s="22"/>
    </row>
    <row r="70" spans="1:14" s="1" customFormat="1" ht="14.25" customHeight="1" thickBot="1">
      <c r="A70" s="58" t="s">
        <v>68</v>
      </c>
      <c r="B70" s="59" t="s">
        <v>122</v>
      </c>
      <c r="C70" s="505" t="s">
        <v>69</v>
      </c>
      <c r="D70" s="505"/>
      <c r="E70" s="60" t="s">
        <v>123</v>
      </c>
      <c r="F70" s="506" t="s">
        <v>68</v>
      </c>
      <c r="G70" s="507"/>
      <c r="H70" s="59" t="s">
        <v>122</v>
      </c>
      <c r="I70" s="505" t="s">
        <v>69</v>
      </c>
      <c r="J70" s="505"/>
      <c r="K70" s="505"/>
      <c r="L70" s="61" t="s">
        <v>123</v>
      </c>
      <c r="M70" s="22"/>
      <c r="N70" s="22"/>
    </row>
    <row r="71" spans="1:14" s="1" customFormat="1" ht="12.75">
      <c r="A71" s="62" t="s">
        <v>126</v>
      </c>
      <c r="B71" s="56">
        <v>1050</v>
      </c>
      <c r="C71" s="483" t="s">
        <v>129</v>
      </c>
      <c r="D71" s="483"/>
      <c r="E71" s="63">
        <v>0</v>
      </c>
      <c r="F71" s="484" t="s">
        <v>126</v>
      </c>
      <c r="G71" s="485"/>
      <c r="H71" s="56">
        <v>1477</v>
      </c>
      <c r="I71" s="483" t="s">
        <v>129</v>
      </c>
      <c r="J71" s="485"/>
      <c r="K71" s="485"/>
      <c r="L71" s="63">
        <v>0</v>
      </c>
      <c r="M71" s="22"/>
      <c r="N71" s="22"/>
    </row>
    <row r="72" spans="1:14" s="1" customFormat="1" ht="12.75">
      <c r="A72" s="64" t="s">
        <v>124</v>
      </c>
      <c r="B72" s="57">
        <v>419</v>
      </c>
      <c r="C72" s="478" t="s">
        <v>511</v>
      </c>
      <c r="D72" s="478"/>
      <c r="E72" s="65">
        <v>17</v>
      </c>
      <c r="F72" s="486" t="s">
        <v>127</v>
      </c>
      <c r="G72" s="479"/>
      <c r="H72" s="57">
        <v>73.37</v>
      </c>
      <c r="I72" s="478" t="s">
        <v>511</v>
      </c>
      <c r="J72" s="479"/>
      <c r="K72" s="479"/>
      <c r="L72" s="65">
        <v>250</v>
      </c>
      <c r="M72" s="22"/>
      <c r="N72" s="22"/>
    </row>
    <row r="73" spans="1:14" s="1" customFormat="1" ht="12.75">
      <c r="A73" s="64" t="s">
        <v>125</v>
      </c>
      <c r="B73" s="57">
        <v>25</v>
      </c>
      <c r="C73" s="478"/>
      <c r="D73" s="478"/>
      <c r="E73" s="65"/>
      <c r="F73" s="478" t="s">
        <v>530</v>
      </c>
      <c r="G73" s="478"/>
      <c r="H73" s="57">
        <v>809</v>
      </c>
      <c r="I73" s="478"/>
      <c r="J73" s="479"/>
      <c r="K73" s="479"/>
      <c r="L73" s="65"/>
      <c r="M73" s="22"/>
      <c r="N73" s="22"/>
    </row>
    <row r="74" spans="1:14" s="1" customFormat="1" ht="13.5" thickBot="1">
      <c r="A74" s="68"/>
      <c r="B74" s="67"/>
      <c r="C74" s="480"/>
      <c r="D74" s="480"/>
      <c r="E74" s="69"/>
      <c r="F74" s="481"/>
      <c r="G74" s="482"/>
      <c r="H74" s="67"/>
      <c r="I74" s="480"/>
      <c r="J74" s="482"/>
      <c r="K74" s="482"/>
      <c r="L74" s="69"/>
      <c r="M74" s="22"/>
      <c r="N74" s="22"/>
    </row>
    <row r="75" spans="1:14" s="1" customFormat="1" ht="13.5" thickBot="1">
      <c r="A75" s="76" t="s">
        <v>3</v>
      </c>
      <c r="B75" s="77">
        <f>SUM(B71:B74)</f>
        <v>1494</v>
      </c>
      <c r="C75" s="473" t="s">
        <v>3</v>
      </c>
      <c r="D75" s="473"/>
      <c r="E75" s="70">
        <f>SUM(E71:E74)</f>
        <v>17</v>
      </c>
      <c r="F75" s="474" t="s">
        <v>3</v>
      </c>
      <c r="G75" s="475"/>
      <c r="H75" s="66">
        <f>SUM(H71:H74)</f>
        <v>2359.37</v>
      </c>
      <c r="I75" s="473" t="s">
        <v>3</v>
      </c>
      <c r="J75" s="475"/>
      <c r="K75" s="475"/>
      <c r="L75" s="70">
        <f>SUM(L71:L74)</f>
        <v>250</v>
      </c>
      <c r="M75" s="22"/>
      <c r="N75" s="22"/>
    </row>
    <row r="76" spans="1:14" s="1" customFormat="1" ht="13.5" thickBot="1">
      <c r="A76" s="78" t="s">
        <v>212</v>
      </c>
      <c r="B76" s="79">
        <f>B75-E75</f>
        <v>1477</v>
      </c>
      <c r="C76" s="22"/>
      <c r="D76" s="22"/>
      <c r="E76" s="22"/>
      <c r="F76" s="476" t="s">
        <v>212</v>
      </c>
      <c r="G76" s="477"/>
      <c r="H76" s="80">
        <f>H75-L75</f>
        <v>2109.37</v>
      </c>
      <c r="I76" s="22"/>
      <c r="J76" s="22"/>
      <c r="K76" s="22"/>
      <c r="L76" s="22"/>
      <c r="M76" s="22"/>
      <c r="N76" s="22"/>
    </row>
    <row r="77" spans="1:14" s="1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s="1" customFormat="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2" s="1" customFormat="1" ht="12.75">
      <c r="A79" s="23"/>
      <c r="B79" s="24"/>
      <c r="C79" s="24"/>
      <c r="D79" s="24"/>
      <c r="E79" s="2"/>
      <c r="F79" s="4"/>
      <c r="G79" s="4"/>
      <c r="H79" s="23"/>
      <c r="I79" s="24"/>
      <c r="J79" s="24"/>
      <c r="K79" s="24"/>
      <c r="L79" s="2"/>
    </row>
    <row r="80" spans="1:12" s="1" customFormat="1" ht="13.5" thickBot="1">
      <c r="A80" s="23"/>
      <c r="B80" s="24"/>
      <c r="C80" s="24"/>
      <c r="D80" s="24"/>
      <c r="E80" s="2"/>
      <c r="F80" s="4"/>
      <c r="G80" s="4"/>
      <c r="H80" s="23"/>
      <c r="I80" s="24"/>
      <c r="J80" s="24" t="s">
        <v>215</v>
      </c>
      <c r="K80" s="24"/>
      <c r="L80" s="2"/>
    </row>
    <row r="81" spans="1:15" s="1" customFormat="1" ht="13.5" thickBot="1">
      <c r="A81" s="490" t="s">
        <v>64</v>
      </c>
      <c r="B81" s="491" t="s">
        <v>245</v>
      </c>
      <c r="C81" s="492" t="s">
        <v>246</v>
      </c>
      <c r="D81" s="492"/>
      <c r="E81" s="492"/>
      <c r="F81" s="492"/>
      <c r="G81" s="492"/>
      <c r="H81" s="492"/>
      <c r="I81" s="492"/>
      <c r="J81" s="493" t="s">
        <v>247</v>
      </c>
      <c r="K81" s="246"/>
      <c r="L81" s="487" t="s">
        <v>41</v>
      </c>
      <c r="M81" s="487"/>
      <c r="N81" s="263">
        <v>2005</v>
      </c>
      <c r="O81" s="264">
        <v>2006</v>
      </c>
    </row>
    <row r="82" spans="1:15" s="1" customFormat="1" ht="13.5" thickBot="1">
      <c r="A82" s="490"/>
      <c r="B82" s="491"/>
      <c r="C82" s="488" t="s">
        <v>65</v>
      </c>
      <c r="D82" s="489" t="s">
        <v>66</v>
      </c>
      <c r="E82" s="489"/>
      <c r="F82" s="489"/>
      <c r="G82" s="489"/>
      <c r="H82" s="489"/>
      <c r="I82" s="489"/>
      <c r="J82" s="493"/>
      <c r="K82" s="246"/>
      <c r="L82" s="265" t="s">
        <v>128</v>
      </c>
      <c r="M82" s="266"/>
      <c r="N82" s="267"/>
      <c r="O82" s="268"/>
    </row>
    <row r="83" spans="1:15" s="1" customFormat="1" ht="13.5" thickBot="1">
      <c r="A83" s="490"/>
      <c r="B83" s="491"/>
      <c r="C83" s="488"/>
      <c r="D83" s="269">
        <v>1</v>
      </c>
      <c r="E83" s="269">
        <v>2</v>
      </c>
      <c r="F83" s="269">
        <v>3</v>
      </c>
      <c r="G83" s="269">
        <v>4</v>
      </c>
      <c r="H83" s="269">
        <v>5</v>
      </c>
      <c r="I83" s="270">
        <v>6</v>
      </c>
      <c r="J83" s="493"/>
      <c r="K83" s="246"/>
      <c r="L83" s="266" t="s">
        <v>42</v>
      </c>
      <c r="M83" s="265"/>
      <c r="N83" s="271">
        <v>0</v>
      </c>
      <c r="O83" s="272">
        <v>0</v>
      </c>
    </row>
    <row r="84" spans="1:15" s="1" customFormat="1" ht="13.5" thickBot="1">
      <c r="A84" s="273">
        <v>150775</v>
      </c>
      <c r="B84" s="274">
        <v>34271</v>
      </c>
      <c r="C84" s="275">
        <f>SUM(D84:I84)</f>
        <v>2643</v>
      </c>
      <c r="D84" s="276">
        <v>411</v>
      </c>
      <c r="E84" s="276">
        <v>691</v>
      </c>
      <c r="F84" s="276">
        <v>70</v>
      </c>
      <c r="G84" s="276">
        <v>338</v>
      </c>
      <c r="H84" s="275">
        <v>1133</v>
      </c>
      <c r="I84" s="277"/>
      <c r="J84" s="278">
        <f>SUM(A84-B84-C84)</f>
        <v>113861</v>
      </c>
      <c r="K84" s="246"/>
      <c r="L84" s="279" t="s">
        <v>43</v>
      </c>
      <c r="M84" s="280"/>
      <c r="N84" s="281">
        <v>0</v>
      </c>
      <c r="O84" s="282">
        <v>0</v>
      </c>
    </row>
    <row r="85" spans="1:12" s="1" customFormat="1" ht="12.75">
      <c r="A85" s="23"/>
      <c r="B85" s="24"/>
      <c r="C85" s="24"/>
      <c r="D85" s="24"/>
      <c r="E85" s="2"/>
      <c r="F85" s="227"/>
      <c r="G85" s="4"/>
      <c r="H85" s="23"/>
      <c r="I85" s="24"/>
      <c r="J85" s="24"/>
      <c r="K85" s="24"/>
      <c r="L85" s="2"/>
    </row>
    <row r="86" spans="1:12" s="1" customFormat="1" ht="13.5" thickBot="1">
      <c r="A86" s="23"/>
      <c r="B86" s="24"/>
      <c r="C86" s="24"/>
      <c r="D86" s="24"/>
      <c r="E86" s="2"/>
      <c r="F86" s="227"/>
      <c r="G86" s="4"/>
      <c r="H86" s="23"/>
      <c r="I86" s="24"/>
      <c r="J86" s="24"/>
      <c r="K86" s="24"/>
      <c r="L86" s="24" t="s">
        <v>215</v>
      </c>
    </row>
    <row r="87" spans="1:12" s="1" customFormat="1" ht="13.5" thickBot="1">
      <c r="A87" s="495" t="s">
        <v>95</v>
      </c>
      <c r="B87" s="496" t="s">
        <v>248</v>
      </c>
      <c r="C87" s="497" t="s">
        <v>249</v>
      </c>
      <c r="D87" s="497"/>
      <c r="E87" s="497"/>
      <c r="F87" s="497"/>
      <c r="G87" s="498" t="s">
        <v>250</v>
      </c>
      <c r="H87" s="494" t="s">
        <v>67</v>
      </c>
      <c r="I87" s="424" t="s">
        <v>251</v>
      </c>
      <c r="J87" s="424"/>
      <c r="K87" s="424"/>
      <c r="L87" s="424"/>
    </row>
    <row r="88" spans="1:12" s="1" customFormat="1" ht="18.75" thickBot="1">
      <c r="A88" s="495"/>
      <c r="B88" s="496"/>
      <c r="C88" s="283" t="s">
        <v>204</v>
      </c>
      <c r="D88" s="284" t="s">
        <v>68</v>
      </c>
      <c r="E88" s="284" t="s">
        <v>69</v>
      </c>
      <c r="F88" s="285" t="s">
        <v>205</v>
      </c>
      <c r="G88" s="498"/>
      <c r="H88" s="494"/>
      <c r="I88" s="286" t="s">
        <v>252</v>
      </c>
      <c r="J88" s="287" t="s">
        <v>68</v>
      </c>
      <c r="K88" s="287" t="s">
        <v>69</v>
      </c>
      <c r="L88" s="288" t="s">
        <v>253</v>
      </c>
    </row>
    <row r="89" spans="1:12" s="1" customFormat="1" ht="12.75">
      <c r="A89" s="289" t="s">
        <v>70</v>
      </c>
      <c r="B89" s="290">
        <v>11029</v>
      </c>
      <c r="C89" s="291" t="s">
        <v>71</v>
      </c>
      <c r="D89" s="292" t="s">
        <v>71</v>
      </c>
      <c r="E89" s="292" t="s">
        <v>71</v>
      </c>
      <c r="F89" s="293" t="s">
        <v>71</v>
      </c>
      <c r="G89" s="294">
        <v>11501</v>
      </c>
      <c r="H89" s="295" t="s">
        <v>71</v>
      </c>
      <c r="I89" s="296" t="s">
        <v>71</v>
      </c>
      <c r="J89" s="297" t="s">
        <v>71</v>
      </c>
      <c r="K89" s="297" t="s">
        <v>71</v>
      </c>
      <c r="L89" s="298" t="s">
        <v>71</v>
      </c>
    </row>
    <row r="90" spans="1:12" s="1" customFormat="1" ht="12.75">
      <c r="A90" s="299" t="s">
        <v>72</v>
      </c>
      <c r="B90" s="158">
        <v>146</v>
      </c>
      <c r="C90" s="300">
        <v>146</v>
      </c>
      <c r="D90" s="159">
        <v>170</v>
      </c>
      <c r="E90" s="159">
        <v>0</v>
      </c>
      <c r="F90" s="160">
        <f>C90+D90-E90</f>
        <v>316</v>
      </c>
      <c r="G90" s="301">
        <v>316</v>
      </c>
      <c r="H90" s="302">
        <f>+G90-F90</f>
        <v>0</v>
      </c>
      <c r="I90" s="300">
        <v>316</v>
      </c>
      <c r="J90" s="159">
        <v>73</v>
      </c>
      <c r="K90" s="159">
        <v>0</v>
      </c>
      <c r="L90" s="160">
        <f>I90+J90-K90</f>
        <v>389</v>
      </c>
    </row>
    <row r="91" spans="1:12" s="1" customFormat="1" ht="12.75">
      <c r="A91" s="299" t="s">
        <v>73</v>
      </c>
      <c r="B91" s="158">
        <v>1050</v>
      </c>
      <c r="C91" s="300">
        <v>1050</v>
      </c>
      <c r="D91" s="159">
        <v>444</v>
      </c>
      <c r="E91" s="159">
        <v>17</v>
      </c>
      <c r="F91" s="160">
        <f>C91+D91-E91</f>
        <v>1477</v>
      </c>
      <c r="G91" s="301">
        <v>1477</v>
      </c>
      <c r="H91" s="302">
        <f>+G91-F91</f>
        <v>0</v>
      </c>
      <c r="I91" s="392">
        <v>1477</v>
      </c>
      <c r="J91" s="393">
        <v>882.37</v>
      </c>
      <c r="K91" s="393">
        <v>250</v>
      </c>
      <c r="L91" s="394">
        <f>I91+J91-K91</f>
        <v>2109.37</v>
      </c>
    </row>
    <row r="92" spans="1:12" s="1" customFormat="1" ht="12.75">
      <c r="A92" s="299" t="s">
        <v>96</v>
      </c>
      <c r="B92" s="158">
        <v>5296</v>
      </c>
      <c r="C92" s="300">
        <v>5296</v>
      </c>
      <c r="D92" s="159">
        <v>2776</v>
      </c>
      <c r="E92" s="159">
        <v>2643</v>
      </c>
      <c r="F92" s="160">
        <f>C92+D92-E92</f>
        <v>5429</v>
      </c>
      <c r="G92" s="301">
        <v>5429</v>
      </c>
      <c r="H92" s="302">
        <f>+G92-F92</f>
        <v>0</v>
      </c>
      <c r="I92" s="303">
        <v>5429</v>
      </c>
      <c r="J92" s="304">
        <v>2643</v>
      </c>
      <c r="K92" s="304">
        <v>2371</v>
      </c>
      <c r="L92" s="160">
        <f>I92+J92-K92</f>
        <v>5701</v>
      </c>
    </row>
    <row r="93" spans="1:12" s="1" customFormat="1" ht="12.75">
      <c r="A93" s="299" t="s">
        <v>74</v>
      </c>
      <c r="B93" s="158">
        <v>4537</v>
      </c>
      <c r="C93" s="305" t="s">
        <v>71</v>
      </c>
      <c r="D93" s="292" t="s">
        <v>71</v>
      </c>
      <c r="E93" s="306" t="s">
        <v>71</v>
      </c>
      <c r="F93" s="307" t="s">
        <v>71</v>
      </c>
      <c r="G93" s="301">
        <v>4279</v>
      </c>
      <c r="H93" s="305" t="s">
        <v>71</v>
      </c>
      <c r="I93" s="291" t="s">
        <v>71</v>
      </c>
      <c r="J93" s="292" t="s">
        <v>71</v>
      </c>
      <c r="K93" s="292" t="s">
        <v>71</v>
      </c>
      <c r="L93" s="144">
        <v>0</v>
      </c>
    </row>
    <row r="94" spans="1:12" s="1" customFormat="1" ht="13.5" thickBot="1">
      <c r="A94" s="308" t="s">
        <v>75</v>
      </c>
      <c r="B94" s="165">
        <v>94</v>
      </c>
      <c r="C94" s="309">
        <v>74</v>
      </c>
      <c r="D94" s="166">
        <v>609</v>
      </c>
      <c r="E94" s="166">
        <v>552</v>
      </c>
      <c r="F94" s="167">
        <f>C94+D94-E94</f>
        <v>131</v>
      </c>
      <c r="G94" s="310">
        <v>150</v>
      </c>
      <c r="H94" s="311">
        <f>+G94-F94</f>
        <v>19</v>
      </c>
      <c r="I94" s="309">
        <v>131</v>
      </c>
      <c r="J94" s="166">
        <v>652</v>
      </c>
      <c r="K94" s="166">
        <v>612</v>
      </c>
      <c r="L94" s="167">
        <f>I94+J94-K94</f>
        <v>171</v>
      </c>
    </row>
    <row r="95" spans="1:12" s="1" customFormat="1" ht="12.75">
      <c r="A95" s="23"/>
      <c r="B95" s="24"/>
      <c r="C95" s="24"/>
      <c r="D95" s="24"/>
      <c r="E95" s="2"/>
      <c r="F95" s="227"/>
      <c r="G95" s="4"/>
      <c r="H95" s="23"/>
      <c r="I95" s="24"/>
      <c r="J95" s="24"/>
      <c r="K95" s="24"/>
      <c r="L95" s="2"/>
    </row>
    <row r="96" spans="1:12" s="1" customFormat="1" ht="12.75">
      <c r="A96" s="23"/>
      <c r="B96" s="24"/>
      <c r="C96" s="24"/>
      <c r="D96" s="24"/>
      <c r="E96" s="2"/>
      <c r="F96" s="4"/>
      <c r="G96" s="4"/>
      <c r="H96" s="23"/>
      <c r="I96" s="24"/>
      <c r="J96" s="24"/>
      <c r="K96" s="24"/>
      <c r="L96" s="2"/>
    </row>
    <row r="97" spans="8:12" ht="13.5" thickBot="1">
      <c r="H97" s="24" t="s">
        <v>215</v>
      </c>
      <c r="L97" s="24" t="s">
        <v>215</v>
      </c>
    </row>
    <row r="98" spans="1:12" ht="13.5" thickBot="1">
      <c r="A98" s="421" t="s">
        <v>254</v>
      </c>
      <c r="B98" s="412" t="s">
        <v>3</v>
      </c>
      <c r="C98" s="429" t="s">
        <v>76</v>
      </c>
      <c r="D98" s="429"/>
      <c r="E98" s="429"/>
      <c r="F98" s="429"/>
      <c r="G98" s="429"/>
      <c r="H98" s="429"/>
      <c r="I98" s="27"/>
      <c r="J98" s="431" t="s">
        <v>44</v>
      </c>
      <c r="K98" s="431"/>
      <c r="L98" s="431"/>
    </row>
    <row r="99" spans="1:12" ht="13.5" thickBot="1">
      <c r="A99" s="421"/>
      <c r="B99" s="412"/>
      <c r="C99" s="150" t="s">
        <v>77</v>
      </c>
      <c r="D99" s="151" t="s">
        <v>78</v>
      </c>
      <c r="E99" s="151" t="s">
        <v>79</v>
      </c>
      <c r="F99" s="151" t="s">
        <v>80</v>
      </c>
      <c r="G99" s="152" t="s">
        <v>81</v>
      </c>
      <c r="H99" s="153" t="s">
        <v>65</v>
      </c>
      <c r="I99" s="27"/>
      <c r="J99" s="154"/>
      <c r="K99" s="155" t="s">
        <v>45</v>
      </c>
      <c r="L99" s="156" t="s">
        <v>46</v>
      </c>
    </row>
    <row r="100" spans="1:12" ht="12.75">
      <c r="A100" s="157" t="s">
        <v>82</v>
      </c>
      <c r="B100" s="158">
        <v>1918</v>
      </c>
      <c r="C100" s="159">
        <v>14</v>
      </c>
      <c r="D100" s="159">
        <v>13</v>
      </c>
      <c r="E100" s="159">
        <v>28</v>
      </c>
      <c r="F100" s="159">
        <v>35</v>
      </c>
      <c r="G100" s="158">
        <v>823</v>
      </c>
      <c r="H100" s="160">
        <f>SUM(C100:G100)</f>
        <v>913</v>
      </c>
      <c r="I100" s="27"/>
      <c r="J100" s="161">
        <v>2006</v>
      </c>
      <c r="K100" s="162">
        <v>30456</v>
      </c>
      <c r="L100" s="163">
        <f>+G29</f>
        <v>30456</v>
      </c>
    </row>
    <row r="101" spans="1:12" ht="13.5" thickBot="1">
      <c r="A101" s="164" t="s">
        <v>83</v>
      </c>
      <c r="B101" s="165">
        <v>3821</v>
      </c>
      <c r="C101" s="166">
        <v>0</v>
      </c>
      <c r="D101" s="166">
        <v>0</v>
      </c>
      <c r="E101" s="166">
        <v>0</v>
      </c>
      <c r="F101" s="166">
        <v>0</v>
      </c>
      <c r="G101" s="165">
        <v>0</v>
      </c>
      <c r="H101" s="167">
        <f>SUM(C101:G101)</f>
        <v>0</v>
      </c>
      <c r="I101" s="27"/>
      <c r="J101" s="168">
        <v>2007</v>
      </c>
      <c r="K101" s="169">
        <f>L29</f>
        <v>32588</v>
      </c>
      <c r="L101" s="170"/>
    </row>
    <row r="102" ht="12.75" customHeight="1"/>
    <row r="103" ht="13.5" thickBot="1">
      <c r="J103" s="312" t="s">
        <v>255</v>
      </c>
    </row>
    <row r="104" spans="1:10" ht="21" customHeight="1" thickBot="1">
      <c r="A104" s="421" t="s">
        <v>47</v>
      </c>
      <c r="B104" s="422" t="s">
        <v>48</v>
      </c>
      <c r="C104" s="422"/>
      <c r="D104" s="422"/>
      <c r="E104" s="423" t="s">
        <v>134</v>
      </c>
      <c r="F104" s="423"/>
      <c r="G104" s="423"/>
      <c r="H104" s="430" t="s">
        <v>49</v>
      </c>
      <c r="I104" s="430"/>
      <c r="J104" s="430"/>
    </row>
    <row r="105" spans="1:10" ht="12.75">
      <c r="A105" s="421"/>
      <c r="B105" s="171">
        <v>2005</v>
      </c>
      <c r="C105" s="171">
        <v>2006</v>
      </c>
      <c r="D105" s="171" t="s">
        <v>50</v>
      </c>
      <c r="E105" s="171">
        <v>2005</v>
      </c>
      <c r="F105" s="171">
        <v>2006</v>
      </c>
      <c r="G105" s="172" t="s">
        <v>50</v>
      </c>
      <c r="H105" s="173">
        <v>2005</v>
      </c>
      <c r="I105" s="171">
        <v>2006</v>
      </c>
      <c r="J105" s="172" t="s">
        <v>50</v>
      </c>
    </row>
    <row r="106" spans="1:10" ht="18.75">
      <c r="A106" s="174" t="s">
        <v>51</v>
      </c>
      <c r="B106" s="175">
        <v>10.5</v>
      </c>
      <c r="C106" s="175">
        <v>10.5</v>
      </c>
      <c r="D106" s="175">
        <f aca="true" t="shared" si="14" ref="D106:D116">+C106-B106</f>
        <v>0</v>
      </c>
      <c r="E106" s="175">
        <v>10.5</v>
      </c>
      <c r="F106" s="175">
        <v>10.5</v>
      </c>
      <c r="G106" s="176">
        <f aca="true" t="shared" si="15" ref="G106:G116">+F106-E106</f>
        <v>0</v>
      </c>
      <c r="H106" s="177">
        <v>19542</v>
      </c>
      <c r="I106" s="178">
        <v>21337</v>
      </c>
      <c r="J106" s="179">
        <f aca="true" t="shared" si="16" ref="J106:J116">+I106-H106</f>
        <v>1795</v>
      </c>
    </row>
    <row r="107" spans="1:10" ht="12.75">
      <c r="A107" s="174" t="s">
        <v>85</v>
      </c>
      <c r="B107" s="175">
        <v>25.5</v>
      </c>
      <c r="C107" s="175">
        <v>25.32</v>
      </c>
      <c r="D107" s="175">
        <f t="shared" si="14"/>
        <v>-0.17999999999999972</v>
      </c>
      <c r="E107" s="175">
        <v>25.7</v>
      </c>
      <c r="F107" s="175">
        <v>25.1</v>
      </c>
      <c r="G107" s="176">
        <f t="shared" si="15"/>
        <v>-0.5999999999999979</v>
      </c>
      <c r="H107" s="177">
        <v>19745</v>
      </c>
      <c r="I107" s="180">
        <v>21816</v>
      </c>
      <c r="J107" s="179">
        <f t="shared" si="16"/>
        <v>2071</v>
      </c>
    </row>
    <row r="108" spans="1:10" ht="12.75">
      <c r="A108" s="174" t="s">
        <v>52</v>
      </c>
      <c r="B108" s="175">
        <v>1</v>
      </c>
      <c r="C108" s="175">
        <v>1.17</v>
      </c>
      <c r="D108" s="175">
        <f t="shared" si="14"/>
        <v>0.16999999999999993</v>
      </c>
      <c r="E108" s="175">
        <v>1</v>
      </c>
      <c r="F108" s="175">
        <v>2</v>
      </c>
      <c r="G108" s="176">
        <f t="shared" si="15"/>
        <v>1</v>
      </c>
      <c r="H108" s="177">
        <v>18818</v>
      </c>
      <c r="I108" s="180">
        <v>19850</v>
      </c>
      <c r="J108" s="179">
        <f t="shared" si="16"/>
        <v>1032</v>
      </c>
    </row>
    <row r="109" spans="1:10" ht="12.75">
      <c r="A109" s="174" t="s">
        <v>53</v>
      </c>
      <c r="B109" s="175">
        <v>12.82</v>
      </c>
      <c r="C109" s="175">
        <v>9.16</v>
      </c>
      <c r="D109" s="175">
        <f t="shared" si="14"/>
        <v>-3.66</v>
      </c>
      <c r="E109" s="175">
        <v>10</v>
      </c>
      <c r="F109" s="175">
        <v>8</v>
      </c>
      <c r="G109" s="176">
        <f t="shared" si="15"/>
        <v>-2</v>
      </c>
      <c r="H109" s="177">
        <v>14120</v>
      </c>
      <c r="I109" s="180">
        <v>14740</v>
      </c>
      <c r="J109" s="179">
        <f t="shared" si="16"/>
        <v>620</v>
      </c>
    </row>
    <row r="110" spans="1:10" ht="12.75">
      <c r="A110" s="174" t="s">
        <v>86</v>
      </c>
      <c r="B110" s="175">
        <v>0.4</v>
      </c>
      <c r="C110" s="175">
        <v>0.34</v>
      </c>
      <c r="D110" s="175">
        <f t="shared" si="14"/>
        <v>-0.06</v>
      </c>
      <c r="E110" s="175">
        <v>0.4</v>
      </c>
      <c r="F110" s="175">
        <v>0.3</v>
      </c>
      <c r="G110" s="176">
        <f t="shared" si="15"/>
        <v>-0.10000000000000003</v>
      </c>
      <c r="H110" s="177">
        <v>30786</v>
      </c>
      <c r="I110" s="180">
        <v>32656</v>
      </c>
      <c r="J110" s="179">
        <f t="shared" si="16"/>
        <v>1870</v>
      </c>
    </row>
    <row r="111" spans="1:10" ht="12.75">
      <c r="A111" s="174" t="s">
        <v>54</v>
      </c>
      <c r="B111" s="175">
        <v>51.16</v>
      </c>
      <c r="C111" s="175">
        <v>50.39</v>
      </c>
      <c r="D111" s="175">
        <f t="shared" si="14"/>
        <v>-0.769999999999996</v>
      </c>
      <c r="E111" s="175">
        <v>53.69</v>
      </c>
      <c r="F111" s="175">
        <v>46.79</v>
      </c>
      <c r="G111" s="176">
        <f t="shared" si="15"/>
        <v>-6.899999999999999</v>
      </c>
      <c r="H111" s="177">
        <v>18579</v>
      </c>
      <c r="I111" s="180">
        <v>19503</v>
      </c>
      <c r="J111" s="179">
        <f t="shared" si="16"/>
        <v>924</v>
      </c>
    </row>
    <row r="112" spans="1:10" ht="12.75">
      <c r="A112" s="174" t="s">
        <v>55</v>
      </c>
      <c r="B112" s="175"/>
      <c r="C112" s="175"/>
      <c r="D112" s="175">
        <f t="shared" si="14"/>
        <v>0</v>
      </c>
      <c r="E112" s="175"/>
      <c r="F112" s="175"/>
      <c r="G112" s="176">
        <f t="shared" si="15"/>
        <v>0</v>
      </c>
      <c r="H112" s="177"/>
      <c r="I112" s="180"/>
      <c r="J112" s="179">
        <f t="shared" si="16"/>
        <v>0</v>
      </c>
    </row>
    <row r="113" spans="1:10" ht="12.75">
      <c r="A113" s="174" t="s">
        <v>56</v>
      </c>
      <c r="B113" s="175">
        <v>6.25</v>
      </c>
      <c r="C113" s="175">
        <v>9.5</v>
      </c>
      <c r="D113" s="175">
        <f t="shared" si="14"/>
        <v>3.25</v>
      </c>
      <c r="E113" s="175">
        <v>5</v>
      </c>
      <c r="F113" s="175">
        <v>11</v>
      </c>
      <c r="G113" s="176">
        <f t="shared" si="15"/>
        <v>6</v>
      </c>
      <c r="H113" s="177">
        <v>12715</v>
      </c>
      <c r="I113" s="180">
        <v>14975</v>
      </c>
      <c r="J113" s="179">
        <f t="shared" si="16"/>
        <v>2260</v>
      </c>
    </row>
    <row r="114" spans="1:10" ht="12.75">
      <c r="A114" s="174" t="s">
        <v>57</v>
      </c>
      <c r="B114" s="175">
        <v>2</v>
      </c>
      <c r="C114" s="175">
        <v>2</v>
      </c>
      <c r="D114" s="175">
        <f t="shared" si="14"/>
        <v>0</v>
      </c>
      <c r="E114" s="175">
        <v>2</v>
      </c>
      <c r="F114" s="175">
        <v>2</v>
      </c>
      <c r="G114" s="176">
        <f t="shared" si="15"/>
        <v>0</v>
      </c>
      <c r="H114" s="177">
        <v>13942</v>
      </c>
      <c r="I114" s="180">
        <v>15209</v>
      </c>
      <c r="J114" s="179">
        <f t="shared" si="16"/>
        <v>1267</v>
      </c>
    </row>
    <row r="115" spans="1:10" ht="12.75">
      <c r="A115" s="174" t="s">
        <v>58</v>
      </c>
      <c r="B115" s="175">
        <v>33.4</v>
      </c>
      <c r="C115" s="175">
        <v>33.66</v>
      </c>
      <c r="D115" s="175">
        <f t="shared" si="14"/>
        <v>0.259999999999998</v>
      </c>
      <c r="E115" s="175">
        <v>33.2</v>
      </c>
      <c r="F115" s="175">
        <v>33.9</v>
      </c>
      <c r="G115" s="176">
        <f t="shared" si="15"/>
        <v>0.6999999999999957</v>
      </c>
      <c r="H115" s="177">
        <v>12021</v>
      </c>
      <c r="I115" s="180">
        <v>12976</v>
      </c>
      <c r="J115" s="179">
        <f t="shared" si="16"/>
        <v>955</v>
      </c>
    </row>
    <row r="116" spans="1:10" ht="13.5" thickBot="1">
      <c r="A116" s="181" t="s">
        <v>3</v>
      </c>
      <c r="B116" s="182">
        <f>SUM(B106:B115)</f>
        <v>143.03</v>
      </c>
      <c r="C116" s="182">
        <f>SUM(C106:C115)</f>
        <v>142.04000000000002</v>
      </c>
      <c r="D116" s="182">
        <f t="shared" si="14"/>
        <v>-0.9899999999999807</v>
      </c>
      <c r="E116" s="182">
        <f>SUM(E106:E115)</f>
        <v>141.49</v>
      </c>
      <c r="F116" s="182">
        <f>SUM(F106:F115)</f>
        <v>139.59</v>
      </c>
      <c r="G116" s="183">
        <f t="shared" si="15"/>
        <v>-1.9000000000000057</v>
      </c>
      <c r="H116" s="184">
        <v>16641</v>
      </c>
      <c r="I116" s="185">
        <v>17868</v>
      </c>
      <c r="J116" s="186">
        <f t="shared" si="16"/>
        <v>1227</v>
      </c>
    </row>
    <row r="117" ht="13.5" thickBot="1"/>
    <row r="118" spans="1:16" ht="12.75">
      <c r="A118" s="432" t="s">
        <v>59</v>
      </c>
      <c r="B118" s="432"/>
      <c r="C118" s="432"/>
      <c r="D118" s="27"/>
      <c r="E118" s="432" t="s">
        <v>60</v>
      </c>
      <c r="F118" s="432"/>
      <c r="G118" s="432"/>
      <c r="H118"/>
      <c r="I118"/>
      <c r="J118"/>
      <c r="K118"/>
      <c r="L118"/>
      <c r="M118"/>
      <c r="N118"/>
      <c r="O118"/>
      <c r="P118"/>
    </row>
    <row r="119" spans="1:16" ht="13.5" thickBot="1">
      <c r="A119" s="154" t="s">
        <v>61</v>
      </c>
      <c r="B119" s="155" t="s">
        <v>62</v>
      </c>
      <c r="C119" s="156" t="s">
        <v>46</v>
      </c>
      <c r="D119" s="27"/>
      <c r="E119" s="154"/>
      <c r="F119" s="433" t="s">
        <v>63</v>
      </c>
      <c r="G119" s="433"/>
      <c r="H119"/>
      <c r="I119"/>
      <c r="J119"/>
      <c r="K119"/>
      <c r="L119"/>
      <c r="M119"/>
      <c r="N119"/>
      <c r="O119"/>
      <c r="P119"/>
    </row>
    <row r="120" spans="1:16" ht="12.75">
      <c r="A120" s="161">
        <v>2006</v>
      </c>
      <c r="B120" s="162">
        <v>144</v>
      </c>
      <c r="C120" s="163">
        <v>142</v>
      </c>
      <c r="D120" s="27"/>
      <c r="E120" s="161">
        <v>2006</v>
      </c>
      <c r="F120" s="416">
        <v>159</v>
      </c>
      <c r="G120" s="416"/>
      <c r="H120"/>
      <c r="I120"/>
      <c r="J120"/>
      <c r="K120"/>
      <c r="L120"/>
      <c r="M120"/>
      <c r="N120"/>
      <c r="O120"/>
      <c r="P120"/>
    </row>
    <row r="121" spans="1:16" ht="13.5" thickBot="1">
      <c r="A121" s="168">
        <v>2007</v>
      </c>
      <c r="B121" s="169">
        <v>144</v>
      </c>
      <c r="C121" s="369" t="s">
        <v>508</v>
      </c>
      <c r="D121" s="27"/>
      <c r="E121" s="168">
        <v>2007</v>
      </c>
      <c r="F121" s="417">
        <v>159</v>
      </c>
      <c r="G121" s="417"/>
      <c r="H121"/>
      <c r="I121"/>
      <c r="J121"/>
      <c r="K121"/>
      <c r="L121"/>
      <c r="M121"/>
      <c r="N121"/>
      <c r="O121"/>
      <c r="P121"/>
    </row>
  </sheetData>
  <mergeCells count="134">
    <mergeCell ref="H61:K61"/>
    <mergeCell ref="H62:K62"/>
    <mergeCell ref="H63:K63"/>
    <mergeCell ref="H64:K64"/>
    <mergeCell ref="D61:F61"/>
    <mergeCell ref="D62:F62"/>
    <mergeCell ref="D63:F63"/>
    <mergeCell ref="D64:F64"/>
    <mergeCell ref="A64:B64"/>
    <mergeCell ref="A63:B63"/>
    <mergeCell ref="A62:B62"/>
    <mergeCell ref="A61:B61"/>
    <mergeCell ref="A69:E69"/>
    <mergeCell ref="F69:L69"/>
    <mergeCell ref="C70:D70"/>
    <mergeCell ref="F70:G70"/>
    <mergeCell ref="I70:K70"/>
    <mergeCell ref="H87:H88"/>
    <mergeCell ref="I87:L87"/>
    <mergeCell ref="A87:A88"/>
    <mergeCell ref="B87:B88"/>
    <mergeCell ref="C87:F87"/>
    <mergeCell ref="G87:G88"/>
    <mergeCell ref="L81:M81"/>
    <mergeCell ref="C82:C83"/>
    <mergeCell ref="D82:I82"/>
    <mergeCell ref="A81:A83"/>
    <mergeCell ref="B81:B83"/>
    <mergeCell ref="C81:I81"/>
    <mergeCell ref="J81:J83"/>
    <mergeCell ref="C71:D71"/>
    <mergeCell ref="F71:G71"/>
    <mergeCell ref="I71:K71"/>
    <mergeCell ref="C72:D72"/>
    <mergeCell ref="F72:G72"/>
    <mergeCell ref="I72:K72"/>
    <mergeCell ref="C73:D73"/>
    <mergeCell ref="F73:G73"/>
    <mergeCell ref="I73:K73"/>
    <mergeCell ref="C74:D74"/>
    <mergeCell ref="F74:G74"/>
    <mergeCell ref="I74:K74"/>
    <mergeCell ref="C75:D75"/>
    <mergeCell ref="F75:G75"/>
    <mergeCell ref="I75:K75"/>
    <mergeCell ref="F76:G76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H56:K56"/>
    <mergeCell ref="D56:F56"/>
    <mergeCell ref="H57:K57"/>
    <mergeCell ref="A58:B58"/>
    <mergeCell ref="D58:F58"/>
    <mergeCell ref="H58:K58"/>
    <mergeCell ref="D57:F57"/>
    <mergeCell ref="H59:K59"/>
    <mergeCell ref="A60:B60"/>
    <mergeCell ref="D60:F60"/>
    <mergeCell ref="H60:K60"/>
    <mergeCell ref="H65:K65"/>
    <mergeCell ref="A66:B66"/>
    <mergeCell ref="D66:F66"/>
    <mergeCell ref="H66:K66"/>
    <mergeCell ref="F120:G120"/>
    <mergeCell ref="F121:G121"/>
    <mergeCell ref="A98:A99"/>
    <mergeCell ref="B98:B99"/>
    <mergeCell ref="C98:H98"/>
    <mergeCell ref="H104:J104"/>
    <mergeCell ref="J98:L98"/>
    <mergeCell ref="A118:C118"/>
    <mergeCell ref="E118:G118"/>
    <mergeCell ref="F119:G119"/>
    <mergeCell ref="J4:L4"/>
    <mergeCell ref="A3:A6"/>
    <mergeCell ref="B3:N3"/>
    <mergeCell ref="H4:I4"/>
    <mergeCell ref="M4:N4"/>
    <mergeCell ref="A104:A105"/>
    <mergeCell ref="B104:D104"/>
    <mergeCell ref="E104:G104"/>
    <mergeCell ref="B4:D4"/>
    <mergeCell ref="E4:G4"/>
    <mergeCell ref="A65:B65"/>
    <mergeCell ref="D65:F65"/>
    <mergeCell ref="A59:B59"/>
    <mergeCell ref="D59:F59"/>
    <mergeCell ref="A57:B5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Header>&amp;R&amp;"Arial CE,tučné"&amp;11RK-25-2007-76, př. 1
počet stran: 44&amp;"Arial CE,obyčejné"&amp;10
</oddHeader>
    <oddFooter>&amp;C&amp;P</oddFooter>
  </headerFooter>
  <rowBreaks count="1" manualBreakCount="1">
    <brk id="7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Normal="90" zoomScaleSheetLayoutView="100" workbookViewId="0" topLeftCell="A19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6" ht="16.5" thickBot="1">
      <c r="A3" s="552" t="s">
        <v>0</v>
      </c>
      <c r="B3" s="414" t="s">
        <v>519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/>
      <c r="P3"/>
    </row>
    <row r="4" spans="1:16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  <c r="O4"/>
      <c r="P4"/>
    </row>
    <row r="5" spans="1:16" ht="14.25" thickBot="1" thickTop="1">
      <c r="A5" s="552"/>
      <c r="B5" s="90" t="s">
        <v>525</v>
      </c>
      <c r="C5" s="91" t="s">
        <v>525</v>
      </c>
      <c r="D5" s="92" t="s">
        <v>3</v>
      </c>
      <c r="E5" s="90" t="s">
        <v>526</v>
      </c>
      <c r="F5" s="91" t="s">
        <v>527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  <c r="O5"/>
      <c r="P5"/>
    </row>
    <row r="6" spans="1:16" ht="14.25" thickBot="1" thickTop="1">
      <c r="A6" s="413"/>
      <c r="B6" s="210" t="s">
        <v>528</v>
      </c>
      <c r="C6" s="211" t="s">
        <v>529</v>
      </c>
      <c r="D6" s="212"/>
      <c r="E6" s="210"/>
      <c r="F6" s="211"/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  <c r="O6"/>
      <c r="P6"/>
    </row>
    <row r="7" spans="1:16" ht="15" customHeight="1">
      <c r="A7" s="228" t="s">
        <v>8</v>
      </c>
      <c r="B7" s="187"/>
      <c r="C7" s="188"/>
      <c r="D7" s="191">
        <v>0</v>
      </c>
      <c r="E7" s="187"/>
      <c r="F7" s="188"/>
      <c r="G7" s="191">
        <v>0</v>
      </c>
      <c r="H7" s="218">
        <v>0</v>
      </c>
      <c r="I7" s="222"/>
      <c r="J7" s="187"/>
      <c r="K7" s="188"/>
      <c r="L7" s="191">
        <v>0</v>
      </c>
      <c r="M7" s="218">
        <v>0</v>
      </c>
      <c r="N7" s="219"/>
      <c r="O7"/>
      <c r="P7"/>
    </row>
    <row r="8" spans="1:16" ht="15" customHeight="1">
      <c r="A8" s="229" t="s">
        <v>9</v>
      </c>
      <c r="B8" s="15">
        <v>8031</v>
      </c>
      <c r="C8" s="14">
        <v>5643</v>
      </c>
      <c r="D8" s="192">
        <f>B8+C8</f>
        <v>13674</v>
      </c>
      <c r="E8" s="15">
        <v>3124</v>
      </c>
      <c r="F8" s="14">
        <v>11641</v>
      </c>
      <c r="G8" s="192">
        <f>E8+F8</f>
        <v>14765</v>
      </c>
      <c r="H8" s="220">
        <f>G8-D8</f>
        <v>1091</v>
      </c>
      <c r="I8" s="223">
        <f>G8/D8</f>
        <v>1.0797864560479742</v>
      </c>
      <c r="J8" s="15">
        <f>20640+500</f>
        <v>21140</v>
      </c>
      <c r="K8" s="14"/>
      <c r="L8" s="192">
        <f>J8</f>
        <v>21140</v>
      </c>
      <c r="M8" s="220">
        <f>L8-G8</f>
        <v>6375</v>
      </c>
      <c r="N8" s="221">
        <f>L8/G8</f>
        <v>1.4317643074839146</v>
      </c>
      <c r="O8"/>
      <c r="P8"/>
    </row>
    <row r="9" spans="1:16" ht="15" customHeight="1">
      <c r="A9" s="229" t="s">
        <v>10</v>
      </c>
      <c r="B9" s="15"/>
      <c r="C9" s="14"/>
      <c r="D9" s="192">
        <v>0</v>
      </c>
      <c r="E9" s="15"/>
      <c r="F9" s="14"/>
      <c r="G9" s="192">
        <f aca="true" t="shared" si="0" ref="G9:G36">E9+F9</f>
        <v>0</v>
      </c>
      <c r="H9" s="220">
        <f aca="true" t="shared" si="1" ref="H9:H17">G9-D9</f>
        <v>0</v>
      </c>
      <c r="I9" s="223"/>
      <c r="J9" s="15"/>
      <c r="K9" s="14"/>
      <c r="L9" s="192">
        <v>0</v>
      </c>
      <c r="M9" s="220">
        <f aca="true" t="shared" si="2" ref="M9:M17">L9-G9</f>
        <v>0</v>
      </c>
      <c r="N9" s="221"/>
      <c r="O9"/>
      <c r="P9"/>
    </row>
    <row r="10" spans="1:16" ht="15" customHeight="1">
      <c r="A10" s="229" t="s">
        <v>11</v>
      </c>
      <c r="B10" s="15"/>
      <c r="C10" s="14"/>
      <c r="D10" s="192">
        <v>0</v>
      </c>
      <c r="E10" s="15"/>
      <c r="F10" s="14"/>
      <c r="G10" s="192">
        <f t="shared" si="0"/>
        <v>0</v>
      </c>
      <c r="H10" s="220">
        <f t="shared" si="1"/>
        <v>0</v>
      </c>
      <c r="I10" s="223"/>
      <c r="J10" s="15"/>
      <c r="K10" s="14"/>
      <c r="L10" s="192">
        <v>0</v>
      </c>
      <c r="M10" s="220">
        <f t="shared" si="2"/>
        <v>0</v>
      </c>
      <c r="N10" s="221"/>
      <c r="O10"/>
      <c r="P10"/>
    </row>
    <row r="11" spans="1:16" ht="15" customHeight="1">
      <c r="A11" s="229" t="s">
        <v>12</v>
      </c>
      <c r="B11" s="15">
        <v>505</v>
      </c>
      <c r="C11" s="14">
        <v>121</v>
      </c>
      <c r="D11" s="192">
        <f>B11+C11</f>
        <v>626</v>
      </c>
      <c r="E11" s="15">
        <v>2</v>
      </c>
      <c r="F11" s="14">
        <v>199</v>
      </c>
      <c r="G11" s="192">
        <f t="shared" si="0"/>
        <v>201</v>
      </c>
      <c r="H11" s="220">
        <f t="shared" si="1"/>
        <v>-425</v>
      </c>
      <c r="I11" s="223">
        <f>G11/D11</f>
        <v>0.3210862619808307</v>
      </c>
      <c r="J11" s="15">
        <v>147</v>
      </c>
      <c r="K11" s="14"/>
      <c r="L11" s="192">
        <v>147</v>
      </c>
      <c r="M11" s="220">
        <f t="shared" si="2"/>
        <v>-54</v>
      </c>
      <c r="N11" s="221">
        <f aca="true" t="shared" si="3" ref="N11:N16">L11/G11</f>
        <v>0.7313432835820896</v>
      </c>
      <c r="O11"/>
      <c r="P11"/>
    </row>
    <row r="12" spans="1:16" ht="15" customHeight="1">
      <c r="A12" s="230" t="s">
        <v>13</v>
      </c>
      <c r="B12" s="15"/>
      <c r="C12" s="14"/>
      <c r="D12" s="192">
        <v>0</v>
      </c>
      <c r="E12" s="15"/>
      <c r="F12" s="14">
        <v>167</v>
      </c>
      <c r="G12" s="192">
        <f t="shared" si="0"/>
        <v>167</v>
      </c>
      <c r="H12" s="220">
        <f t="shared" si="1"/>
        <v>167</v>
      </c>
      <c r="I12" s="223"/>
      <c r="J12" s="15"/>
      <c r="K12" s="14"/>
      <c r="L12" s="192">
        <v>0</v>
      </c>
      <c r="M12" s="220">
        <f t="shared" si="2"/>
        <v>-167</v>
      </c>
      <c r="N12" s="221">
        <f t="shared" si="3"/>
        <v>0</v>
      </c>
      <c r="O12"/>
      <c r="P12"/>
    </row>
    <row r="13" spans="1:16" ht="15" customHeight="1">
      <c r="A13" s="230" t="s">
        <v>14</v>
      </c>
      <c r="B13" s="15"/>
      <c r="C13" s="14"/>
      <c r="D13" s="192">
        <v>0</v>
      </c>
      <c r="E13" s="15"/>
      <c r="F13" s="14"/>
      <c r="G13" s="192">
        <f t="shared" si="0"/>
        <v>0</v>
      </c>
      <c r="H13" s="220">
        <f t="shared" si="1"/>
        <v>0</v>
      </c>
      <c r="I13" s="223"/>
      <c r="J13" s="15"/>
      <c r="K13" s="14"/>
      <c r="L13" s="192">
        <v>0</v>
      </c>
      <c r="M13" s="220">
        <f t="shared" si="2"/>
        <v>0</v>
      </c>
      <c r="N13" s="221"/>
      <c r="O13"/>
      <c r="P13"/>
    </row>
    <row r="14" spans="1:16" ht="18" customHeight="1">
      <c r="A14" s="230" t="s">
        <v>15</v>
      </c>
      <c r="B14" s="15"/>
      <c r="C14" s="14"/>
      <c r="D14" s="192">
        <v>0</v>
      </c>
      <c r="E14" s="15"/>
      <c r="F14" s="14"/>
      <c r="G14" s="192">
        <f t="shared" si="0"/>
        <v>0</v>
      </c>
      <c r="H14" s="220">
        <f t="shared" si="1"/>
        <v>0</v>
      </c>
      <c r="I14" s="223"/>
      <c r="J14" s="15"/>
      <c r="K14" s="14"/>
      <c r="L14" s="192">
        <v>0</v>
      </c>
      <c r="M14" s="220">
        <f t="shared" si="2"/>
        <v>0</v>
      </c>
      <c r="N14" s="221"/>
      <c r="O14"/>
      <c r="P14"/>
    </row>
    <row r="15" spans="1:16" ht="15" customHeight="1">
      <c r="A15" s="229" t="s">
        <v>16</v>
      </c>
      <c r="B15" s="15">
        <v>12053</v>
      </c>
      <c r="C15" s="14">
        <v>9482</v>
      </c>
      <c r="D15" s="192">
        <f>C15+B15</f>
        <v>21535</v>
      </c>
      <c r="E15" s="15">
        <v>4902</v>
      </c>
      <c r="F15" s="14">
        <v>17860</v>
      </c>
      <c r="G15" s="192">
        <f t="shared" si="0"/>
        <v>22762</v>
      </c>
      <c r="H15" s="220">
        <f t="shared" si="1"/>
        <v>1227</v>
      </c>
      <c r="I15" s="223">
        <f>G15/D15</f>
        <v>1.0569770141629904</v>
      </c>
      <c r="J15" s="17">
        <f>SUM(J16:J17)</f>
        <v>18442</v>
      </c>
      <c r="K15" s="17">
        <v>0</v>
      </c>
      <c r="L15" s="192">
        <f>J15</f>
        <v>18442</v>
      </c>
      <c r="M15" s="220">
        <f t="shared" si="2"/>
        <v>-4320</v>
      </c>
      <c r="N15" s="221">
        <f t="shared" si="3"/>
        <v>0.8102099991213426</v>
      </c>
      <c r="O15"/>
      <c r="P15"/>
    </row>
    <row r="16" spans="1:16" ht="15" customHeight="1">
      <c r="A16" s="231" t="s">
        <v>219</v>
      </c>
      <c r="B16" s="15">
        <v>12053</v>
      </c>
      <c r="C16" s="14">
        <v>9482</v>
      </c>
      <c r="D16" s="192">
        <f>B16+C16</f>
        <v>21535</v>
      </c>
      <c r="E16" s="15">
        <v>4902</v>
      </c>
      <c r="F16" s="14">
        <v>17860</v>
      </c>
      <c r="G16" s="192">
        <f t="shared" si="0"/>
        <v>22762</v>
      </c>
      <c r="H16" s="220">
        <f t="shared" si="1"/>
        <v>1227</v>
      </c>
      <c r="I16" s="223">
        <f>G16/D16</f>
        <v>1.0569770141629904</v>
      </c>
      <c r="J16" s="17">
        <f>2745-1373</f>
        <v>1372</v>
      </c>
      <c r="K16" s="14"/>
      <c r="L16" s="192">
        <f>J16</f>
        <v>1372</v>
      </c>
      <c r="M16" s="220">
        <f t="shared" si="2"/>
        <v>-21390</v>
      </c>
      <c r="N16" s="221">
        <f t="shared" si="3"/>
        <v>0.06027589842720323</v>
      </c>
      <c r="O16"/>
      <c r="P16"/>
    </row>
    <row r="17" spans="1:16" ht="1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0"/>
        <v>0</v>
      </c>
      <c r="H17" s="366">
        <f t="shared" si="1"/>
        <v>0</v>
      </c>
      <c r="I17" s="370"/>
      <c r="J17" s="194">
        <v>17070</v>
      </c>
      <c r="K17" s="190"/>
      <c r="L17" s="193">
        <v>17070</v>
      </c>
      <c r="M17" s="366">
        <f t="shared" si="2"/>
        <v>17070</v>
      </c>
      <c r="N17" s="367"/>
      <c r="O17"/>
      <c r="P17"/>
    </row>
    <row r="18" spans="1:16" ht="15" customHeight="1" thickBot="1">
      <c r="A18" s="209" t="s">
        <v>17</v>
      </c>
      <c r="B18" s="213">
        <v>20589</v>
      </c>
      <c r="C18" s="214">
        <f>SUM(C8:C16)</f>
        <v>24728</v>
      </c>
      <c r="D18" s="215">
        <v>0</v>
      </c>
      <c r="E18" s="213">
        <v>8028</v>
      </c>
      <c r="F18" s="214">
        <v>29700</v>
      </c>
      <c r="G18" s="387">
        <f t="shared" si="0"/>
        <v>37728</v>
      </c>
      <c r="H18" s="217">
        <v>0</v>
      </c>
      <c r="I18" s="132"/>
      <c r="J18" s="225">
        <f>J8+J11+J15</f>
        <v>39729</v>
      </c>
      <c r="K18" s="214">
        <v>0</v>
      </c>
      <c r="L18" s="215">
        <f>L8+L11+L15</f>
        <v>39729</v>
      </c>
      <c r="M18" s="217">
        <v>38241</v>
      </c>
      <c r="N18" s="226"/>
      <c r="O18"/>
      <c r="P18"/>
    </row>
    <row r="19" spans="1:16" ht="15" customHeight="1">
      <c r="A19" s="120" t="s">
        <v>18</v>
      </c>
      <c r="B19" s="95">
        <v>3666</v>
      </c>
      <c r="C19" s="96">
        <v>1809</v>
      </c>
      <c r="D19" s="97">
        <f>C19+B19</f>
        <v>5475</v>
      </c>
      <c r="E19" s="95">
        <v>1439</v>
      </c>
      <c r="F19" s="96">
        <v>5264</v>
      </c>
      <c r="G19" s="192">
        <f t="shared" si="0"/>
        <v>6703</v>
      </c>
      <c r="H19" s="122">
        <f>G19-D19</f>
        <v>1228</v>
      </c>
      <c r="I19" s="123">
        <f>G19/D19</f>
        <v>1.2242922374429224</v>
      </c>
      <c r="J19" s="100">
        <f>6038+1000</f>
        <v>7038</v>
      </c>
      <c r="K19" s="96"/>
      <c r="L19" s="124">
        <f>J19</f>
        <v>7038</v>
      </c>
      <c r="M19" s="122">
        <f>L19-G19</f>
        <v>335</v>
      </c>
      <c r="N19" s="125">
        <f>L19/G19</f>
        <v>1.0499776219603163</v>
      </c>
      <c r="O19"/>
      <c r="P19"/>
    </row>
    <row r="20" spans="1:16" ht="18.75" customHeight="1">
      <c r="A20" s="106" t="s">
        <v>19</v>
      </c>
      <c r="B20" s="95">
        <v>635</v>
      </c>
      <c r="C20" s="96">
        <v>585</v>
      </c>
      <c r="D20" s="97">
        <f aca="true" t="shared" si="4" ref="D20:D35">C20+B20</f>
        <v>1220</v>
      </c>
      <c r="E20" s="95">
        <v>219</v>
      </c>
      <c r="F20" s="96">
        <v>875</v>
      </c>
      <c r="G20" s="192">
        <f t="shared" si="0"/>
        <v>1094</v>
      </c>
      <c r="H20" s="122">
        <f aca="true" t="shared" si="5" ref="H20:H36">G20-D20</f>
        <v>-126</v>
      </c>
      <c r="I20" s="123">
        <f aca="true" t="shared" si="6" ref="I20:I35">G20/D20</f>
        <v>0.8967213114754098</v>
      </c>
      <c r="J20" s="100">
        <v>100</v>
      </c>
      <c r="K20" s="96"/>
      <c r="L20" s="124">
        <v>100</v>
      </c>
      <c r="M20" s="122">
        <f aca="true" t="shared" si="7" ref="M20:M36">L20-G20</f>
        <v>-994</v>
      </c>
      <c r="N20" s="125">
        <f aca="true" t="shared" si="8" ref="N20:N36">L20/G20</f>
        <v>0.09140767824497258</v>
      </c>
      <c r="O20"/>
      <c r="P20"/>
    </row>
    <row r="21" spans="1:16" ht="15" customHeight="1">
      <c r="A21" s="102" t="s">
        <v>20</v>
      </c>
      <c r="B21" s="103">
        <v>2024</v>
      </c>
      <c r="C21" s="104">
        <v>881</v>
      </c>
      <c r="D21" s="97">
        <f t="shared" si="4"/>
        <v>2905</v>
      </c>
      <c r="E21" s="103">
        <v>465</v>
      </c>
      <c r="F21" s="104">
        <v>2924</v>
      </c>
      <c r="G21" s="192">
        <f t="shared" si="0"/>
        <v>3389</v>
      </c>
      <c r="H21" s="122">
        <f t="shared" si="5"/>
        <v>484</v>
      </c>
      <c r="I21" s="123">
        <f t="shared" si="6"/>
        <v>1.1666092943201376</v>
      </c>
      <c r="J21" s="105">
        <f>3700-400</f>
        <v>3300</v>
      </c>
      <c r="K21" s="104"/>
      <c r="L21" s="124">
        <v>3700</v>
      </c>
      <c r="M21" s="122">
        <f t="shared" si="7"/>
        <v>311</v>
      </c>
      <c r="N21" s="125">
        <f t="shared" si="8"/>
        <v>1.0917674830333433</v>
      </c>
      <c r="O21"/>
      <c r="P21"/>
    </row>
    <row r="22" spans="1:16" ht="15" customHeight="1">
      <c r="A22" s="106" t="s">
        <v>21</v>
      </c>
      <c r="B22" s="103"/>
      <c r="C22" s="104"/>
      <c r="D22" s="97">
        <f t="shared" si="4"/>
        <v>0</v>
      </c>
      <c r="E22" s="103"/>
      <c r="F22" s="104"/>
      <c r="G22" s="192">
        <f t="shared" si="0"/>
        <v>0</v>
      </c>
      <c r="H22" s="122">
        <f t="shared" si="5"/>
        <v>0</v>
      </c>
      <c r="I22" s="123"/>
      <c r="J22" s="105"/>
      <c r="K22" s="104"/>
      <c r="L22" s="124">
        <v>0</v>
      </c>
      <c r="M22" s="122">
        <f t="shared" si="7"/>
        <v>0</v>
      </c>
      <c r="N22" s="125"/>
      <c r="O22"/>
      <c r="P22"/>
    </row>
    <row r="23" spans="1:16" ht="15" customHeight="1">
      <c r="A23" s="102" t="s">
        <v>22</v>
      </c>
      <c r="B23" s="103"/>
      <c r="C23" s="104"/>
      <c r="D23" s="97">
        <f t="shared" si="4"/>
        <v>0</v>
      </c>
      <c r="E23" s="103"/>
      <c r="F23" s="104"/>
      <c r="G23" s="192">
        <f t="shared" si="0"/>
        <v>0</v>
      </c>
      <c r="H23" s="122">
        <f t="shared" si="5"/>
        <v>0</v>
      </c>
      <c r="I23" s="123"/>
      <c r="J23" s="105"/>
      <c r="K23" s="104"/>
      <c r="L23" s="124">
        <v>0</v>
      </c>
      <c r="M23" s="122">
        <f t="shared" si="7"/>
        <v>0</v>
      </c>
      <c r="N23" s="125"/>
      <c r="O23"/>
      <c r="P23"/>
    </row>
    <row r="24" spans="1:16" ht="15" customHeight="1">
      <c r="A24" s="102" t="s">
        <v>23</v>
      </c>
      <c r="B24" s="105">
        <v>1031</v>
      </c>
      <c r="C24" s="104">
        <f>245+43+339</f>
        <v>627</v>
      </c>
      <c r="D24" s="97">
        <f t="shared" si="4"/>
        <v>1658</v>
      </c>
      <c r="E24" s="105">
        <v>544</v>
      </c>
      <c r="F24" s="104">
        <v>1338</v>
      </c>
      <c r="G24" s="192">
        <f t="shared" si="0"/>
        <v>1882</v>
      </c>
      <c r="H24" s="122">
        <f t="shared" si="5"/>
        <v>224</v>
      </c>
      <c r="I24" s="123">
        <f t="shared" si="6"/>
        <v>1.1351025331724969</v>
      </c>
      <c r="J24" s="105">
        <f>SUM(J25:J26)</f>
        <v>2423</v>
      </c>
      <c r="K24" s="104"/>
      <c r="L24" s="124">
        <f>J24</f>
        <v>2423</v>
      </c>
      <c r="M24" s="122">
        <f t="shared" si="7"/>
        <v>541</v>
      </c>
      <c r="N24" s="125">
        <f t="shared" si="8"/>
        <v>1.2874601487778958</v>
      </c>
      <c r="O24"/>
      <c r="P24"/>
    </row>
    <row r="25" spans="1:16" ht="15" customHeight="1">
      <c r="A25" s="106" t="s">
        <v>24</v>
      </c>
      <c r="B25" s="103">
        <v>341</v>
      </c>
      <c r="C25" s="104">
        <v>245</v>
      </c>
      <c r="D25" s="97">
        <f t="shared" si="4"/>
        <v>586</v>
      </c>
      <c r="E25" s="103">
        <v>295</v>
      </c>
      <c r="F25" s="104">
        <v>297</v>
      </c>
      <c r="G25" s="192">
        <f t="shared" si="0"/>
        <v>592</v>
      </c>
      <c r="H25" s="122">
        <f t="shared" si="5"/>
        <v>6</v>
      </c>
      <c r="I25" s="123">
        <f t="shared" si="6"/>
        <v>1.0102389078498293</v>
      </c>
      <c r="J25" s="126">
        <v>700</v>
      </c>
      <c r="K25" s="104"/>
      <c r="L25" s="124">
        <v>700</v>
      </c>
      <c r="M25" s="122">
        <f t="shared" si="7"/>
        <v>108</v>
      </c>
      <c r="N25" s="125">
        <f t="shared" si="8"/>
        <v>1.1824324324324325</v>
      </c>
      <c r="O25"/>
      <c r="P25"/>
    </row>
    <row r="26" spans="1:16" ht="15" customHeight="1">
      <c r="A26" s="102" t="s">
        <v>25</v>
      </c>
      <c r="B26" s="103">
        <v>690</v>
      </c>
      <c r="C26" s="104">
        <v>339</v>
      </c>
      <c r="D26" s="97">
        <f t="shared" si="4"/>
        <v>1029</v>
      </c>
      <c r="E26" s="103">
        <v>238</v>
      </c>
      <c r="F26" s="104">
        <v>1025</v>
      </c>
      <c r="G26" s="192">
        <f t="shared" si="0"/>
        <v>1263</v>
      </c>
      <c r="H26" s="122">
        <f t="shared" si="5"/>
        <v>234</v>
      </c>
      <c r="I26" s="123">
        <f t="shared" si="6"/>
        <v>1.227405247813411</v>
      </c>
      <c r="J26" s="126">
        <f>835+888</f>
        <v>1723</v>
      </c>
      <c r="K26" s="104"/>
      <c r="L26" s="124">
        <f>J26</f>
        <v>1723</v>
      </c>
      <c r="M26" s="122">
        <f t="shared" si="7"/>
        <v>460</v>
      </c>
      <c r="N26" s="125">
        <f t="shared" si="8"/>
        <v>1.3642121931908155</v>
      </c>
      <c r="O26"/>
      <c r="P26"/>
    </row>
    <row r="27" spans="1:16" ht="15" customHeight="1">
      <c r="A27" s="127" t="s">
        <v>26</v>
      </c>
      <c r="B27" s="105">
        <v>11108</v>
      </c>
      <c r="C27" s="104">
        <v>10458</v>
      </c>
      <c r="D27" s="97">
        <f t="shared" si="4"/>
        <v>21566</v>
      </c>
      <c r="E27" s="105">
        <v>5144</v>
      </c>
      <c r="F27" s="104">
        <v>17614</v>
      </c>
      <c r="G27" s="192">
        <f t="shared" si="0"/>
        <v>22758</v>
      </c>
      <c r="H27" s="122">
        <f t="shared" si="5"/>
        <v>1192</v>
      </c>
      <c r="I27" s="123">
        <f t="shared" si="6"/>
        <v>1.0552721877028657</v>
      </c>
      <c r="J27" s="105">
        <v>24403</v>
      </c>
      <c r="K27" s="104"/>
      <c r="L27" s="124">
        <v>24403</v>
      </c>
      <c r="M27" s="122">
        <f t="shared" si="7"/>
        <v>1645</v>
      </c>
      <c r="N27" s="125">
        <f t="shared" si="8"/>
        <v>1.0722822743650584</v>
      </c>
      <c r="O27"/>
      <c r="P27"/>
    </row>
    <row r="28" spans="1:16" ht="15" customHeight="1">
      <c r="A28" s="106" t="s">
        <v>27</v>
      </c>
      <c r="B28" s="103">
        <v>8113</v>
      </c>
      <c r="C28" s="104">
        <v>7644</v>
      </c>
      <c r="D28" s="97">
        <f t="shared" si="4"/>
        <v>15757</v>
      </c>
      <c r="E28" s="103">
        <v>3773</v>
      </c>
      <c r="F28" s="104">
        <v>12857</v>
      </c>
      <c r="G28" s="192">
        <f t="shared" si="0"/>
        <v>16630</v>
      </c>
      <c r="H28" s="122">
        <f t="shared" si="5"/>
        <v>873</v>
      </c>
      <c r="I28" s="123">
        <f t="shared" si="6"/>
        <v>1.0554039474519261</v>
      </c>
      <c r="J28" s="126">
        <v>17815</v>
      </c>
      <c r="K28" s="128"/>
      <c r="L28" s="124">
        <v>17815</v>
      </c>
      <c r="M28" s="122">
        <f t="shared" si="7"/>
        <v>1185</v>
      </c>
      <c r="N28" s="125">
        <f t="shared" si="8"/>
        <v>1.071256764882742</v>
      </c>
      <c r="O28"/>
      <c r="P28"/>
    </row>
    <row r="29" spans="1:16" ht="15" customHeight="1">
      <c r="A29" s="127" t="s">
        <v>28</v>
      </c>
      <c r="B29" s="103">
        <v>8092</v>
      </c>
      <c r="C29" s="104">
        <v>7629</v>
      </c>
      <c r="D29" s="97">
        <f t="shared" si="4"/>
        <v>15721</v>
      </c>
      <c r="E29" s="103">
        <v>3692</v>
      </c>
      <c r="F29" s="104">
        <v>12849</v>
      </c>
      <c r="G29" s="192">
        <f t="shared" si="0"/>
        <v>16541</v>
      </c>
      <c r="H29" s="122">
        <f t="shared" si="5"/>
        <v>820</v>
      </c>
      <c r="I29" s="123">
        <f t="shared" si="6"/>
        <v>1.0521595318363972</v>
      </c>
      <c r="J29" s="105">
        <v>17805</v>
      </c>
      <c r="K29" s="104"/>
      <c r="L29" s="124">
        <v>17805</v>
      </c>
      <c r="M29" s="122">
        <f t="shared" si="7"/>
        <v>1264</v>
      </c>
      <c r="N29" s="125">
        <f t="shared" si="8"/>
        <v>1.076416177981984</v>
      </c>
      <c r="O29"/>
      <c r="P29"/>
    </row>
    <row r="30" spans="1:16" ht="15" customHeight="1">
      <c r="A30" s="106" t="s">
        <v>29</v>
      </c>
      <c r="B30" s="103">
        <v>21</v>
      </c>
      <c r="C30" s="104">
        <v>15</v>
      </c>
      <c r="D30" s="97">
        <f t="shared" si="4"/>
        <v>36</v>
      </c>
      <c r="E30" s="103">
        <v>81</v>
      </c>
      <c r="F30" s="104">
        <v>8</v>
      </c>
      <c r="G30" s="192">
        <f t="shared" si="0"/>
        <v>89</v>
      </c>
      <c r="H30" s="122">
        <f t="shared" si="5"/>
        <v>53</v>
      </c>
      <c r="I30" s="123">
        <f t="shared" si="6"/>
        <v>2.4722222222222223</v>
      </c>
      <c r="J30" s="105">
        <v>10</v>
      </c>
      <c r="K30" s="104"/>
      <c r="L30" s="124">
        <v>10</v>
      </c>
      <c r="M30" s="122">
        <f t="shared" si="7"/>
        <v>-79</v>
      </c>
      <c r="N30" s="125">
        <f t="shared" si="8"/>
        <v>0.11235955056179775</v>
      </c>
      <c r="O30"/>
      <c r="P30"/>
    </row>
    <row r="31" spans="1:16" ht="15" customHeight="1">
      <c r="A31" s="106" t="s">
        <v>30</v>
      </c>
      <c r="B31" s="103">
        <v>2995</v>
      </c>
      <c r="C31" s="104">
        <v>2814</v>
      </c>
      <c r="D31" s="97">
        <f t="shared" si="4"/>
        <v>5809</v>
      </c>
      <c r="E31" s="103">
        <v>1371</v>
      </c>
      <c r="F31" s="104">
        <v>4757</v>
      </c>
      <c r="G31" s="192">
        <f t="shared" si="0"/>
        <v>6128</v>
      </c>
      <c r="H31" s="122">
        <f t="shared" si="5"/>
        <v>319</v>
      </c>
      <c r="I31" s="123">
        <f t="shared" si="6"/>
        <v>1.0549147873988638</v>
      </c>
      <c r="J31" s="105">
        <v>6588</v>
      </c>
      <c r="K31" s="104"/>
      <c r="L31" s="124">
        <v>6588</v>
      </c>
      <c r="M31" s="122">
        <f t="shared" si="7"/>
        <v>460</v>
      </c>
      <c r="N31" s="125">
        <f t="shared" si="8"/>
        <v>1.075065274151436</v>
      </c>
      <c r="O31"/>
      <c r="P31"/>
    </row>
    <row r="32" spans="1:16" ht="15" customHeight="1">
      <c r="A32" s="127" t="s">
        <v>31</v>
      </c>
      <c r="B32" s="103"/>
      <c r="C32" s="104"/>
      <c r="D32" s="97">
        <f t="shared" si="4"/>
        <v>0</v>
      </c>
      <c r="E32" s="103"/>
      <c r="F32" s="104"/>
      <c r="G32" s="192">
        <f t="shared" si="0"/>
        <v>0</v>
      </c>
      <c r="H32" s="122">
        <f t="shared" si="5"/>
        <v>0</v>
      </c>
      <c r="I32" s="123"/>
      <c r="J32" s="105"/>
      <c r="K32" s="104"/>
      <c r="L32" s="124">
        <v>0</v>
      </c>
      <c r="M32" s="122">
        <f t="shared" si="7"/>
        <v>0</v>
      </c>
      <c r="N32" s="125"/>
      <c r="O32"/>
      <c r="P32"/>
    </row>
    <row r="33" spans="1:14" ht="15" customHeight="1">
      <c r="A33" s="127" t="s">
        <v>32</v>
      </c>
      <c r="B33" s="103">
        <v>108</v>
      </c>
      <c r="C33" s="104">
        <v>88</v>
      </c>
      <c r="D33" s="97">
        <f t="shared" si="4"/>
        <v>196</v>
      </c>
      <c r="E33" s="103">
        <v>60</v>
      </c>
      <c r="F33" s="104">
        <v>124</v>
      </c>
      <c r="G33" s="192">
        <f t="shared" si="0"/>
        <v>184</v>
      </c>
      <c r="H33" s="122">
        <f t="shared" si="5"/>
        <v>-12</v>
      </c>
      <c r="I33" s="123">
        <f t="shared" si="6"/>
        <v>0.9387755102040817</v>
      </c>
      <c r="J33" s="105">
        <v>200</v>
      </c>
      <c r="K33" s="104"/>
      <c r="L33" s="124">
        <v>200</v>
      </c>
      <c r="M33" s="122">
        <f t="shared" si="7"/>
        <v>16</v>
      </c>
      <c r="N33" s="125">
        <f t="shared" si="8"/>
        <v>1.0869565217391304</v>
      </c>
    </row>
    <row r="34" spans="1:14" ht="15" customHeight="1">
      <c r="A34" s="106" t="s">
        <v>33</v>
      </c>
      <c r="B34" s="103"/>
      <c r="C34" s="104">
        <v>260</v>
      </c>
      <c r="D34" s="97">
        <f t="shared" si="4"/>
        <v>260</v>
      </c>
      <c r="E34" s="103"/>
      <c r="F34" s="104"/>
      <c r="G34" s="192">
        <f t="shared" si="0"/>
        <v>0</v>
      </c>
      <c r="H34" s="122">
        <f t="shared" si="5"/>
        <v>-260</v>
      </c>
      <c r="I34" s="123">
        <f t="shared" si="6"/>
        <v>0</v>
      </c>
      <c r="J34" s="126">
        <v>2365</v>
      </c>
      <c r="K34" s="104"/>
      <c r="L34" s="124">
        <v>2365</v>
      </c>
      <c r="M34" s="122">
        <f t="shared" si="7"/>
        <v>2365</v>
      </c>
      <c r="N34" s="125"/>
    </row>
    <row r="35" spans="1:14" ht="15" customHeight="1">
      <c r="A35" s="106" t="s">
        <v>34</v>
      </c>
      <c r="B35" s="103">
        <v>2569</v>
      </c>
      <c r="C35" s="104">
        <v>260</v>
      </c>
      <c r="D35" s="97">
        <f t="shared" si="4"/>
        <v>2829</v>
      </c>
      <c r="E35" s="103">
        <v>146</v>
      </c>
      <c r="F35" s="104">
        <v>2247</v>
      </c>
      <c r="G35" s="192">
        <f t="shared" si="0"/>
        <v>2393</v>
      </c>
      <c r="H35" s="122">
        <f t="shared" si="5"/>
        <v>-436</v>
      </c>
      <c r="I35" s="123">
        <f t="shared" si="6"/>
        <v>0.8458819370802404</v>
      </c>
      <c r="J35" s="126">
        <v>2365</v>
      </c>
      <c r="K35" s="104"/>
      <c r="L35" s="124">
        <v>2365</v>
      </c>
      <c r="M35" s="122">
        <f t="shared" si="7"/>
        <v>-28</v>
      </c>
      <c r="N35" s="125">
        <f t="shared" si="8"/>
        <v>0.9882992060175512</v>
      </c>
    </row>
    <row r="36" spans="1:14" ht="15" customHeight="1" thickBot="1">
      <c r="A36" s="129" t="s">
        <v>35</v>
      </c>
      <c r="B36" s="107"/>
      <c r="C36" s="108"/>
      <c r="D36" s="97">
        <v>0</v>
      </c>
      <c r="E36" s="107">
        <v>62</v>
      </c>
      <c r="F36" s="108"/>
      <c r="G36" s="192">
        <f t="shared" si="0"/>
        <v>62</v>
      </c>
      <c r="H36" s="122">
        <f t="shared" si="5"/>
        <v>62</v>
      </c>
      <c r="I36" s="123"/>
      <c r="J36" s="130"/>
      <c r="K36" s="108"/>
      <c r="L36" s="124">
        <v>0</v>
      </c>
      <c r="M36" s="122">
        <f t="shared" si="7"/>
        <v>-62</v>
      </c>
      <c r="N36" s="125">
        <f t="shared" si="8"/>
        <v>0</v>
      </c>
    </row>
    <row r="37" spans="1:14" ht="15" customHeight="1" thickBot="1">
      <c r="A37" s="112" t="s">
        <v>36</v>
      </c>
      <c r="B37" s="113">
        <v>20506</v>
      </c>
      <c r="C37" s="114">
        <v>15158</v>
      </c>
      <c r="D37" s="115">
        <f>C37+C37</f>
        <v>30316</v>
      </c>
      <c r="E37" s="113">
        <v>7798</v>
      </c>
      <c r="F37" s="114">
        <v>29512</v>
      </c>
      <c r="G37" s="115">
        <f>E37+F37</f>
        <v>37310</v>
      </c>
      <c r="H37" s="116">
        <v>0</v>
      </c>
      <c r="I37" s="117"/>
      <c r="J37" s="118">
        <f>J19+J21+J24+J27+J33+J34</f>
        <v>39729</v>
      </c>
      <c r="K37" s="114">
        <v>0</v>
      </c>
      <c r="L37" s="118">
        <f>L19+L21+L24+L27+L33+L34</f>
        <v>40129</v>
      </c>
      <c r="M37" s="116">
        <v>38241</v>
      </c>
      <c r="N37" s="119"/>
    </row>
    <row r="38" spans="1:14" ht="15" customHeight="1" thickBot="1">
      <c r="A38" s="112" t="s">
        <v>37</v>
      </c>
      <c r="B38" s="331">
        <v>83</v>
      </c>
      <c r="C38" s="331">
        <v>88</v>
      </c>
      <c r="D38" s="331"/>
      <c r="E38" s="471">
        <v>187.57</v>
      </c>
      <c r="F38" s="471"/>
      <c r="G38" s="471">
        <v>-50784</v>
      </c>
      <c r="H38" s="131">
        <v>0</v>
      </c>
      <c r="I38" s="132"/>
      <c r="J38" s="472">
        <f>J18-J37</f>
        <v>0</v>
      </c>
      <c r="K38" s="472"/>
      <c r="L38" s="472">
        <v>0</v>
      </c>
      <c r="M38" s="116"/>
      <c r="N38" s="119"/>
    </row>
    <row r="39" spans="1:16" ht="1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3" t="s">
        <v>222</v>
      </c>
      <c r="B41" s="454"/>
      <c r="C41" s="457" t="s">
        <v>39</v>
      </c>
      <c r="D41" s="344"/>
      <c r="E41" s="344"/>
      <c r="F41" s="344"/>
      <c r="G41" s="345"/>
      <c r="H41" s="586" t="s">
        <v>232</v>
      </c>
      <c r="I41" s="587"/>
      <c r="J41" s="587"/>
      <c r="K41" s="587"/>
      <c r="L41" s="457" t="s">
        <v>39</v>
      </c>
      <c r="O41"/>
      <c r="P41"/>
    </row>
    <row r="42" spans="1:16" ht="13.5" thickBot="1">
      <c r="A42" s="455"/>
      <c r="B42" s="456"/>
      <c r="C42" s="458"/>
      <c r="D42" s="344"/>
      <c r="E42" s="344"/>
      <c r="F42" s="344"/>
      <c r="G42" s="345"/>
      <c r="H42" s="588"/>
      <c r="I42" s="461"/>
      <c r="J42" s="461"/>
      <c r="K42" s="461"/>
      <c r="L42" s="458"/>
      <c r="O42"/>
      <c r="P42"/>
    </row>
    <row r="43" spans="1:16" ht="12.75">
      <c r="A43" s="584" t="s">
        <v>268</v>
      </c>
      <c r="B43" s="469"/>
      <c r="C43" s="341">
        <v>460</v>
      </c>
      <c r="D43" s="346"/>
      <c r="E43" s="346"/>
      <c r="F43" s="346"/>
      <c r="G43" s="346"/>
      <c r="H43" s="585" t="s">
        <v>273</v>
      </c>
      <c r="I43" s="467"/>
      <c r="J43" s="467"/>
      <c r="K43" s="467"/>
      <c r="L43" s="341">
        <v>100</v>
      </c>
      <c r="O43"/>
      <c r="P43"/>
    </row>
    <row r="44" spans="1:16" ht="12.75">
      <c r="A44" s="589" t="s">
        <v>270</v>
      </c>
      <c r="B44" s="463"/>
      <c r="C44" s="341">
        <v>550</v>
      </c>
      <c r="D44" s="346"/>
      <c r="E44" s="346"/>
      <c r="F44" s="346"/>
      <c r="G44" s="346"/>
      <c r="H44" s="590" t="s">
        <v>275</v>
      </c>
      <c r="I44" s="464"/>
      <c r="J44" s="464"/>
      <c r="K44" s="464"/>
      <c r="L44" s="342">
        <v>100</v>
      </c>
      <c r="O44"/>
      <c r="P44"/>
    </row>
    <row r="45" spans="1:16" ht="12.75">
      <c r="A45" s="589" t="s">
        <v>269</v>
      </c>
      <c r="B45" s="463"/>
      <c r="C45" s="341">
        <v>1121</v>
      </c>
      <c r="D45" s="346"/>
      <c r="E45" s="346"/>
      <c r="F45" s="346"/>
      <c r="G45" s="346"/>
      <c r="H45" s="590" t="s">
        <v>274</v>
      </c>
      <c r="I45" s="464"/>
      <c r="J45" s="464"/>
      <c r="K45" s="464"/>
      <c r="L45" s="342">
        <v>120</v>
      </c>
      <c r="O45"/>
      <c r="P45"/>
    </row>
    <row r="46" spans="1:16" ht="12.75">
      <c r="A46" s="589" t="s">
        <v>271</v>
      </c>
      <c r="B46" s="463"/>
      <c r="C46" s="341">
        <v>565</v>
      </c>
      <c r="D46" s="346"/>
      <c r="E46" s="346"/>
      <c r="F46" s="346"/>
      <c r="G46" s="346"/>
      <c r="H46" s="590" t="s">
        <v>277</v>
      </c>
      <c r="I46" s="464"/>
      <c r="J46" s="464"/>
      <c r="K46" s="464"/>
      <c r="L46" s="342">
        <v>40</v>
      </c>
      <c r="O46"/>
      <c r="P46"/>
    </row>
    <row r="47" spans="1:16" ht="12.75">
      <c r="A47" s="589" t="s">
        <v>272</v>
      </c>
      <c r="B47" s="463"/>
      <c r="C47" s="341">
        <v>50</v>
      </c>
      <c r="D47" s="346"/>
      <c r="E47" s="346"/>
      <c r="F47" s="346"/>
      <c r="G47" s="346"/>
      <c r="H47" s="590" t="s">
        <v>278</v>
      </c>
      <c r="I47" s="464"/>
      <c r="J47" s="464"/>
      <c r="K47" s="464"/>
      <c r="L47" s="343">
        <v>20</v>
      </c>
      <c r="O47"/>
      <c r="P47"/>
    </row>
    <row r="48" spans="1:16" ht="12.75">
      <c r="A48" s="589"/>
      <c r="B48" s="463"/>
      <c r="C48" s="235"/>
      <c r="D48" s="346"/>
      <c r="E48" s="346"/>
      <c r="F48" s="346"/>
      <c r="G48" s="346"/>
      <c r="H48" s="590" t="s">
        <v>276</v>
      </c>
      <c r="I48" s="464"/>
      <c r="J48" s="464"/>
      <c r="K48" s="464"/>
      <c r="L48" s="343">
        <v>20</v>
      </c>
      <c r="O48"/>
      <c r="P48"/>
    </row>
    <row r="49" spans="1:16" ht="12.75">
      <c r="A49" s="589"/>
      <c r="B49" s="463"/>
      <c r="C49" s="235"/>
      <c r="D49" s="346"/>
      <c r="E49" s="346"/>
      <c r="F49" s="346"/>
      <c r="G49" s="346"/>
      <c r="H49" s="590" t="s">
        <v>195</v>
      </c>
      <c r="I49" s="464"/>
      <c r="J49" s="464"/>
      <c r="K49" s="464"/>
      <c r="L49" s="342">
        <v>300</v>
      </c>
      <c r="O49"/>
      <c r="P49"/>
    </row>
    <row r="50" spans="1:16" ht="13.5" thickBot="1">
      <c r="A50" s="591"/>
      <c r="B50" s="465"/>
      <c r="C50" s="235"/>
      <c r="D50" s="346"/>
      <c r="E50" s="346"/>
      <c r="F50" s="346"/>
      <c r="G50" s="346"/>
      <c r="H50" s="585"/>
      <c r="I50" s="467"/>
      <c r="J50" s="467"/>
      <c r="K50" s="467"/>
      <c r="L50" s="341"/>
      <c r="O50"/>
      <c r="P50"/>
    </row>
    <row r="51" spans="1:16" ht="13.5" thickBot="1">
      <c r="A51" s="592"/>
      <c r="B51" s="593"/>
      <c r="C51" s="237">
        <f>SUM(C43:C50)</f>
        <v>2746</v>
      </c>
      <c r="D51" s="340"/>
      <c r="E51" s="340"/>
      <c r="F51" s="340"/>
      <c r="G51" s="340"/>
      <c r="H51" s="594" t="s">
        <v>3</v>
      </c>
      <c r="I51" s="595"/>
      <c r="J51" s="595"/>
      <c r="K51" s="595"/>
      <c r="L51" s="237">
        <f>SUM(L43:L50)</f>
        <v>700</v>
      </c>
      <c r="M51" s="20"/>
      <c r="N51" s="20"/>
      <c r="O51"/>
      <c r="P51"/>
    </row>
    <row r="52" spans="1:16" s="1" customFormat="1" ht="13.5" customHeight="1">
      <c r="A52" s="21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4" s="1" customFormat="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1" customFormat="1" ht="13.5" thickBo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" customFormat="1" ht="26.25" customHeight="1" thickBot="1">
      <c r="A55" s="499" t="s">
        <v>510</v>
      </c>
      <c r="B55" s="500"/>
      <c r="C55" s="500"/>
      <c r="D55" s="500"/>
      <c r="E55" s="596"/>
      <c r="F55" s="344"/>
      <c r="G55" s="348"/>
      <c r="H55" s="348"/>
      <c r="I55" s="348"/>
      <c r="J55" s="348"/>
      <c r="K55" s="348"/>
      <c r="L55" s="348"/>
      <c r="M55" s="22"/>
      <c r="N55" s="22"/>
    </row>
    <row r="56" spans="1:14" s="1" customFormat="1" ht="14.25" customHeight="1" thickBot="1">
      <c r="A56" s="58" t="s">
        <v>68</v>
      </c>
      <c r="B56" s="59" t="s">
        <v>122</v>
      </c>
      <c r="C56" s="505" t="s">
        <v>69</v>
      </c>
      <c r="D56" s="505"/>
      <c r="E56" s="61" t="s">
        <v>123</v>
      </c>
      <c r="F56" s="347"/>
      <c r="G56" s="349"/>
      <c r="H56" s="347"/>
      <c r="I56" s="347"/>
      <c r="J56" s="347"/>
      <c r="K56" s="347"/>
      <c r="L56" s="347"/>
      <c r="M56" s="22"/>
      <c r="N56" s="22"/>
    </row>
    <row r="57" spans="1:14" s="1" customFormat="1" ht="12.75">
      <c r="A57" s="62" t="s">
        <v>126</v>
      </c>
      <c r="B57" s="56">
        <v>340</v>
      </c>
      <c r="C57" s="483" t="s">
        <v>511</v>
      </c>
      <c r="D57" s="483"/>
      <c r="E57" s="63">
        <v>80</v>
      </c>
      <c r="F57" s="22"/>
      <c r="G57" s="350"/>
      <c r="H57" s="22"/>
      <c r="I57" s="22"/>
      <c r="J57" s="350"/>
      <c r="K57" s="350"/>
      <c r="L57" s="22"/>
      <c r="M57" s="22"/>
      <c r="N57" s="22"/>
    </row>
    <row r="58" spans="1:14" s="1" customFormat="1" ht="12.75">
      <c r="A58" s="64" t="s">
        <v>124</v>
      </c>
      <c r="B58" s="57">
        <v>150.57</v>
      </c>
      <c r="C58" s="478"/>
      <c r="D58" s="478"/>
      <c r="E58" s="65"/>
      <c r="F58" s="22"/>
      <c r="G58" s="350"/>
      <c r="H58" s="22"/>
      <c r="I58" s="22"/>
      <c r="J58" s="350"/>
      <c r="K58" s="350"/>
      <c r="L58" s="22"/>
      <c r="M58" s="22"/>
      <c r="N58" s="22"/>
    </row>
    <row r="59" spans="1:14" s="1" customFormat="1" ht="12.75">
      <c r="A59" s="64" t="s">
        <v>125</v>
      </c>
      <c r="B59" s="57"/>
      <c r="C59" s="478"/>
      <c r="D59" s="478"/>
      <c r="E59" s="65"/>
      <c r="F59" s="22"/>
      <c r="G59" s="22"/>
      <c r="H59" s="22"/>
      <c r="I59" s="22"/>
      <c r="J59" s="350"/>
      <c r="K59" s="350"/>
      <c r="L59" s="22"/>
      <c r="M59" s="22"/>
      <c r="N59" s="22"/>
    </row>
    <row r="60" spans="1:14" s="1" customFormat="1" ht="13.5" thickBot="1">
      <c r="A60" s="68"/>
      <c r="B60" s="67"/>
      <c r="C60" s="480"/>
      <c r="D60" s="480"/>
      <c r="E60" s="69"/>
      <c r="F60" s="22"/>
      <c r="G60" s="350"/>
      <c r="H60" s="22"/>
      <c r="I60" s="22"/>
      <c r="J60" s="350"/>
      <c r="K60" s="350"/>
      <c r="L60" s="22"/>
      <c r="M60" s="22"/>
      <c r="N60" s="22"/>
    </row>
    <row r="61" spans="1:14" s="1" customFormat="1" ht="13.5" thickBot="1">
      <c r="A61" s="351" t="s">
        <v>3</v>
      </c>
      <c r="B61" s="66">
        <f>SUM(B57:B60)</f>
        <v>490.57</v>
      </c>
      <c r="C61" s="473" t="s">
        <v>3</v>
      </c>
      <c r="D61" s="473"/>
      <c r="E61" s="70">
        <f>SUM(E57:E60)</f>
        <v>80</v>
      </c>
      <c r="F61" s="22"/>
      <c r="G61" s="350"/>
      <c r="H61" s="22"/>
      <c r="I61" s="22"/>
      <c r="J61" s="350"/>
      <c r="K61" s="350"/>
      <c r="L61" s="22"/>
      <c r="M61" s="22"/>
      <c r="N61" s="22"/>
    </row>
    <row r="62" spans="1:14" s="1" customFormat="1" ht="13.5" thickBot="1">
      <c r="A62" s="78" t="s">
        <v>212</v>
      </c>
      <c r="B62" s="79">
        <f>B61-E61</f>
        <v>410.57</v>
      </c>
      <c r="C62" s="22"/>
      <c r="D62" s="22"/>
      <c r="E62" s="22"/>
      <c r="F62" s="239"/>
      <c r="H62" s="239"/>
      <c r="I62" s="22"/>
      <c r="J62" s="22"/>
      <c r="K62" s="22"/>
      <c r="L62" s="22"/>
      <c r="M62" s="22"/>
      <c r="N62" s="2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2" s="1" customFormat="1" ht="12.75">
      <c r="A65" s="23"/>
      <c r="B65" s="24"/>
      <c r="C65" s="24"/>
      <c r="D65" s="24"/>
      <c r="E65" s="2"/>
      <c r="F65" s="4"/>
      <c r="G65" s="4"/>
      <c r="H65" s="23"/>
      <c r="I65" s="24"/>
      <c r="J65" s="24"/>
      <c r="K65" s="24"/>
      <c r="L65" s="2"/>
    </row>
    <row r="66" spans="1:12" s="1" customFormat="1" ht="13.5" thickBot="1">
      <c r="A66" s="23"/>
      <c r="B66" s="24"/>
      <c r="C66" s="24"/>
      <c r="D66" s="24"/>
      <c r="E66" s="2"/>
      <c r="F66" s="4"/>
      <c r="G66" s="4"/>
      <c r="H66" s="23"/>
      <c r="I66" s="24"/>
      <c r="J66" s="24" t="s">
        <v>215</v>
      </c>
      <c r="K66" s="24"/>
      <c r="L66" s="2"/>
    </row>
    <row r="67" spans="1:15" s="1" customFormat="1" ht="12.75">
      <c r="A67" s="519" t="s">
        <v>64</v>
      </c>
      <c r="B67" s="522" t="s">
        <v>245</v>
      </c>
      <c r="C67" s="525" t="s">
        <v>246</v>
      </c>
      <c r="D67" s="526"/>
      <c r="E67" s="526"/>
      <c r="F67" s="526"/>
      <c r="G67" s="526"/>
      <c r="H67" s="526"/>
      <c r="I67" s="527"/>
      <c r="J67" s="528" t="s">
        <v>247</v>
      </c>
      <c r="K67" s="7"/>
      <c r="L67" s="531" t="s">
        <v>41</v>
      </c>
      <c r="M67" s="532"/>
      <c r="N67" s="83">
        <v>2005</v>
      </c>
      <c r="O67" s="84">
        <v>2006</v>
      </c>
    </row>
    <row r="68" spans="1:15" s="1" customFormat="1" ht="12.75">
      <c r="A68" s="520"/>
      <c r="B68" s="523"/>
      <c r="C68" s="533" t="s">
        <v>65</v>
      </c>
      <c r="D68" s="535" t="s">
        <v>66</v>
      </c>
      <c r="E68" s="536"/>
      <c r="F68" s="536"/>
      <c r="G68" s="536"/>
      <c r="H68" s="536"/>
      <c r="I68" s="537"/>
      <c r="J68" s="529"/>
      <c r="K68" s="7"/>
      <c r="L68" s="87" t="s">
        <v>128</v>
      </c>
      <c r="M68" s="86"/>
      <c r="N68" s="82"/>
      <c r="O68" s="85"/>
    </row>
    <row r="69" spans="1:15" s="1" customFormat="1" ht="13.5" thickBot="1">
      <c r="A69" s="521"/>
      <c r="B69" s="524"/>
      <c r="C69" s="534"/>
      <c r="D69" s="28">
        <v>1</v>
      </c>
      <c r="E69" s="28">
        <v>2</v>
      </c>
      <c r="F69" s="28">
        <v>3</v>
      </c>
      <c r="G69" s="28">
        <v>4</v>
      </c>
      <c r="H69" s="28">
        <v>5</v>
      </c>
      <c r="I69" s="75">
        <v>6</v>
      </c>
      <c r="J69" s="530"/>
      <c r="K69" s="7"/>
      <c r="L69" s="86" t="s">
        <v>42</v>
      </c>
      <c r="M69" s="87"/>
      <c r="N69" s="25">
        <v>0</v>
      </c>
      <c r="O69" s="26">
        <v>0</v>
      </c>
    </row>
    <row r="70" spans="1:15" s="1" customFormat="1" ht="13.5" thickBot="1">
      <c r="A70" s="29">
        <v>129810</v>
      </c>
      <c r="B70" s="30">
        <v>16521</v>
      </c>
      <c r="C70" s="73">
        <f>SUM(D70:I70)</f>
        <v>2365</v>
      </c>
      <c r="D70" s="74">
        <v>115</v>
      </c>
      <c r="E70" s="74">
        <v>972</v>
      </c>
      <c r="F70" s="74">
        <v>147</v>
      </c>
      <c r="G70" s="74"/>
      <c r="H70" s="73">
        <v>1131</v>
      </c>
      <c r="I70" s="81"/>
      <c r="J70" s="31">
        <f>SUM(A70-B70-C70)</f>
        <v>110924</v>
      </c>
      <c r="K70" s="7"/>
      <c r="L70" s="88" t="s">
        <v>43</v>
      </c>
      <c r="M70" s="89"/>
      <c r="N70" s="71">
        <v>0</v>
      </c>
      <c r="O70" s="72">
        <v>0</v>
      </c>
    </row>
    <row r="71" spans="1:12" s="1" customFormat="1" ht="12.75">
      <c r="A71" s="23"/>
      <c r="B71" s="24"/>
      <c r="C71" s="24"/>
      <c r="D71" s="24"/>
      <c r="E71" s="2"/>
      <c r="F71" s="227"/>
      <c r="G71" s="4"/>
      <c r="H71" s="23"/>
      <c r="I71" s="24"/>
      <c r="J71" s="24"/>
      <c r="K71" s="24"/>
      <c r="L71" s="2"/>
    </row>
    <row r="72" spans="1:8" s="1" customFormat="1" ht="13.5" thickBot="1">
      <c r="A72" s="23"/>
      <c r="B72" s="24"/>
      <c r="C72" s="24"/>
      <c r="D72" s="24"/>
      <c r="E72" s="24" t="s">
        <v>215</v>
      </c>
      <c r="F72" s="227"/>
      <c r="G72" s="4"/>
      <c r="H72" s="23"/>
    </row>
    <row r="73" spans="1:8" s="1" customFormat="1" ht="12.75">
      <c r="A73" s="582" t="s">
        <v>95</v>
      </c>
      <c r="B73" s="540" t="s">
        <v>251</v>
      </c>
      <c r="C73" s="541"/>
      <c r="D73" s="541"/>
      <c r="E73" s="542"/>
      <c r="G73" s="355"/>
      <c r="H73" s="347"/>
    </row>
    <row r="74" spans="1:8" s="1" customFormat="1" ht="18.75" thickBot="1">
      <c r="A74" s="583"/>
      <c r="B74" s="359" t="s">
        <v>252</v>
      </c>
      <c r="C74" s="201" t="s">
        <v>68</v>
      </c>
      <c r="D74" s="201" t="s">
        <v>69</v>
      </c>
      <c r="E74" s="202" t="s">
        <v>253</v>
      </c>
      <c r="F74" s="355"/>
      <c r="G74" s="356"/>
      <c r="H74" s="356"/>
    </row>
    <row r="75" spans="1:8" s="1" customFormat="1" ht="12.75">
      <c r="A75" s="352" t="s">
        <v>70</v>
      </c>
      <c r="B75" s="203" t="s">
        <v>71</v>
      </c>
      <c r="C75" s="204" t="s">
        <v>71</v>
      </c>
      <c r="D75" s="204" t="s">
        <v>71</v>
      </c>
      <c r="E75" s="205" t="s">
        <v>71</v>
      </c>
      <c r="F75" s="358"/>
      <c r="G75" s="357"/>
      <c r="H75" s="358"/>
    </row>
    <row r="76" spans="1:8" s="1" customFormat="1" ht="12.75">
      <c r="A76" s="353" t="s">
        <v>72</v>
      </c>
      <c r="B76" s="43">
        <v>75</v>
      </c>
      <c r="C76" s="44">
        <v>37</v>
      </c>
      <c r="D76" s="44">
        <v>20</v>
      </c>
      <c r="E76" s="45">
        <f>B76+C76-D76</f>
        <v>92</v>
      </c>
      <c r="F76" s="357"/>
      <c r="G76" s="357"/>
      <c r="H76" s="357"/>
    </row>
    <row r="77" spans="1:8" s="1" customFormat="1" ht="12.75">
      <c r="A77" s="353" t="s">
        <v>73</v>
      </c>
      <c r="B77" s="395">
        <v>340</v>
      </c>
      <c r="C77" s="396">
        <v>150.57</v>
      </c>
      <c r="D77" s="396">
        <v>80</v>
      </c>
      <c r="E77" s="397">
        <f>B77+C77-D77</f>
        <v>410.57</v>
      </c>
      <c r="F77" s="357"/>
      <c r="G77" s="357"/>
      <c r="H77" s="357"/>
    </row>
    <row r="78" spans="1:8" s="1" customFormat="1" ht="12.75">
      <c r="A78" s="353" t="s">
        <v>96</v>
      </c>
      <c r="B78" s="206">
        <v>2853</v>
      </c>
      <c r="C78" s="196">
        <v>2365</v>
      </c>
      <c r="D78" s="196">
        <f>C51</f>
        <v>2746</v>
      </c>
      <c r="E78" s="45">
        <f>B78+C78-D78</f>
        <v>2472</v>
      </c>
      <c r="F78" s="357"/>
      <c r="G78" s="357"/>
      <c r="H78" s="357"/>
    </row>
    <row r="79" spans="1:8" s="1" customFormat="1" ht="12.75">
      <c r="A79" s="353" t="s">
        <v>74</v>
      </c>
      <c r="B79" s="37" t="s">
        <v>71</v>
      </c>
      <c r="C79" s="38" t="s">
        <v>71</v>
      </c>
      <c r="D79" s="38" t="s">
        <v>71</v>
      </c>
      <c r="E79" s="207">
        <v>0</v>
      </c>
      <c r="F79" s="358"/>
      <c r="G79" s="357"/>
      <c r="H79" s="358"/>
    </row>
    <row r="80" spans="1:8" s="1" customFormat="1" ht="13.5" thickBot="1">
      <c r="A80" s="354" t="s">
        <v>75</v>
      </c>
      <c r="B80" s="49">
        <v>194</v>
      </c>
      <c r="C80" s="50">
        <v>345</v>
      </c>
      <c r="D80" s="50">
        <v>350</v>
      </c>
      <c r="E80" s="51">
        <f>B80+C80-D80</f>
        <v>189</v>
      </c>
      <c r="F80" s="357"/>
      <c r="G80" s="357"/>
      <c r="H80" s="357"/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2.75">
      <c r="A82" s="23"/>
      <c r="B82" s="24"/>
      <c r="C82" s="24"/>
      <c r="D82" s="24"/>
      <c r="E82" s="2"/>
      <c r="F82" s="4"/>
      <c r="G82" s="4"/>
      <c r="H82" s="23"/>
      <c r="I82" s="24"/>
      <c r="J82" s="24"/>
      <c r="K82" s="24"/>
      <c r="L82" s="2"/>
    </row>
    <row r="83" spans="8:12" ht="13.5" thickBot="1">
      <c r="H83" s="24" t="s">
        <v>215</v>
      </c>
      <c r="L83" s="24" t="s">
        <v>215</v>
      </c>
    </row>
    <row r="84" spans="1:12" ht="13.5" thickBot="1">
      <c r="A84" s="421" t="s">
        <v>254</v>
      </c>
      <c r="B84" s="412" t="s">
        <v>3</v>
      </c>
      <c r="C84" s="429" t="s">
        <v>76</v>
      </c>
      <c r="D84" s="429"/>
      <c r="E84" s="429"/>
      <c r="F84" s="429"/>
      <c r="G84" s="429"/>
      <c r="H84" s="429"/>
      <c r="I84" s="27"/>
      <c r="J84" s="431" t="s">
        <v>44</v>
      </c>
      <c r="K84" s="431"/>
      <c r="L84" s="431"/>
    </row>
    <row r="85" spans="1:12" ht="13.5" thickBot="1">
      <c r="A85" s="421"/>
      <c r="B85" s="412"/>
      <c r="C85" s="150" t="s">
        <v>77</v>
      </c>
      <c r="D85" s="151" t="s">
        <v>78</v>
      </c>
      <c r="E85" s="151" t="s">
        <v>79</v>
      </c>
      <c r="F85" s="151" t="s">
        <v>80</v>
      </c>
      <c r="G85" s="152" t="s">
        <v>81</v>
      </c>
      <c r="H85" s="153" t="s">
        <v>65</v>
      </c>
      <c r="I85" s="27"/>
      <c r="J85" s="154"/>
      <c r="K85" s="155" t="s">
        <v>45</v>
      </c>
      <c r="L85" s="156" t="s">
        <v>46</v>
      </c>
    </row>
    <row r="86" spans="1:12" ht="12.75">
      <c r="A86" s="157" t="s">
        <v>82</v>
      </c>
      <c r="B86" s="158">
        <v>491</v>
      </c>
      <c r="C86" s="159">
        <v>19</v>
      </c>
      <c r="D86" s="159"/>
      <c r="E86" s="159">
        <v>2</v>
      </c>
      <c r="F86" s="159"/>
      <c r="G86" s="158"/>
      <c r="H86" s="160">
        <f>SUM(C86:G86)</f>
        <v>21</v>
      </c>
      <c r="I86" s="27"/>
      <c r="J86" s="161">
        <v>2006</v>
      </c>
      <c r="K86" s="162"/>
      <c r="L86" s="163">
        <f>+G29</f>
        <v>16541</v>
      </c>
    </row>
    <row r="87" spans="1:12" ht="13.5" thickBot="1">
      <c r="A87" s="164" t="s">
        <v>83</v>
      </c>
      <c r="B87" s="165">
        <v>4699</v>
      </c>
      <c r="C87" s="166">
        <v>1169</v>
      </c>
      <c r="D87" s="166"/>
      <c r="E87" s="166"/>
      <c r="F87" s="166"/>
      <c r="G87" s="165"/>
      <c r="H87" s="167">
        <f>SUM(C87:G87)</f>
        <v>1169</v>
      </c>
      <c r="I87" s="27"/>
      <c r="J87" s="168">
        <v>2007</v>
      </c>
      <c r="K87" s="169">
        <f>L29</f>
        <v>17805</v>
      </c>
      <c r="L87" s="170"/>
    </row>
    <row r="88" ht="12.75" customHeight="1"/>
    <row r="89" ht="13.5" thickBot="1">
      <c r="J89" s="242" t="s">
        <v>255</v>
      </c>
    </row>
    <row r="90" spans="1:10" ht="21" customHeight="1" thickBot="1">
      <c r="A90" s="421" t="s">
        <v>47</v>
      </c>
      <c r="B90" s="422" t="s">
        <v>48</v>
      </c>
      <c r="C90" s="422"/>
      <c r="D90" s="422"/>
      <c r="E90" s="423" t="s">
        <v>134</v>
      </c>
      <c r="F90" s="423"/>
      <c r="G90" s="423"/>
      <c r="H90" s="430" t="s">
        <v>49</v>
      </c>
      <c r="I90" s="430"/>
      <c r="J90" s="430"/>
    </row>
    <row r="91" spans="1:10" ht="12.75">
      <c r="A91" s="421"/>
      <c r="B91" s="171">
        <v>2005</v>
      </c>
      <c r="C91" s="171">
        <v>2006</v>
      </c>
      <c r="D91" s="171" t="s">
        <v>50</v>
      </c>
      <c r="E91" s="171">
        <v>2005</v>
      </c>
      <c r="F91" s="171">
        <v>2006</v>
      </c>
      <c r="G91" s="172" t="s">
        <v>50</v>
      </c>
      <c r="H91" s="173">
        <v>2005</v>
      </c>
      <c r="I91" s="171">
        <v>2006</v>
      </c>
      <c r="J91" s="172" t="s">
        <v>50</v>
      </c>
    </row>
    <row r="92" spans="1:10" ht="18.75">
      <c r="A92" s="174" t="s">
        <v>51</v>
      </c>
      <c r="B92" s="175"/>
      <c r="C92" s="175">
        <v>6</v>
      </c>
      <c r="D92" s="175">
        <f aca="true" t="shared" si="9" ref="D92:D102">+C92-B92</f>
        <v>6</v>
      </c>
      <c r="E92" s="175"/>
      <c r="F92" s="175">
        <v>6</v>
      </c>
      <c r="G92" s="176">
        <f aca="true" t="shared" si="10" ref="G92:G102">+F92-E92</f>
        <v>6</v>
      </c>
      <c r="H92" s="177"/>
      <c r="I92" s="178">
        <v>21203</v>
      </c>
      <c r="J92" s="179">
        <f aca="true" t="shared" si="11" ref="J92:J102">+I92-H92</f>
        <v>21203</v>
      </c>
    </row>
    <row r="93" spans="1:10" ht="12.75">
      <c r="A93" s="174" t="s">
        <v>85</v>
      </c>
      <c r="B93" s="175"/>
      <c r="C93" s="175">
        <v>16</v>
      </c>
      <c r="D93" s="175">
        <f t="shared" si="9"/>
        <v>16</v>
      </c>
      <c r="E93" s="175"/>
      <c r="F93" s="175">
        <v>16</v>
      </c>
      <c r="G93" s="176">
        <f t="shared" si="10"/>
        <v>16</v>
      </c>
      <c r="H93" s="177"/>
      <c r="I93" s="180">
        <v>20057</v>
      </c>
      <c r="J93" s="179">
        <f t="shared" si="11"/>
        <v>20057</v>
      </c>
    </row>
    <row r="94" spans="1:10" ht="12.75">
      <c r="A94" s="174" t="s">
        <v>52</v>
      </c>
      <c r="B94" s="175"/>
      <c r="C94" s="175"/>
      <c r="D94" s="175">
        <f t="shared" si="9"/>
        <v>0</v>
      </c>
      <c r="E94" s="175"/>
      <c r="F94" s="175"/>
      <c r="G94" s="176">
        <f t="shared" si="10"/>
        <v>0</v>
      </c>
      <c r="H94" s="177"/>
      <c r="I94" s="180"/>
      <c r="J94" s="179">
        <f t="shared" si="11"/>
        <v>0</v>
      </c>
    </row>
    <row r="95" spans="1:10" ht="12.75">
      <c r="A95" s="174" t="s">
        <v>53</v>
      </c>
      <c r="B95" s="175"/>
      <c r="C95" s="175"/>
      <c r="D95" s="175">
        <f t="shared" si="9"/>
        <v>0</v>
      </c>
      <c r="E95" s="175"/>
      <c r="F95" s="175"/>
      <c r="G95" s="176">
        <f t="shared" si="10"/>
        <v>0</v>
      </c>
      <c r="H95" s="177"/>
      <c r="I95" s="180"/>
      <c r="J95" s="179">
        <f t="shared" si="11"/>
        <v>0</v>
      </c>
    </row>
    <row r="96" spans="1:10" ht="12.75">
      <c r="A96" s="174" t="s">
        <v>86</v>
      </c>
      <c r="B96" s="175"/>
      <c r="C96" s="175"/>
      <c r="D96" s="175">
        <f t="shared" si="9"/>
        <v>0</v>
      </c>
      <c r="E96" s="175"/>
      <c r="F96" s="175"/>
      <c r="G96" s="176">
        <f t="shared" si="10"/>
        <v>0</v>
      </c>
      <c r="H96" s="177"/>
      <c r="I96" s="180"/>
      <c r="J96" s="179">
        <f t="shared" si="11"/>
        <v>0</v>
      </c>
    </row>
    <row r="97" spans="1:10" ht="12.75">
      <c r="A97" s="174" t="s">
        <v>54</v>
      </c>
      <c r="B97" s="175"/>
      <c r="C97" s="175"/>
      <c r="D97" s="175">
        <f t="shared" si="9"/>
        <v>0</v>
      </c>
      <c r="E97" s="175"/>
      <c r="F97" s="175"/>
      <c r="G97" s="176">
        <f t="shared" si="10"/>
        <v>0</v>
      </c>
      <c r="H97" s="177"/>
      <c r="I97" s="180"/>
      <c r="J97" s="179">
        <f t="shared" si="11"/>
        <v>0</v>
      </c>
    </row>
    <row r="98" spans="1:10" ht="12.75">
      <c r="A98" s="174" t="s">
        <v>55</v>
      </c>
      <c r="B98" s="175"/>
      <c r="C98" s="175">
        <v>4</v>
      </c>
      <c r="D98" s="175">
        <f t="shared" si="9"/>
        <v>4</v>
      </c>
      <c r="E98" s="175"/>
      <c r="F98" s="175">
        <v>4</v>
      </c>
      <c r="G98" s="176">
        <f t="shared" si="10"/>
        <v>4</v>
      </c>
      <c r="H98" s="177"/>
      <c r="I98" s="180">
        <v>16293</v>
      </c>
      <c r="J98" s="179">
        <f t="shared" si="11"/>
        <v>16293</v>
      </c>
    </row>
    <row r="99" spans="1:10" ht="12.75">
      <c r="A99" s="174" t="s">
        <v>56</v>
      </c>
      <c r="B99" s="175"/>
      <c r="C99" s="175">
        <v>32</v>
      </c>
      <c r="D99" s="175">
        <f t="shared" si="9"/>
        <v>32</v>
      </c>
      <c r="E99" s="175"/>
      <c r="F99" s="175">
        <v>32</v>
      </c>
      <c r="G99" s="176">
        <f t="shared" si="10"/>
        <v>32</v>
      </c>
      <c r="H99" s="177"/>
      <c r="I99" s="180">
        <v>13154</v>
      </c>
      <c r="J99" s="179">
        <f t="shared" si="11"/>
        <v>13154</v>
      </c>
    </row>
    <row r="100" spans="1:10" ht="12.75">
      <c r="A100" s="174" t="s">
        <v>57</v>
      </c>
      <c r="B100" s="175"/>
      <c r="C100" s="175">
        <v>2</v>
      </c>
      <c r="D100" s="175">
        <f t="shared" si="9"/>
        <v>2</v>
      </c>
      <c r="E100" s="175"/>
      <c r="F100" s="175">
        <v>2</v>
      </c>
      <c r="G100" s="176">
        <f t="shared" si="10"/>
        <v>2</v>
      </c>
      <c r="H100" s="177"/>
      <c r="I100" s="180">
        <v>15862</v>
      </c>
      <c r="J100" s="179">
        <f t="shared" si="11"/>
        <v>15862</v>
      </c>
    </row>
    <row r="101" spans="1:10" ht="12.75">
      <c r="A101" s="174" t="s">
        <v>58</v>
      </c>
      <c r="B101" s="175"/>
      <c r="C101" s="175">
        <v>40</v>
      </c>
      <c r="D101" s="175">
        <f t="shared" si="9"/>
        <v>40</v>
      </c>
      <c r="E101" s="175"/>
      <c r="F101" s="175">
        <v>40</v>
      </c>
      <c r="G101" s="176">
        <f t="shared" si="10"/>
        <v>40</v>
      </c>
      <c r="H101" s="177"/>
      <c r="I101" s="180">
        <v>11804</v>
      </c>
      <c r="J101" s="179">
        <f t="shared" si="11"/>
        <v>11804</v>
      </c>
    </row>
    <row r="102" spans="1:10" ht="13.5" thickBot="1">
      <c r="A102" s="181" t="s">
        <v>3</v>
      </c>
      <c r="B102" s="182">
        <f>SUM(B92:B101)</f>
        <v>0</v>
      </c>
      <c r="C102" s="182">
        <f>SUM(C92:C101)</f>
        <v>100</v>
      </c>
      <c r="D102" s="182">
        <f t="shared" si="9"/>
        <v>100</v>
      </c>
      <c r="E102" s="182">
        <f>SUM(E92:E101)</f>
        <v>0</v>
      </c>
      <c r="F102" s="182">
        <f>SUM(F92:F101)</f>
        <v>100</v>
      </c>
      <c r="G102" s="183">
        <f t="shared" si="10"/>
        <v>100</v>
      </c>
      <c r="H102" s="184"/>
      <c r="I102" s="185"/>
      <c r="J102" s="186">
        <f t="shared" si="11"/>
        <v>0</v>
      </c>
    </row>
    <row r="103" ht="13.5" thickBot="1"/>
    <row r="104" spans="1:16" ht="12.75">
      <c r="A104" s="432" t="s">
        <v>59</v>
      </c>
      <c r="B104" s="432"/>
      <c r="C104" s="432"/>
      <c r="D104" s="27"/>
      <c r="E104" s="432" t="s">
        <v>60</v>
      </c>
      <c r="F104" s="432"/>
      <c r="G104" s="432"/>
      <c r="H104"/>
      <c r="I104"/>
      <c r="J104"/>
      <c r="K104"/>
      <c r="L104"/>
      <c r="M104"/>
      <c r="N104"/>
      <c r="O104"/>
      <c r="P104"/>
    </row>
    <row r="105" spans="1:16" ht="13.5" thickBot="1">
      <c r="A105" s="154" t="s">
        <v>61</v>
      </c>
      <c r="B105" s="155" t="s">
        <v>62</v>
      </c>
      <c r="C105" s="156" t="s">
        <v>46</v>
      </c>
      <c r="D105" s="27"/>
      <c r="E105" s="154"/>
      <c r="F105" s="433" t="s">
        <v>63</v>
      </c>
      <c r="G105" s="433"/>
      <c r="H105"/>
      <c r="I105"/>
      <c r="J105"/>
      <c r="K105"/>
      <c r="L105"/>
      <c r="M105"/>
      <c r="N105"/>
      <c r="O105"/>
      <c r="P105"/>
    </row>
    <row r="106" spans="1:16" ht="12.75">
      <c r="A106" s="161">
        <v>2006</v>
      </c>
      <c r="B106" s="162">
        <v>100</v>
      </c>
      <c r="C106" s="163">
        <v>100</v>
      </c>
      <c r="D106" s="27"/>
      <c r="E106" s="161">
        <v>2006</v>
      </c>
      <c r="F106" s="416">
        <v>181</v>
      </c>
      <c r="G106" s="416"/>
      <c r="H106"/>
      <c r="I106"/>
      <c r="J106"/>
      <c r="K106"/>
      <c r="L106"/>
      <c r="M106"/>
      <c r="N106"/>
      <c r="O106"/>
      <c r="P106"/>
    </row>
    <row r="107" spans="1:16" ht="13.5" thickBot="1">
      <c r="A107" s="168">
        <v>2007</v>
      </c>
      <c r="B107" s="169">
        <v>100</v>
      </c>
      <c r="C107" s="369" t="s">
        <v>508</v>
      </c>
      <c r="D107" s="27"/>
      <c r="E107" s="168">
        <v>2007</v>
      </c>
      <c r="F107" s="417">
        <v>171</v>
      </c>
      <c r="G107" s="417"/>
      <c r="H107"/>
      <c r="I107"/>
      <c r="J107"/>
      <c r="K107"/>
      <c r="L107"/>
      <c r="M107"/>
      <c r="N107"/>
      <c r="O107"/>
      <c r="P107"/>
    </row>
  </sheetData>
  <mergeCells count="62">
    <mergeCell ref="F107:G107"/>
    <mergeCell ref="A55:E55"/>
    <mergeCell ref="C56:D56"/>
    <mergeCell ref="C57:D57"/>
    <mergeCell ref="C58:D58"/>
    <mergeCell ref="A104:C104"/>
    <mergeCell ref="E104:G104"/>
    <mergeCell ref="F105:G105"/>
    <mergeCell ref="F106:G106"/>
    <mergeCell ref="B67:B69"/>
    <mergeCell ref="J84:L84"/>
    <mergeCell ref="A90:A91"/>
    <mergeCell ref="B90:D90"/>
    <mergeCell ref="E90:G90"/>
    <mergeCell ref="H90:J90"/>
    <mergeCell ref="A84:A85"/>
    <mergeCell ref="B84:B85"/>
    <mergeCell ref="C84:H84"/>
    <mergeCell ref="A3:A6"/>
    <mergeCell ref="B3:N3"/>
    <mergeCell ref="H4:I4"/>
    <mergeCell ref="M4:N4"/>
    <mergeCell ref="L67:M67"/>
    <mergeCell ref="C68:C69"/>
    <mergeCell ref="D68:I68"/>
    <mergeCell ref="B4:D4"/>
    <mergeCell ref="E4:G4"/>
    <mergeCell ref="J4:L4"/>
    <mergeCell ref="A51:B51"/>
    <mergeCell ref="H51:K51"/>
    <mergeCell ref="C61:D61"/>
    <mergeCell ref="A67:A69"/>
    <mergeCell ref="C59:D59"/>
    <mergeCell ref="C60:D60"/>
    <mergeCell ref="C67:I67"/>
    <mergeCell ref="J67:J69"/>
    <mergeCell ref="A50:B50"/>
    <mergeCell ref="H50:K50"/>
    <mergeCell ref="A49:B49"/>
    <mergeCell ref="H49:K49"/>
    <mergeCell ref="A47:B47"/>
    <mergeCell ref="H47:K47"/>
    <mergeCell ref="A48:B48"/>
    <mergeCell ref="H48:K48"/>
    <mergeCell ref="A45:B45"/>
    <mergeCell ref="H45:K45"/>
    <mergeCell ref="A46:B46"/>
    <mergeCell ref="H46:K46"/>
    <mergeCell ref="E38:G38"/>
    <mergeCell ref="J38:L38"/>
    <mergeCell ref="B39:D39"/>
    <mergeCell ref="E39:G39"/>
    <mergeCell ref="B73:E73"/>
    <mergeCell ref="A73:A74"/>
    <mergeCell ref="L41:L42"/>
    <mergeCell ref="A43:B43"/>
    <mergeCell ref="H43:K43"/>
    <mergeCell ref="A41:B42"/>
    <mergeCell ref="C41:C42"/>
    <mergeCell ref="H41:K42"/>
    <mergeCell ref="A44:B44"/>
    <mergeCell ref="H44:K4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3">
      <selection activeCell="J16" sqref="J1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553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 thickBot="1">
      <c r="A7" s="228" t="s">
        <v>8</v>
      </c>
      <c r="B7" s="187"/>
      <c r="C7" s="188"/>
      <c r="D7" s="191"/>
      <c r="E7" s="187"/>
      <c r="F7" s="188"/>
      <c r="G7" s="191"/>
      <c r="H7" s="218">
        <f aca="true" t="shared" si="0" ref="H7:H37">+G7-D7</f>
        <v>0</v>
      </c>
      <c r="I7" s="223" t="e">
        <f>+G7/D7</f>
        <v>#DIV/0!</v>
      </c>
      <c r="J7" s="187"/>
      <c r="K7" s="188"/>
      <c r="L7" s="191"/>
      <c r="M7" s="218">
        <f aca="true" t="shared" si="1" ref="M7:M37">+L7-G7</f>
        <v>0</v>
      </c>
      <c r="N7" s="221" t="e">
        <f>+L7/G7</f>
        <v>#DIV/0!</v>
      </c>
    </row>
    <row r="8" spans="1:14" ht="13.5" customHeight="1">
      <c r="A8" s="229" t="s">
        <v>9</v>
      </c>
      <c r="B8" s="187">
        <v>7601</v>
      </c>
      <c r="C8" s="188"/>
      <c r="D8" s="191">
        <f>SUM(B8:C8)</f>
        <v>7601</v>
      </c>
      <c r="E8" s="187">
        <v>8464</v>
      </c>
      <c r="F8" s="188"/>
      <c r="G8" s="191">
        <f>SUM(E8:F8)</f>
        <v>8464</v>
      </c>
      <c r="H8" s="220">
        <f t="shared" si="0"/>
        <v>863</v>
      </c>
      <c r="I8" s="223"/>
      <c r="J8" s="15">
        <f>12774+200</f>
        <v>12974</v>
      </c>
      <c r="K8" s="14"/>
      <c r="L8" s="192">
        <f aca="true" t="shared" si="2" ref="L8:L17">SUM(J8:K8)</f>
        <v>12974</v>
      </c>
      <c r="M8" s="220">
        <f t="shared" si="1"/>
        <v>4510</v>
      </c>
      <c r="N8" s="221"/>
    </row>
    <row r="9" spans="1:14" ht="13.5" customHeight="1">
      <c r="A9" s="229" t="s">
        <v>10</v>
      </c>
      <c r="B9" s="15"/>
      <c r="C9" s="14"/>
      <c r="D9" s="192">
        <f aca="true" t="shared" si="3" ref="D9:D15">SUM(B9:C9)</f>
        <v>0</v>
      </c>
      <c r="E9" s="15"/>
      <c r="F9" s="14"/>
      <c r="G9" s="192">
        <f aca="true" t="shared" si="4" ref="G9:G17">SUM(E9:F9)</f>
        <v>0</v>
      </c>
      <c r="H9" s="220">
        <f t="shared" si="0"/>
        <v>0</v>
      </c>
      <c r="I9" s="223"/>
      <c r="J9" s="15"/>
      <c r="K9" s="14"/>
      <c r="L9" s="192">
        <f t="shared" si="2"/>
        <v>0</v>
      </c>
      <c r="M9" s="220">
        <f t="shared" si="1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3"/>
        <v>0</v>
      </c>
      <c r="E10" s="15"/>
      <c r="F10" s="14"/>
      <c r="G10" s="192">
        <f t="shared" si="4"/>
        <v>0</v>
      </c>
      <c r="H10" s="220">
        <f t="shared" si="0"/>
        <v>0</v>
      </c>
      <c r="I10" s="223"/>
      <c r="J10" s="15"/>
      <c r="K10" s="14"/>
      <c r="L10" s="192">
        <f t="shared" si="2"/>
        <v>0</v>
      </c>
      <c r="M10" s="220">
        <f t="shared" si="1"/>
        <v>0</v>
      </c>
      <c r="N10" s="221"/>
    </row>
    <row r="11" spans="1:14" ht="13.5" customHeight="1">
      <c r="A11" s="229" t="s">
        <v>12</v>
      </c>
      <c r="B11" s="15">
        <v>78</v>
      </c>
      <c r="C11" s="14"/>
      <c r="D11" s="192">
        <f t="shared" si="3"/>
        <v>78</v>
      </c>
      <c r="E11" s="15">
        <v>149</v>
      </c>
      <c r="F11" s="14"/>
      <c r="G11" s="192">
        <f t="shared" si="4"/>
        <v>149</v>
      </c>
      <c r="H11" s="220">
        <f t="shared" si="0"/>
        <v>71</v>
      </c>
      <c r="I11" s="223">
        <f>+G11/D11</f>
        <v>1.9102564102564104</v>
      </c>
      <c r="J11" s="15">
        <v>150</v>
      </c>
      <c r="K11" s="14"/>
      <c r="L11" s="192">
        <f t="shared" si="2"/>
        <v>150</v>
      </c>
      <c r="M11" s="220">
        <f t="shared" si="1"/>
        <v>1</v>
      </c>
      <c r="N11" s="221">
        <f aca="true" t="shared" si="5" ref="N11:N21">+L11/G11</f>
        <v>1.0067114093959733</v>
      </c>
    </row>
    <row r="12" spans="1:14" ht="13.5" customHeight="1">
      <c r="A12" s="230" t="s">
        <v>13</v>
      </c>
      <c r="B12" s="15"/>
      <c r="C12" s="14"/>
      <c r="D12" s="192">
        <f t="shared" si="3"/>
        <v>0</v>
      </c>
      <c r="E12" s="15"/>
      <c r="F12" s="14"/>
      <c r="G12" s="192">
        <f t="shared" si="4"/>
        <v>0</v>
      </c>
      <c r="H12" s="220">
        <f t="shared" si="0"/>
        <v>0</v>
      </c>
      <c r="I12" s="223"/>
      <c r="J12" s="15"/>
      <c r="K12" s="14"/>
      <c r="L12" s="192">
        <f t="shared" si="2"/>
        <v>0</v>
      </c>
      <c r="M12" s="220">
        <f t="shared" si="1"/>
        <v>0</v>
      </c>
      <c r="N12" s="221"/>
    </row>
    <row r="13" spans="1:14" ht="13.5" customHeight="1">
      <c r="A13" s="230" t="s">
        <v>14</v>
      </c>
      <c r="B13" s="15"/>
      <c r="C13" s="14"/>
      <c r="D13" s="192">
        <f t="shared" si="3"/>
        <v>0</v>
      </c>
      <c r="E13" s="15"/>
      <c r="F13" s="14"/>
      <c r="G13" s="192">
        <f t="shared" si="4"/>
        <v>0</v>
      </c>
      <c r="H13" s="220">
        <f t="shared" si="0"/>
        <v>0</v>
      </c>
      <c r="I13" s="223"/>
      <c r="J13" s="15"/>
      <c r="K13" s="14"/>
      <c r="L13" s="192">
        <f t="shared" si="2"/>
        <v>0</v>
      </c>
      <c r="M13" s="220">
        <f t="shared" si="1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3"/>
        <v>0</v>
      </c>
      <c r="E14" s="15"/>
      <c r="F14" s="14"/>
      <c r="G14" s="192">
        <f t="shared" si="4"/>
        <v>0</v>
      </c>
      <c r="H14" s="220">
        <f t="shared" si="0"/>
        <v>0</v>
      </c>
      <c r="I14" s="223"/>
      <c r="J14" s="15"/>
      <c r="K14" s="14"/>
      <c r="L14" s="192">
        <f t="shared" si="2"/>
        <v>0</v>
      </c>
      <c r="M14" s="220">
        <f t="shared" si="1"/>
        <v>0</v>
      </c>
      <c r="N14" s="221"/>
    </row>
    <row r="15" spans="1:14" ht="13.5" customHeight="1">
      <c r="A15" s="229" t="s">
        <v>16</v>
      </c>
      <c r="B15" s="15">
        <f>SUM(B16:B17)</f>
        <v>11566</v>
      </c>
      <c r="C15" s="14">
        <f>SUM(C16:C17)</f>
        <v>0</v>
      </c>
      <c r="D15" s="192">
        <f t="shared" si="3"/>
        <v>11566</v>
      </c>
      <c r="E15" s="15">
        <f>SUM(E16:E17)</f>
        <v>12263</v>
      </c>
      <c r="F15" s="14">
        <f>SUM(F16:F17)</f>
        <v>0</v>
      </c>
      <c r="G15" s="192">
        <f t="shared" si="4"/>
        <v>12263</v>
      </c>
      <c r="H15" s="220">
        <f t="shared" si="0"/>
        <v>697</v>
      </c>
      <c r="I15" s="223">
        <f>+G15/D15</f>
        <v>1.0602628393567353</v>
      </c>
      <c r="J15" s="17">
        <f>SUM(J16:J17)</f>
        <v>9219</v>
      </c>
      <c r="K15" s="17">
        <f>SUM(K16:K17)</f>
        <v>0</v>
      </c>
      <c r="L15" s="192">
        <f t="shared" si="2"/>
        <v>9219</v>
      </c>
      <c r="M15" s="220">
        <f t="shared" si="1"/>
        <v>-3044</v>
      </c>
      <c r="N15" s="221">
        <f t="shared" si="5"/>
        <v>0.7517736279866264</v>
      </c>
    </row>
    <row r="16" spans="1:14" ht="13.5" customHeight="1">
      <c r="A16" s="231" t="s">
        <v>219</v>
      </c>
      <c r="B16" s="15">
        <v>11566</v>
      </c>
      <c r="C16" s="14"/>
      <c r="D16" s="192">
        <f>B16</f>
        <v>11566</v>
      </c>
      <c r="E16" s="15">
        <v>12263</v>
      </c>
      <c r="F16" s="14"/>
      <c r="G16" s="192">
        <f t="shared" si="4"/>
        <v>12263</v>
      </c>
      <c r="H16" s="220">
        <f t="shared" si="0"/>
        <v>697</v>
      </c>
      <c r="I16" s="223">
        <f>+G16/D16</f>
        <v>1.0602628393567353</v>
      </c>
      <c r="J16" s="17">
        <f>220+1479-1479</f>
        <v>220</v>
      </c>
      <c r="K16" s="14"/>
      <c r="L16" s="192">
        <f t="shared" si="2"/>
        <v>220</v>
      </c>
      <c r="M16" s="220">
        <f t="shared" si="1"/>
        <v>-12043</v>
      </c>
      <c r="N16" s="221">
        <f t="shared" si="5"/>
        <v>0.017940145152083503</v>
      </c>
    </row>
    <row r="17" spans="1:14" ht="13.5" customHeight="1" thickBot="1">
      <c r="A17" s="231" t="s">
        <v>220</v>
      </c>
      <c r="B17" s="18"/>
      <c r="C17" s="16"/>
      <c r="D17" s="195"/>
      <c r="E17" s="18"/>
      <c r="F17" s="16"/>
      <c r="G17" s="195">
        <f t="shared" si="4"/>
        <v>0</v>
      </c>
      <c r="H17" s="313">
        <f t="shared" si="0"/>
        <v>0</v>
      </c>
      <c r="I17" s="314"/>
      <c r="J17" s="315">
        <v>8999</v>
      </c>
      <c r="K17" s="16"/>
      <c r="L17" s="195">
        <f t="shared" si="2"/>
        <v>8999</v>
      </c>
      <c r="M17" s="313">
        <f t="shared" si="1"/>
        <v>8999</v>
      </c>
      <c r="N17" s="316"/>
    </row>
    <row r="18" spans="1:14" ht="13.5" customHeight="1" thickBot="1">
      <c r="A18" s="112" t="s">
        <v>17</v>
      </c>
      <c r="B18" s="113">
        <f aca="true" t="shared" si="6" ref="B18:G18">SUM(B7+B8+B9+B10+B11+B13+B15)</f>
        <v>19245</v>
      </c>
      <c r="C18" s="114">
        <f t="shared" si="6"/>
        <v>0</v>
      </c>
      <c r="D18" s="115">
        <f t="shared" si="6"/>
        <v>19245</v>
      </c>
      <c r="E18" s="113">
        <f t="shared" si="6"/>
        <v>20876</v>
      </c>
      <c r="F18" s="114">
        <f t="shared" si="6"/>
        <v>0</v>
      </c>
      <c r="G18" s="115">
        <f t="shared" si="6"/>
        <v>20876</v>
      </c>
      <c r="H18" s="116">
        <f t="shared" si="0"/>
        <v>1631</v>
      </c>
      <c r="I18" s="117">
        <f>+G18/D18</f>
        <v>1.0847492855287089</v>
      </c>
      <c r="J18" s="118">
        <f>SUM(J7+J8+J9+J10+J11+J13+J15)</f>
        <v>22343</v>
      </c>
      <c r="K18" s="114">
        <f>SUM(K7+K8+K9+K10+K11+K13+K15)</f>
        <v>0</v>
      </c>
      <c r="L18" s="115">
        <f>SUM(L7+L8+L9+L10+L11+L13+L15)</f>
        <v>22343</v>
      </c>
      <c r="M18" s="116">
        <f t="shared" si="1"/>
        <v>1467</v>
      </c>
      <c r="N18" s="119">
        <f t="shared" si="5"/>
        <v>1.0702720827744778</v>
      </c>
    </row>
    <row r="19" spans="1:14" ht="13.5" customHeight="1">
      <c r="A19" s="120" t="s">
        <v>18</v>
      </c>
      <c r="B19" s="95">
        <v>3279</v>
      </c>
      <c r="C19" s="96"/>
      <c r="D19" s="97">
        <f aca="true" t="shared" si="7" ref="D19:D36">SUM(B19:C19)</f>
        <v>3279</v>
      </c>
      <c r="E19" s="95">
        <v>3875</v>
      </c>
      <c r="F19" s="96"/>
      <c r="G19" s="121">
        <f aca="true" t="shared" si="8" ref="G19:G36">SUM(E19:F19)</f>
        <v>3875</v>
      </c>
      <c r="H19" s="122">
        <f t="shared" si="0"/>
        <v>596</v>
      </c>
      <c r="I19" s="123">
        <f>+G19/D19</f>
        <v>1.1817627325404088</v>
      </c>
      <c r="J19" s="100">
        <f>3830+21</f>
        <v>3851</v>
      </c>
      <c r="K19" s="96"/>
      <c r="L19" s="124">
        <f aca="true" t="shared" si="9" ref="L19:L36">SUM(J19:K19)</f>
        <v>3851</v>
      </c>
      <c r="M19" s="122">
        <f t="shared" si="1"/>
        <v>-24</v>
      </c>
      <c r="N19" s="125">
        <f t="shared" si="5"/>
        <v>0.9938064516129033</v>
      </c>
    </row>
    <row r="20" spans="1:14" ht="21" customHeight="1">
      <c r="A20" s="106" t="s">
        <v>19</v>
      </c>
      <c r="B20" s="95">
        <v>470</v>
      </c>
      <c r="C20" s="96"/>
      <c r="D20" s="97">
        <f t="shared" si="7"/>
        <v>470</v>
      </c>
      <c r="E20" s="95">
        <v>562</v>
      </c>
      <c r="F20" s="96"/>
      <c r="G20" s="121">
        <f t="shared" si="8"/>
        <v>562</v>
      </c>
      <c r="H20" s="98">
        <f t="shared" si="0"/>
        <v>92</v>
      </c>
      <c r="I20" s="99">
        <f>+G20/D20</f>
        <v>1.195744680851064</v>
      </c>
      <c r="J20" s="100">
        <v>500</v>
      </c>
      <c r="K20" s="96"/>
      <c r="L20" s="124">
        <f t="shared" si="9"/>
        <v>500</v>
      </c>
      <c r="M20" s="98">
        <f t="shared" si="1"/>
        <v>-62</v>
      </c>
      <c r="N20" s="101">
        <f t="shared" si="5"/>
        <v>0.8896797153024911</v>
      </c>
    </row>
    <row r="21" spans="1:14" ht="13.5" customHeight="1">
      <c r="A21" s="102" t="s">
        <v>20</v>
      </c>
      <c r="B21" s="103">
        <v>2009</v>
      </c>
      <c r="C21" s="104"/>
      <c r="D21" s="97">
        <f t="shared" si="7"/>
        <v>2009</v>
      </c>
      <c r="E21" s="103">
        <v>2430</v>
      </c>
      <c r="F21" s="104"/>
      <c r="G21" s="121">
        <f t="shared" si="8"/>
        <v>2430</v>
      </c>
      <c r="H21" s="98">
        <f t="shared" si="0"/>
        <v>421</v>
      </c>
      <c r="I21" s="99">
        <f>+G21/D21</f>
        <v>1.209556993529119</v>
      </c>
      <c r="J21" s="105">
        <v>2700</v>
      </c>
      <c r="K21" s="104"/>
      <c r="L21" s="124">
        <f t="shared" si="9"/>
        <v>2700</v>
      </c>
      <c r="M21" s="98">
        <f t="shared" si="1"/>
        <v>270</v>
      </c>
      <c r="N21" s="101">
        <f t="shared" si="5"/>
        <v>1.1111111111111112</v>
      </c>
    </row>
    <row r="22" spans="1:14" ht="13.5" customHeight="1">
      <c r="A22" s="106" t="s">
        <v>21</v>
      </c>
      <c r="B22" s="103"/>
      <c r="C22" s="104"/>
      <c r="D22" s="97">
        <f t="shared" si="7"/>
        <v>0</v>
      </c>
      <c r="E22" s="103"/>
      <c r="F22" s="104"/>
      <c r="G22" s="121">
        <f t="shared" si="8"/>
        <v>0</v>
      </c>
      <c r="H22" s="98">
        <f t="shared" si="0"/>
        <v>0</v>
      </c>
      <c r="I22" s="99"/>
      <c r="J22" s="105"/>
      <c r="K22" s="104"/>
      <c r="L22" s="124">
        <f t="shared" si="9"/>
        <v>0</v>
      </c>
      <c r="M22" s="98">
        <f t="shared" si="1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7"/>
        <v>0</v>
      </c>
      <c r="E23" s="103"/>
      <c r="F23" s="104"/>
      <c r="G23" s="121">
        <f t="shared" si="8"/>
        <v>0</v>
      </c>
      <c r="H23" s="98">
        <f t="shared" si="0"/>
        <v>0</v>
      </c>
      <c r="I23" s="99"/>
      <c r="J23" s="105"/>
      <c r="K23" s="104"/>
      <c r="L23" s="124">
        <f t="shared" si="9"/>
        <v>0</v>
      </c>
      <c r="M23" s="98">
        <f t="shared" si="1"/>
        <v>0</v>
      </c>
      <c r="N23" s="101"/>
    </row>
    <row r="24" spans="1:14" ht="13.5" customHeight="1">
      <c r="A24" s="102" t="s">
        <v>23</v>
      </c>
      <c r="B24" s="105">
        <v>799</v>
      </c>
      <c r="C24" s="104"/>
      <c r="D24" s="97">
        <f t="shared" si="7"/>
        <v>799</v>
      </c>
      <c r="E24" s="105">
        <v>1029</v>
      </c>
      <c r="F24" s="104"/>
      <c r="G24" s="121">
        <f t="shared" si="8"/>
        <v>1029</v>
      </c>
      <c r="H24" s="98">
        <f t="shared" si="0"/>
        <v>230</v>
      </c>
      <c r="I24" s="99">
        <f aca="true" t="shared" si="10" ref="I24:I37">+G24/D24</f>
        <v>1.2878598247809763</v>
      </c>
      <c r="J24" s="105">
        <v>1311</v>
      </c>
      <c r="K24" s="104"/>
      <c r="L24" s="124">
        <f t="shared" si="9"/>
        <v>1311</v>
      </c>
      <c r="M24" s="98">
        <f t="shared" si="1"/>
        <v>282</v>
      </c>
      <c r="N24" s="101">
        <f aca="true" t="shared" si="11" ref="N24:N37">+L24/G24</f>
        <v>1.2740524781341107</v>
      </c>
    </row>
    <row r="25" spans="1:14" ht="13.5" customHeight="1">
      <c r="A25" s="106" t="s">
        <v>24</v>
      </c>
      <c r="B25" s="103">
        <v>290</v>
      </c>
      <c r="C25" s="104"/>
      <c r="D25" s="97">
        <f t="shared" si="7"/>
        <v>290</v>
      </c>
      <c r="E25" s="103">
        <v>422</v>
      </c>
      <c r="F25" s="104"/>
      <c r="G25" s="121">
        <f t="shared" si="8"/>
        <v>422</v>
      </c>
      <c r="H25" s="98">
        <f t="shared" si="0"/>
        <v>132</v>
      </c>
      <c r="I25" s="99">
        <f t="shared" si="10"/>
        <v>1.4551724137931035</v>
      </c>
      <c r="J25" s="126">
        <v>450</v>
      </c>
      <c r="K25" s="104"/>
      <c r="L25" s="124">
        <f t="shared" si="9"/>
        <v>450</v>
      </c>
      <c r="M25" s="98">
        <f t="shared" si="1"/>
        <v>28</v>
      </c>
      <c r="N25" s="101">
        <f t="shared" si="11"/>
        <v>1.066350710900474</v>
      </c>
    </row>
    <row r="26" spans="1:14" ht="13.5" customHeight="1">
      <c r="A26" s="102" t="s">
        <v>25</v>
      </c>
      <c r="B26" s="103">
        <v>509</v>
      </c>
      <c r="C26" s="104"/>
      <c r="D26" s="97">
        <f t="shared" si="7"/>
        <v>509</v>
      </c>
      <c r="E26" s="103">
        <v>607</v>
      </c>
      <c r="F26" s="104"/>
      <c r="G26" s="121">
        <f t="shared" si="8"/>
        <v>607</v>
      </c>
      <c r="H26" s="98">
        <f t="shared" si="0"/>
        <v>98</v>
      </c>
      <c r="I26" s="99">
        <f t="shared" si="10"/>
        <v>1.1925343811394893</v>
      </c>
      <c r="J26" s="126">
        <v>220</v>
      </c>
      <c r="K26" s="104"/>
      <c r="L26" s="124">
        <f t="shared" si="9"/>
        <v>220</v>
      </c>
      <c r="M26" s="98">
        <f t="shared" si="1"/>
        <v>-387</v>
      </c>
      <c r="N26" s="101">
        <f t="shared" si="11"/>
        <v>0.3624382207578254</v>
      </c>
    </row>
    <row r="27" spans="1:14" ht="13.5" customHeight="1">
      <c r="A27" s="127" t="s">
        <v>26</v>
      </c>
      <c r="B27" s="105">
        <v>10920</v>
      </c>
      <c r="C27" s="104"/>
      <c r="D27" s="97">
        <f t="shared" si="7"/>
        <v>10920</v>
      </c>
      <c r="E27" s="105">
        <v>11377</v>
      </c>
      <c r="F27" s="104"/>
      <c r="G27" s="121">
        <f t="shared" si="8"/>
        <v>11377</v>
      </c>
      <c r="H27" s="98">
        <f t="shared" si="0"/>
        <v>457</v>
      </c>
      <c r="I27" s="99">
        <f t="shared" si="10"/>
        <v>1.041849816849817</v>
      </c>
      <c r="J27" s="105">
        <v>12440</v>
      </c>
      <c r="K27" s="104"/>
      <c r="L27" s="124">
        <f t="shared" si="9"/>
        <v>12440</v>
      </c>
      <c r="M27" s="98">
        <f t="shared" si="1"/>
        <v>1063</v>
      </c>
      <c r="N27" s="101">
        <f t="shared" si="11"/>
        <v>1.0934341214731476</v>
      </c>
    </row>
    <row r="28" spans="1:14" ht="13.5" customHeight="1">
      <c r="A28" s="106" t="s">
        <v>27</v>
      </c>
      <c r="B28" s="103">
        <v>7971</v>
      </c>
      <c r="C28" s="104"/>
      <c r="D28" s="97">
        <f t="shared" si="7"/>
        <v>7971</v>
      </c>
      <c r="E28" s="103">
        <v>8307</v>
      </c>
      <c r="F28" s="104"/>
      <c r="G28" s="121">
        <f t="shared" si="8"/>
        <v>8307</v>
      </c>
      <c r="H28" s="98">
        <f t="shared" si="0"/>
        <v>336</v>
      </c>
      <c r="I28" s="99">
        <f t="shared" si="10"/>
        <v>1.042152803914189</v>
      </c>
      <c r="J28" s="126">
        <v>9080</v>
      </c>
      <c r="K28" s="128"/>
      <c r="L28" s="124">
        <f t="shared" si="9"/>
        <v>9080</v>
      </c>
      <c r="M28" s="98">
        <f t="shared" si="1"/>
        <v>773</v>
      </c>
      <c r="N28" s="101">
        <f t="shared" si="11"/>
        <v>1.0930540508005298</v>
      </c>
    </row>
    <row r="29" spans="1:14" ht="13.5" customHeight="1">
      <c r="A29" s="127" t="s">
        <v>28</v>
      </c>
      <c r="B29" s="103">
        <v>7874</v>
      </c>
      <c r="C29" s="104"/>
      <c r="D29" s="97">
        <f t="shared" si="7"/>
        <v>7874</v>
      </c>
      <c r="E29" s="103">
        <v>8307</v>
      </c>
      <c r="F29" s="104"/>
      <c r="G29" s="121">
        <f t="shared" si="8"/>
        <v>8307</v>
      </c>
      <c r="H29" s="98">
        <f t="shared" si="0"/>
        <v>433</v>
      </c>
      <c r="I29" s="99">
        <f t="shared" si="10"/>
        <v>1.05499110998222</v>
      </c>
      <c r="J29" s="105">
        <v>9080</v>
      </c>
      <c r="K29" s="104"/>
      <c r="L29" s="124">
        <f t="shared" si="9"/>
        <v>9080</v>
      </c>
      <c r="M29" s="98">
        <f t="shared" si="1"/>
        <v>773</v>
      </c>
      <c r="N29" s="101">
        <f t="shared" si="11"/>
        <v>1.0930540508005298</v>
      </c>
    </row>
    <row r="30" spans="1:14" ht="13.5" customHeight="1">
      <c r="A30" s="106" t="s">
        <v>29</v>
      </c>
      <c r="B30" s="103">
        <v>97</v>
      </c>
      <c r="C30" s="104"/>
      <c r="D30" s="97">
        <f t="shared" si="7"/>
        <v>97</v>
      </c>
      <c r="E30" s="103"/>
      <c r="F30" s="104"/>
      <c r="G30" s="121">
        <f t="shared" si="8"/>
        <v>0</v>
      </c>
      <c r="H30" s="98">
        <f t="shared" si="0"/>
        <v>-97</v>
      </c>
      <c r="I30" s="99">
        <f t="shared" si="10"/>
        <v>0</v>
      </c>
      <c r="J30" s="105">
        <v>0</v>
      </c>
      <c r="K30" s="104"/>
      <c r="L30" s="124">
        <f t="shared" si="9"/>
        <v>0</v>
      </c>
      <c r="M30" s="98">
        <f t="shared" si="1"/>
        <v>0</v>
      </c>
      <c r="N30" s="101"/>
    </row>
    <row r="31" spans="1:14" ht="13.5" customHeight="1">
      <c r="A31" s="106" t="s">
        <v>30</v>
      </c>
      <c r="B31" s="103">
        <v>2949</v>
      </c>
      <c r="C31" s="104"/>
      <c r="D31" s="97">
        <f t="shared" si="7"/>
        <v>2949</v>
      </c>
      <c r="E31" s="103">
        <v>3070</v>
      </c>
      <c r="F31" s="104"/>
      <c r="G31" s="121">
        <f t="shared" si="8"/>
        <v>3070</v>
      </c>
      <c r="H31" s="98">
        <f t="shared" si="0"/>
        <v>121</v>
      </c>
      <c r="I31" s="99">
        <f t="shared" si="10"/>
        <v>1.0410308579179384</v>
      </c>
      <c r="J31" s="105">
        <v>3360</v>
      </c>
      <c r="K31" s="104"/>
      <c r="L31" s="124">
        <f t="shared" si="9"/>
        <v>3360</v>
      </c>
      <c r="M31" s="98">
        <f t="shared" si="1"/>
        <v>290</v>
      </c>
      <c r="N31" s="101">
        <f t="shared" si="11"/>
        <v>1.0944625407166124</v>
      </c>
    </row>
    <row r="32" spans="1:14" ht="13.5" customHeight="1">
      <c r="A32" s="127" t="s">
        <v>31</v>
      </c>
      <c r="B32" s="103"/>
      <c r="C32" s="104"/>
      <c r="D32" s="97">
        <f t="shared" si="7"/>
        <v>0</v>
      </c>
      <c r="E32" s="103"/>
      <c r="F32" s="104"/>
      <c r="G32" s="121">
        <f t="shared" si="8"/>
        <v>0</v>
      </c>
      <c r="H32" s="98">
        <f t="shared" si="0"/>
        <v>0</v>
      </c>
      <c r="I32" s="99"/>
      <c r="J32" s="105"/>
      <c r="K32" s="104"/>
      <c r="L32" s="124">
        <f t="shared" si="9"/>
        <v>0</v>
      </c>
      <c r="M32" s="98">
        <f t="shared" si="1"/>
        <v>0</v>
      </c>
      <c r="N32" s="101"/>
    </row>
    <row r="33" spans="1:14" ht="13.5" customHeight="1">
      <c r="A33" s="127" t="s">
        <v>32</v>
      </c>
      <c r="B33" s="103">
        <v>141</v>
      </c>
      <c r="C33" s="104"/>
      <c r="D33" s="97">
        <f t="shared" si="7"/>
        <v>141</v>
      </c>
      <c r="E33" s="103">
        <v>100</v>
      </c>
      <c r="F33" s="104"/>
      <c r="G33" s="121">
        <f t="shared" si="8"/>
        <v>100</v>
      </c>
      <c r="H33" s="98">
        <f t="shared" si="0"/>
        <v>-41</v>
      </c>
      <c r="I33" s="99">
        <f t="shared" si="10"/>
        <v>0.7092198581560284</v>
      </c>
      <c r="J33" s="105">
        <v>100</v>
      </c>
      <c r="K33" s="104"/>
      <c r="L33" s="124">
        <f t="shared" si="9"/>
        <v>100</v>
      </c>
      <c r="M33" s="98">
        <f t="shared" si="1"/>
        <v>0</v>
      </c>
      <c r="N33" s="101">
        <f t="shared" si="11"/>
        <v>1</v>
      </c>
    </row>
    <row r="34" spans="1:14" ht="13.5" customHeight="1">
      <c r="A34" s="106" t="s">
        <v>33</v>
      </c>
      <c r="B34" s="103">
        <v>1992</v>
      </c>
      <c r="C34" s="104"/>
      <c r="D34" s="97">
        <f t="shared" si="7"/>
        <v>1992</v>
      </c>
      <c r="E34" s="103">
        <v>1982</v>
      </c>
      <c r="F34" s="104"/>
      <c r="G34" s="121">
        <f t="shared" si="8"/>
        <v>1982</v>
      </c>
      <c r="H34" s="98">
        <f t="shared" si="0"/>
        <v>-10</v>
      </c>
      <c r="I34" s="99">
        <f t="shared" si="10"/>
        <v>0.9949799196787149</v>
      </c>
      <c r="J34" s="126">
        <v>1941</v>
      </c>
      <c r="K34" s="104"/>
      <c r="L34" s="124">
        <f t="shared" si="9"/>
        <v>1941</v>
      </c>
      <c r="M34" s="98">
        <f t="shared" si="1"/>
        <v>-41</v>
      </c>
      <c r="N34" s="101">
        <f t="shared" si="11"/>
        <v>0.979313824419778</v>
      </c>
    </row>
    <row r="35" spans="1:14" ht="22.5" customHeight="1">
      <c r="A35" s="106" t="s">
        <v>34</v>
      </c>
      <c r="B35" s="103"/>
      <c r="C35" s="104"/>
      <c r="D35" s="97">
        <f t="shared" si="7"/>
        <v>0</v>
      </c>
      <c r="E35" s="103"/>
      <c r="F35" s="104"/>
      <c r="G35" s="121">
        <f t="shared" si="8"/>
        <v>0</v>
      </c>
      <c r="H35" s="98">
        <f t="shared" si="0"/>
        <v>0</v>
      </c>
      <c r="I35" s="99"/>
      <c r="J35" s="126"/>
      <c r="K35" s="104"/>
      <c r="L35" s="124">
        <f t="shared" si="9"/>
        <v>0</v>
      </c>
      <c r="M35" s="98">
        <f t="shared" si="1"/>
        <v>0</v>
      </c>
      <c r="N35" s="101"/>
    </row>
    <row r="36" spans="1:14" ht="13.5" customHeight="1" thickBot="1">
      <c r="A36" s="129" t="s">
        <v>35</v>
      </c>
      <c r="B36" s="107"/>
      <c r="C36" s="108"/>
      <c r="D36" s="97">
        <f t="shared" si="7"/>
        <v>0</v>
      </c>
      <c r="E36" s="107"/>
      <c r="F36" s="108"/>
      <c r="G36" s="121">
        <f t="shared" si="8"/>
        <v>0</v>
      </c>
      <c r="H36" s="109">
        <f t="shared" si="0"/>
        <v>0</v>
      </c>
      <c r="I36" s="110"/>
      <c r="J36" s="130"/>
      <c r="K36" s="108"/>
      <c r="L36" s="124">
        <f t="shared" si="9"/>
        <v>0</v>
      </c>
      <c r="M36" s="109">
        <f t="shared" si="1"/>
        <v>0</v>
      </c>
      <c r="N36" s="111"/>
    </row>
    <row r="37" spans="1:14" ht="13.5" customHeight="1" thickBot="1">
      <c r="A37" s="112" t="s">
        <v>36</v>
      </c>
      <c r="B37" s="113">
        <f aca="true" t="shared" si="12" ref="B37:G37">SUM(B19+B21+B22+B23+B24+B27+B32+B33+B34+B36)</f>
        <v>19140</v>
      </c>
      <c r="C37" s="114">
        <f t="shared" si="12"/>
        <v>0</v>
      </c>
      <c r="D37" s="115">
        <f t="shared" si="12"/>
        <v>19140</v>
      </c>
      <c r="E37" s="113">
        <f t="shared" si="12"/>
        <v>20793</v>
      </c>
      <c r="F37" s="114">
        <f t="shared" si="12"/>
        <v>0</v>
      </c>
      <c r="G37" s="115">
        <f t="shared" si="12"/>
        <v>20793</v>
      </c>
      <c r="H37" s="116">
        <f t="shared" si="0"/>
        <v>1653</v>
      </c>
      <c r="I37" s="117">
        <f t="shared" si="10"/>
        <v>1.0863636363636364</v>
      </c>
      <c r="J37" s="118">
        <f>SUM(J19+J21+J22+J23+J24+J27+J32+J33+J34+J36)</f>
        <v>22343</v>
      </c>
      <c r="K37" s="114">
        <f>SUM(K19+K21+K22+K23+K24+K27+K32+K33+K34+K36)</f>
        <v>0</v>
      </c>
      <c r="L37" s="115">
        <f>SUM(L19+L21+L22+L23+L24+L27+L32+L33+L34+L36)</f>
        <v>22343</v>
      </c>
      <c r="M37" s="116">
        <f t="shared" si="1"/>
        <v>1550</v>
      </c>
      <c r="N37" s="119">
        <f t="shared" si="11"/>
        <v>1.0745443177992593</v>
      </c>
    </row>
    <row r="38" spans="1:14" ht="13.5" customHeight="1" thickBot="1">
      <c r="A38" s="112" t="s">
        <v>37</v>
      </c>
      <c r="B38" s="470">
        <f>+D18-D37</f>
        <v>105</v>
      </c>
      <c r="C38" s="470"/>
      <c r="D38" s="470"/>
      <c r="E38" s="471">
        <v>83.2</v>
      </c>
      <c r="F38" s="471"/>
      <c r="G38" s="471">
        <v>-50784</v>
      </c>
      <c r="H38" s="131">
        <f>+E38-B38</f>
        <v>-21.799999999999997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481</v>
      </c>
      <c r="B43" s="469"/>
      <c r="C43" s="134">
        <v>222</v>
      </c>
      <c r="D43" s="468" t="s">
        <v>482</v>
      </c>
      <c r="E43" s="468"/>
      <c r="F43" s="468"/>
      <c r="G43" s="135">
        <v>68</v>
      </c>
      <c r="H43" s="467" t="s">
        <v>483</v>
      </c>
      <c r="I43" s="467"/>
      <c r="J43" s="467"/>
      <c r="K43" s="467"/>
      <c r="L43" s="136">
        <v>470</v>
      </c>
      <c r="O43"/>
      <c r="P43"/>
    </row>
    <row r="44" spans="1:16" ht="12.75">
      <c r="A44" s="463" t="s">
        <v>84</v>
      </c>
      <c r="B44" s="463"/>
      <c r="C44" s="137">
        <v>1104</v>
      </c>
      <c r="D44" s="468" t="s">
        <v>84</v>
      </c>
      <c r="E44" s="468"/>
      <c r="F44" s="468"/>
      <c r="G44" s="138">
        <v>1108</v>
      </c>
      <c r="H44" s="467" t="s">
        <v>84</v>
      </c>
      <c r="I44" s="467"/>
      <c r="J44" s="467"/>
      <c r="K44" s="467"/>
      <c r="L44" s="136">
        <v>1106</v>
      </c>
      <c r="O44"/>
      <c r="P44"/>
    </row>
    <row r="45" spans="1:16" ht="12.75">
      <c r="A45" s="463"/>
      <c r="B45" s="463"/>
      <c r="C45" s="137"/>
      <c r="D45" s="468"/>
      <c r="E45" s="468"/>
      <c r="F45" s="468"/>
      <c r="G45" s="138"/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1326</v>
      </c>
      <c r="D50" s="451" t="s">
        <v>3</v>
      </c>
      <c r="E50" s="451"/>
      <c r="F50" s="451"/>
      <c r="G50" s="141">
        <f>SUM(G43:G49)</f>
        <v>1176</v>
      </c>
      <c r="H50" s="452" t="s">
        <v>3</v>
      </c>
      <c r="I50" s="452"/>
      <c r="J50" s="452"/>
      <c r="K50" s="452"/>
      <c r="L50" s="141">
        <f>SUM(L43:L49)</f>
        <v>1576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/>
      <c r="B54" s="446"/>
      <c r="C54" s="233"/>
      <c r="D54" s="447" t="s">
        <v>117</v>
      </c>
      <c r="E54" s="447"/>
      <c r="F54" s="447"/>
      <c r="G54" s="142">
        <v>422</v>
      </c>
      <c r="H54" s="467" t="s">
        <v>117</v>
      </c>
      <c r="I54" s="467"/>
      <c r="J54" s="467"/>
      <c r="K54" s="467"/>
      <c r="L54" s="136">
        <v>450</v>
      </c>
      <c r="O54"/>
      <c r="P54"/>
    </row>
    <row r="55" spans="1:16" ht="13.5" customHeight="1">
      <c r="A55" s="418"/>
      <c r="B55" s="419"/>
      <c r="C55" s="234"/>
      <c r="D55" s="420"/>
      <c r="E55" s="420"/>
      <c r="F55" s="420"/>
      <c r="G55" s="143"/>
      <c r="H55" s="464"/>
      <c r="I55" s="464"/>
      <c r="J55" s="464"/>
      <c r="K55" s="464"/>
      <c r="L55" s="144"/>
      <c r="O55"/>
      <c r="P55"/>
    </row>
    <row r="56" spans="1:16" ht="13.5" customHeight="1">
      <c r="A56" s="418"/>
      <c r="B56" s="419"/>
      <c r="C56" s="234"/>
      <c r="D56" s="420"/>
      <c r="E56" s="420"/>
      <c r="F56" s="420"/>
      <c r="G56" s="143"/>
      <c r="H56" s="464"/>
      <c r="I56" s="464"/>
      <c r="J56" s="464"/>
      <c r="K56" s="464"/>
      <c r="L56" s="144"/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0</v>
      </c>
      <c r="D62" s="517" t="s">
        <v>3</v>
      </c>
      <c r="E62" s="517"/>
      <c r="F62" s="517"/>
      <c r="G62" s="149">
        <f>SUM(G54:G61)</f>
        <v>422</v>
      </c>
      <c r="H62" s="452" t="s">
        <v>3</v>
      </c>
      <c r="I62" s="452"/>
      <c r="J62" s="452"/>
      <c r="K62" s="452"/>
      <c r="L62" s="141">
        <f>SUM(L54:L61)</f>
        <v>450</v>
      </c>
      <c r="M62" s="20"/>
      <c r="N62" s="20"/>
      <c r="O62"/>
      <c r="P62"/>
    </row>
    <row r="63" spans="1:14" s="1" customFormat="1" ht="13.5" thickBo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26.25" customHeight="1" thickBot="1">
      <c r="A64" s="499" t="s">
        <v>509</v>
      </c>
      <c r="B64" s="500"/>
      <c r="C64" s="500"/>
      <c r="D64" s="500"/>
      <c r="E64" s="501"/>
      <c r="F64" s="502" t="s">
        <v>510</v>
      </c>
      <c r="G64" s="503"/>
      <c r="H64" s="503"/>
      <c r="I64" s="503"/>
      <c r="J64" s="503"/>
      <c r="K64" s="503"/>
      <c r="L64" s="504"/>
      <c r="M64" s="22"/>
      <c r="N64" s="22"/>
    </row>
    <row r="65" spans="1:14" s="1" customFormat="1" ht="14.25" customHeight="1" thickBot="1">
      <c r="A65" s="58" t="s">
        <v>68</v>
      </c>
      <c r="B65" s="59" t="s">
        <v>122</v>
      </c>
      <c r="C65" s="505" t="s">
        <v>69</v>
      </c>
      <c r="D65" s="505"/>
      <c r="E65" s="60" t="s">
        <v>123</v>
      </c>
      <c r="F65" s="506" t="s">
        <v>68</v>
      </c>
      <c r="G65" s="507"/>
      <c r="H65" s="59" t="s">
        <v>122</v>
      </c>
      <c r="I65" s="505" t="s">
        <v>69</v>
      </c>
      <c r="J65" s="505"/>
      <c r="K65" s="505"/>
      <c r="L65" s="61" t="s">
        <v>123</v>
      </c>
      <c r="M65" s="22"/>
      <c r="N65" s="22"/>
    </row>
    <row r="66" spans="1:14" s="1" customFormat="1" ht="12.75">
      <c r="A66" s="62" t="s">
        <v>126</v>
      </c>
      <c r="B66" s="56">
        <v>47</v>
      </c>
      <c r="C66" s="483" t="s">
        <v>129</v>
      </c>
      <c r="D66" s="483"/>
      <c r="E66" s="63">
        <v>0</v>
      </c>
      <c r="F66" s="484" t="s">
        <v>126</v>
      </c>
      <c r="G66" s="485"/>
      <c r="H66" s="56">
        <v>131</v>
      </c>
      <c r="I66" s="483" t="s">
        <v>129</v>
      </c>
      <c r="J66" s="485"/>
      <c r="K66" s="485"/>
      <c r="L66" s="63">
        <v>0</v>
      </c>
      <c r="M66" s="22"/>
      <c r="N66" s="22"/>
    </row>
    <row r="67" spans="1:14" s="1" customFormat="1" ht="12.75">
      <c r="A67" s="64" t="s">
        <v>124</v>
      </c>
      <c r="B67" s="57">
        <v>84</v>
      </c>
      <c r="C67" s="478"/>
      <c r="D67" s="478"/>
      <c r="E67" s="65"/>
      <c r="F67" s="486" t="s">
        <v>127</v>
      </c>
      <c r="G67" s="479"/>
      <c r="H67" s="57">
        <v>67.2</v>
      </c>
      <c r="I67" s="478"/>
      <c r="J67" s="479"/>
      <c r="K67" s="479"/>
      <c r="L67" s="65"/>
      <c r="M67" s="22"/>
      <c r="N67" s="22"/>
    </row>
    <row r="68" spans="1:14" s="1" customFormat="1" ht="12.75">
      <c r="A68" s="64" t="s">
        <v>125</v>
      </c>
      <c r="B68" s="57"/>
      <c r="C68" s="478"/>
      <c r="D68" s="478"/>
      <c r="E68" s="65"/>
      <c r="F68" s="478" t="s">
        <v>125</v>
      </c>
      <c r="G68" s="478"/>
      <c r="H68" s="57"/>
      <c r="I68" s="478"/>
      <c r="J68" s="479"/>
      <c r="K68" s="479"/>
      <c r="L68" s="65"/>
      <c r="M68" s="22"/>
      <c r="N68" s="22"/>
    </row>
    <row r="69" spans="1:14" s="1" customFormat="1" ht="13.5" thickBot="1">
      <c r="A69" s="68"/>
      <c r="B69" s="67"/>
      <c r="C69" s="480"/>
      <c r="D69" s="480"/>
      <c r="E69" s="69"/>
      <c r="F69" s="481"/>
      <c r="G69" s="482"/>
      <c r="H69" s="67"/>
      <c r="I69" s="480"/>
      <c r="J69" s="482"/>
      <c r="K69" s="482"/>
      <c r="L69" s="69"/>
      <c r="M69" s="22"/>
      <c r="N69" s="22"/>
    </row>
    <row r="70" spans="1:14" s="1" customFormat="1" ht="13.5" thickBot="1">
      <c r="A70" s="76" t="s">
        <v>3</v>
      </c>
      <c r="B70" s="77">
        <f>SUM(B66:B69)</f>
        <v>131</v>
      </c>
      <c r="C70" s="473" t="s">
        <v>3</v>
      </c>
      <c r="D70" s="473"/>
      <c r="E70" s="70">
        <f>SUM(E66:E69)</f>
        <v>0</v>
      </c>
      <c r="F70" s="474" t="s">
        <v>3</v>
      </c>
      <c r="G70" s="475"/>
      <c r="H70" s="66">
        <f>SUM(H66:H69)</f>
        <v>198.2</v>
      </c>
      <c r="I70" s="473" t="s">
        <v>3</v>
      </c>
      <c r="J70" s="475"/>
      <c r="K70" s="475"/>
      <c r="L70" s="70">
        <f>SUM(L66:L69)</f>
        <v>0</v>
      </c>
      <c r="M70" s="22"/>
      <c r="N70" s="22"/>
    </row>
    <row r="71" spans="1:14" s="1" customFormat="1" ht="13.5" thickBot="1">
      <c r="A71" s="78" t="s">
        <v>212</v>
      </c>
      <c r="B71" s="79">
        <f>B70-E70</f>
        <v>131</v>
      </c>
      <c r="C71" s="22"/>
      <c r="D71" s="22"/>
      <c r="E71" s="22"/>
      <c r="F71" s="476" t="s">
        <v>212</v>
      </c>
      <c r="G71" s="477"/>
      <c r="H71" s="80">
        <f>H70-L70</f>
        <v>198.2</v>
      </c>
      <c r="I71" s="22"/>
      <c r="J71" s="22"/>
      <c r="K71" s="22"/>
      <c r="L71" s="22"/>
      <c r="M71" s="22"/>
      <c r="N71" s="22"/>
    </row>
    <row r="72" spans="1:14" s="1" customFormat="1" ht="12.75">
      <c r="A72" s="239"/>
      <c r="B72" s="239"/>
      <c r="C72" s="22"/>
      <c r="D72" s="22"/>
      <c r="E72" s="22"/>
      <c r="F72" s="239"/>
      <c r="G72" s="239"/>
      <c r="H72" s="239"/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121379</v>
      </c>
      <c r="B80" s="30">
        <v>13368</v>
      </c>
      <c r="C80" s="73">
        <f>SUM(D80:I80)</f>
        <v>1941</v>
      </c>
      <c r="D80" s="74">
        <v>13</v>
      </c>
      <c r="E80" s="74">
        <v>822</v>
      </c>
      <c r="F80" s="74"/>
      <c r="G80" s="74"/>
      <c r="H80" s="73">
        <v>1106</v>
      </c>
      <c r="I80" s="81"/>
      <c r="J80" s="31">
        <f>SUM(A80-B80-C80)</f>
        <v>106070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1235</v>
      </c>
      <c r="C85" s="37" t="s">
        <v>71</v>
      </c>
      <c r="D85" s="38" t="s">
        <v>71</v>
      </c>
      <c r="E85" s="38" t="s">
        <v>71</v>
      </c>
      <c r="F85" s="330" t="s">
        <v>71</v>
      </c>
      <c r="G85" s="40">
        <v>1150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/>
      <c r="C86" s="43">
        <v>12</v>
      </c>
      <c r="D86" s="44">
        <v>21</v>
      </c>
      <c r="E86" s="44">
        <v>0</v>
      </c>
      <c r="F86" s="45">
        <f>C86+D86-E86</f>
        <v>33</v>
      </c>
      <c r="G86" s="46"/>
      <c r="H86" s="198">
        <f>+G86-F86</f>
        <v>-33</v>
      </c>
      <c r="I86" s="43">
        <v>33</v>
      </c>
      <c r="J86" s="44">
        <v>16</v>
      </c>
      <c r="K86" s="44">
        <v>40</v>
      </c>
      <c r="L86" s="45">
        <f>I86+J86-K86</f>
        <v>9</v>
      </c>
    </row>
    <row r="87" spans="1:12" s="1" customFormat="1" ht="12.75">
      <c r="A87" s="41" t="s">
        <v>73</v>
      </c>
      <c r="B87" s="42"/>
      <c r="C87" s="43">
        <v>47</v>
      </c>
      <c r="D87" s="44">
        <v>84</v>
      </c>
      <c r="E87" s="44">
        <v>0</v>
      </c>
      <c r="F87" s="45">
        <f>C87+D87-E87</f>
        <v>131</v>
      </c>
      <c r="G87" s="46"/>
      <c r="H87" s="198">
        <f>+G87-F87</f>
        <v>-131</v>
      </c>
      <c r="I87" s="395">
        <v>131</v>
      </c>
      <c r="J87" s="396">
        <v>67.2</v>
      </c>
      <c r="K87" s="396">
        <v>0</v>
      </c>
      <c r="L87" s="397">
        <f>I87+J87-K87</f>
        <v>198.2</v>
      </c>
    </row>
    <row r="88" spans="1:12" s="1" customFormat="1" ht="12.75">
      <c r="A88" s="41" t="s">
        <v>96</v>
      </c>
      <c r="B88" s="42"/>
      <c r="C88" s="43">
        <v>1077</v>
      </c>
      <c r="D88" s="44">
        <v>1982</v>
      </c>
      <c r="E88" s="44">
        <f>68+1108</f>
        <v>1176</v>
      </c>
      <c r="F88" s="45">
        <f>C88+D88-E88</f>
        <v>1883</v>
      </c>
      <c r="G88" s="46"/>
      <c r="H88" s="198">
        <f>+G88-F88</f>
        <v>-1883</v>
      </c>
      <c r="I88" s="206">
        <v>1883</v>
      </c>
      <c r="J88" s="196">
        <v>1941</v>
      </c>
      <c r="K88" s="196">
        <v>1576</v>
      </c>
      <c r="L88" s="45">
        <f>I88+J88-K88</f>
        <v>2248</v>
      </c>
    </row>
    <row r="89" spans="1:12" s="1" customFormat="1" ht="12.75">
      <c r="A89" s="41" t="s">
        <v>74</v>
      </c>
      <c r="B89" s="42">
        <v>1235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1150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213</v>
      </c>
      <c r="C90" s="49">
        <v>213</v>
      </c>
      <c r="D90" s="50">
        <v>166</v>
      </c>
      <c r="E90" s="50">
        <v>209</v>
      </c>
      <c r="F90" s="51">
        <f>C90+D90-E90</f>
        <v>170</v>
      </c>
      <c r="G90" s="52">
        <v>169</v>
      </c>
      <c r="H90" s="199">
        <f>+G90-F90</f>
        <v>-1</v>
      </c>
      <c r="I90" s="49">
        <v>170</v>
      </c>
      <c r="J90" s="50">
        <v>173</v>
      </c>
      <c r="K90" s="50">
        <v>253</v>
      </c>
      <c r="L90" s="51">
        <f>I90+J90-K90</f>
        <v>90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4</v>
      </c>
      <c r="C96" s="159"/>
      <c r="D96" s="159"/>
      <c r="E96" s="159"/>
      <c r="F96" s="159"/>
      <c r="G96" s="158"/>
      <c r="H96" s="160">
        <f>SUM(C96:G96)</f>
        <v>0</v>
      </c>
      <c r="I96" s="27"/>
      <c r="J96" s="161">
        <v>2006</v>
      </c>
      <c r="K96" s="162">
        <v>8307</v>
      </c>
      <c r="L96" s="163">
        <f>+G29</f>
        <v>8307</v>
      </c>
    </row>
    <row r="97" spans="1:12" ht="13.5" thickBot="1">
      <c r="A97" s="164" t="s">
        <v>83</v>
      </c>
      <c r="B97" s="165">
        <v>1276</v>
      </c>
      <c r="C97" s="166"/>
      <c r="D97" s="166"/>
      <c r="E97" s="166"/>
      <c r="F97" s="166"/>
      <c r="G97" s="165"/>
      <c r="H97" s="167">
        <f>SUM(C97:G97)</f>
        <v>0</v>
      </c>
      <c r="I97" s="27"/>
      <c r="J97" s="168">
        <v>2007</v>
      </c>
      <c r="K97" s="169">
        <f>L29</f>
        <v>9080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4</v>
      </c>
      <c r="D102" s="175">
        <f aca="true" t="shared" si="13" ref="D102:D112">+C102-B102</f>
        <v>0</v>
      </c>
      <c r="E102" s="175">
        <v>4</v>
      </c>
      <c r="F102" s="175">
        <v>4</v>
      </c>
      <c r="G102" s="176">
        <f aca="true" t="shared" si="14" ref="G102:G112">+F102-E102</f>
        <v>0</v>
      </c>
      <c r="H102" s="177">
        <v>18516</v>
      </c>
      <c r="I102" s="178">
        <v>20657</v>
      </c>
      <c r="J102" s="179">
        <f aca="true" t="shared" si="15" ref="J102:J112">+I102-H102</f>
        <v>2141</v>
      </c>
    </row>
    <row r="103" spans="1:10" ht="12.75">
      <c r="A103" s="174" t="s">
        <v>85</v>
      </c>
      <c r="B103" s="175">
        <v>7</v>
      </c>
      <c r="C103" s="175">
        <v>6.49</v>
      </c>
      <c r="D103" s="175">
        <f t="shared" si="13"/>
        <v>-0.5099999999999998</v>
      </c>
      <c r="E103" s="175">
        <v>7</v>
      </c>
      <c r="F103" s="175">
        <v>6.49</v>
      </c>
      <c r="G103" s="176">
        <f t="shared" si="14"/>
        <v>-0.5099999999999998</v>
      </c>
      <c r="H103" s="177">
        <v>17529</v>
      </c>
      <c r="I103" s="180">
        <v>18527</v>
      </c>
      <c r="J103" s="179">
        <f t="shared" si="15"/>
        <v>998</v>
      </c>
    </row>
    <row r="104" spans="1:10" ht="12.75">
      <c r="A104" s="174" t="s">
        <v>52</v>
      </c>
      <c r="B104" s="175"/>
      <c r="C104" s="175"/>
      <c r="D104" s="175">
        <f t="shared" si="13"/>
        <v>0</v>
      </c>
      <c r="E104" s="175"/>
      <c r="F104" s="175"/>
      <c r="G104" s="176">
        <f t="shared" si="14"/>
        <v>0</v>
      </c>
      <c r="H104" s="177"/>
      <c r="I104" s="180"/>
      <c r="J104" s="179">
        <f t="shared" si="15"/>
        <v>0</v>
      </c>
    </row>
    <row r="105" spans="1:10" ht="12.75">
      <c r="A105" s="174" t="s">
        <v>53</v>
      </c>
      <c r="B105" s="175">
        <v>4</v>
      </c>
      <c r="C105" s="175">
        <v>4</v>
      </c>
      <c r="D105" s="175">
        <f t="shared" si="13"/>
        <v>0</v>
      </c>
      <c r="E105" s="175">
        <v>4</v>
      </c>
      <c r="F105" s="175">
        <v>4</v>
      </c>
      <c r="G105" s="176">
        <f t="shared" si="14"/>
        <v>0</v>
      </c>
      <c r="H105" s="177">
        <v>11680</v>
      </c>
      <c r="I105" s="180">
        <v>13703</v>
      </c>
      <c r="J105" s="179">
        <f t="shared" si="15"/>
        <v>2023</v>
      </c>
    </row>
    <row r="106" spans="1:10" ht="12.75">
      <c r="A106" s="174" t="s">
        <v>86</v>
      </c>
      <c r="B106" s="175"/>
      <c r="C106" s="175"/>
      <c r="D106" s="175">
        <f t="shared" si="13"/>
        <v>0</v>
      </c>
      <c r="E106" s="175"/>
      <c r="F106" s="175"/>
      <c r="G106" s="176">
        <f t="shared" si="14"/>
        <v>0</v>
      </c>
      <c r="H106" s="177"/>
      <c r="I106" s="180"/>
      <c r="J106" s="179">
        <f t="shared" si="15"/>
        <v>0</v>
      </c>
    </row>
    <row r="107" spans="1:10" ht="12.75">
      <c r="A107" s="174" t="s">
        <v>54</v>
      </c>
      <c r="B107" s="175"/>
      <c r="C107" s="175"/>
      <c r="D107" s="175">
        <f t="shared" si="13"/>
        <v>0</v>
      </c>
      <c r="E107" s="175"/>
      <c r="F107" s="175"/>
      <c r="G107" s="176">
        <f t="shared" si="14"/>
        <v>0</v>
      </c>
      <c r="H107" s="177"/>
      <c r="I107" s="180"/>
      <c r="J107" s="179">
        <f t="shared" si="15"/>
        <v>0</v>
      </c>
    </row>
    <row r="108" spans="1:10" ht="12.75">
      <c r="A108" s="174" t="s">
        <v>55</v>
      </c>
      <c r="B108" s="175"/>
      <c r="C108" s="175"/>
      <c r="D108" s="175">
        <f t="shared" si="13"/>
        <v>0</v>
      </c>
      <c r="E108" s="175"/>
      <c r="F108" s="175"/>
      <c r="G108" s="176">
        <f t="shared" si="14"/>
        <v>0</v>
      </c>
      <c r="H108" s="177"/>
      <c r="I108" s="180"/>
      <c r="J108" s="179">
        <f t="shared" si="15"/>
        <v>0</v>
      </c>
    </row>
    <row r="109" spans="1:10" ht="12.75">
      <c r="A109" s="174" t="s">
        <v>56</v>
      </c>
      <c r="B109" s="175">
        <v>15</v>
      </c>
      <c r="C109" s="175">
        <v>16.19</v>
      </c>
      <c r="D109" s="175">
        <f t="shared" si="13"/>
        <v>1.1900000000000013</v>
      </c>
      <c r="E109" s="175">
        <v>15</v>
      </c>
      <c r="F109" s="175">
        <v>16.19</v>
      </c>
      <c r="G109" s="176">
        <f t="shared" si="14"/>
        <v>1.1900000000000013</v>
      </c>
      <c r="H109" s="177">
        <v>14370</v>
      </c>
      <c r="I109" s="180">
        <v>12436</v>
      </c>
      <c r="J109" s="179">
        <f t="shared" si="15"/>
        <v>-1934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3"/>
        <v>0</v>
      </c>
      <c r="E110" s="175">
        <v>1</v>
      </c>
      <c r="F110" s="175">
        <v>1</v>
      </c>
      <c r="G110" s="176">
        <f t="shared" si="14"/>
        <v>0</v>
      </c>
      <c r="H110" s="177">
        <v>15047</v>
      </c>
      <c r="I110" s="180">
        <v>15126</v>
      </c>
      <c r="J110" s="179">
        <f t="shared" si="15"/>
        <v>79</v>
      </c>
    </row>
    <row r="111" spans="1:10" ht="12.75">
      <c r="A111" s="174" t="s">
        <v>58</v>
      </c>
      <c r="B111" s="175">
        <v>20</v>
      </c>
      <c r="C111" s="175">
        <v>19.51</v>
      </c>
      <c r="D111" s="175">
        <f t="shared" si="13"/>
        <v>-0.48999999999999844</v>
      </c>
      <c r="E111" s="175">
        <v>20</v>
      </c>
      <c r="F111" s="175">
        <v>19.51</v>
      </c>
      <c r="G111" s="176">
        <f t="shared" si="14"/>
        <v>-0.48999999999999844</v>
      </c>
      <c r="H111" s="177">
        <v>10194</v>
      </c>
      <c r="I111" s="180">
        <v>11179</v>
      </c>
      <c r="J111" s="179">
        <f t="shared" si="15"/>
        <v>985</v>
      </c>
    </row>
    <row r="112" spans="1:10" ht="13.5" thickBot="1">
      <c r="A112" s="181" t="s">
        <v>3</v>
      </c>
      <c r="B112" s="182">
        <v>51</v>
      </c>
      <c r="C112" s="182">
        <f>SUM(C102:C111)</f>
        <v>51.19</v>
      </c>
      <c r="D112" s="182">
        <f t="shared" si="13"/>
        <v>0.18999999999999773</v>
      </c>
      <c r="E112" s="182">
        <v>51</v>
      </c>
      <c r="F112" s="182">
        <f>SUM(F102:F111)</f>
        <v>51.19</v>
      </c>
      <c r="G112" s="183">
        <f t="shared" si="14"/>
        <v>0.18999999999999773</v>
      </c>
      <c r="H112" s="184">
        <v>12866</v>
      </c>
      <c r="I112" s="185">
        <v>13523</v>
      </c>
      <c r="J112" s="186">
        <f t="shared" si="15"/>
        <v>657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52</v>
      </c>
      <c r="C116" s="163">
        <v>52</v>
      </c>
      <c r="D116" s="27"/>
      <c r="E116" s="161">
        <v>2006</v>
      </c>
      <c r="F116" s="416">
        <v>92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52</v>
      </c>
      <c r="C117" s="369" t="s">
        <v>508</v>
      </c>
      <c r="D117" s="27"/>
      <c r="E117" s="168">
        <v>2007</v>
      </c>
      <c r="F117" s="417">
        <v>92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H83:H84"/>
    <mergeCell ref="I83:L83"/>
    <mergeCell ref="A94:A95"/>
    <mergeCell ref="B94:B95"/>
    <mergeCell ref="C94:H94"/>
    <mergeCell ref="J94:L94"/>
    <mergeCell ref="A83:A84"/>
    <mergeCell ref="B83:B84"/>
    <mergeCell ref="C83:F83"/>
    <mergeCell ref="G83:G84"/>
    <mergeCell ref="L52:L53"/>
    <mergeCell ref="A62:B62"/>
    <mergeCell ref="D62:F62"/>
    <mergeCell ref="H62:K62"/>
    <mergeCell ref="C52:C53"/>
    <mergeCell ref="D52:F53"/>
    <mergeCell ref="G52:G53"/>
    <mergeCell ref="H52:K53"/>
    <mergeCell ref="A60:B60"/>
    <mergeCell ref="D60:F60"/>
    <mergeCell ref="L41:L42"/>
    <mergeCell ref="A50:B50"/>
    <mergeCell ref="D50:F50"/>
    <mergeCell ref="H50:K50"/>
    <mergeCell ref="A46:B46"/>
    <mergeCell ref="D46:F46"/>
    <mergeCell ref="H46:K46"/>
    <mergeCell ref="A47:B47"/>
    <mergeCell ref="D47:F47"/>
    <mergeCell ref="H47:K47"/>
    <mergeCell ref="B39:D39"/>
    <mergeCell ref="E39:G39"/>
    <mergeCell ref="A41:B42"/>
    <mergeCell ref="C41:C42"/>
    <mergeCell ref="D41:F42"/>
    <mergeCell ref="G41:G42"/>
    <mergeCell ref="B4:D4"/>
    <mergeCell ref="E4:G4"/>
    <mergeCell ref="J4:L4"/>
    <mergeCell ref="A3:A6"/>
    <mergeCell ref="B3:N3"/>
    <mergeCell ref="H4:I4"/>
    <mergeCell ref="M4:N4"/>
    <mergeCell ref="J77:J79"/>
    <mergeCell ref="L77:M77"/>
    <mergeCell ref="C78:C79"/>
    <mergeCell ref="D78:I78"/>
    <mergeCell ref="F71:G71"/>
    <mergeCell ref="A77:A79"/>
    <mergeCell ref="B77:B79"/>
    <mergeCell ref="C69:D69"/>
    <mergeCell ref="F69:G69"/>
    <mergeCell ref="C77:I77"/>
    <mergeCell ref="I69:K69"/>
    <mergeCell ref="C70:D70"/>
    <mergeCell ref="F70:G70"/>
    <mergeCell ref="I70:K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2:B53"/>
    <mergeCell ref="A48:B48"/>
    <mergeCell ref="D48:F48"/>
    <mergeCell ref="H48:K48"/>
    <mergeCell ref="A49:B49"/>
    <mergeCell ref="D49:F49"/>
    <mergeCell ref="H49:K49"/>
    <mergeCell ref="D44:F44"/>
    <mergeCell ref="H44:K44"/>
    <mergeCell ref="A45:B45"/>
    <mergeCell ref="D45:F45"/>
    <mergeCell ref="H45:K45"/>
    <mergeCell ref="B38:D38"/>
    <mergeCell ref="E38:G38"/>
    <mergeCell ref="J38:L38"/>
    <mergeCell ref="A64:E64"/>
    <mergeCell ref="F64:L64"/>
    <mergeCell ref="A43:B43"/>
    <mergeCell ref="D43:F43"/>
    <mergeCell ref="H43:K43"/>
    <mergeCell ref="H41:K42"/>
    <mergeCell ref="A44:B4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0">
      <selection activeCell="J22" sqref="J22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279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9698</v>
      </c>
      <c r="C8" s="14"/>
      <c r="D8" s="192">
        <f t="shared" si="0"/>
        <v>9698</v>
      </c>
      <c r="E8" s="15">
        <v>9785.46</v>
      </c>
      <c r="F8" s="14"/>
      <c r="G8" s="192">
        <f t="shared" si="1"/>
        <v>9785.46</v>
      </c>
      <c r="H8" s="220">
        <f t="shared" si="2"/>
        <v>87.45999999999913</v>
      </c>
      <c r="I8" s="223">
        <f aca="true" t="shared" si="5" ref="I8:I21">+G8/D8</f>
        <v>1.0090183542998556</v>
      </c>
      <c r="J8" s="15">
        <f>14342.48+1296</f>
        <v>15638.48</v>
      </c>
      <c r="K8" s="14"/>
      <c r="L8" s="192">
        <f t="shared" si="3"/>
        <v>15638.48</v>
      </c>
      <c r="M8" s="220">
        <f t="shared" si="4"/>
        <v>5853.02</v>
      </c>
      <c r="N8" s="221">
        <f aca="true" t="shared" si="6" ref="N8:N23">+L8/G8</f>
        <v>1.5981343748786465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152</v>
      </c>
      <c r="C11" s="14"/>
      <c r="D11" s="192">
        <f t="shared" si="0"/>
        <v>152</v>
      </c>
      <c r="E11" s="15">
        <v>221.45</v>
      </c>
      <c r="F11" s="14"/>
      <c r="G11" s="192">
        <f t="shared" si="1"/>
        <v>221.45</v>
      </c>
      <c r="H11" s="220">
        <f t="shared" si="2"/>
        <v>69.44999999999999</v>
      </c>
      <c r="I11" s="223">
        <f t="shared" si="5"/>
        <v>1.4569078947368421</v>
      </c>
      <c r="J11" s="15">
        <v>230</v>
      </c>
      <c r="K11" s="14"/>
      <c r="L11" s="192">
        <f t="shared" si="3"/>
        <v>230</v>
      </c>
      <c r="M11" s="220">
        <f t="shared" si="4"/>
        <v>8.550000000000011</v>
      </c>
      <c r="N11" s="221">
        <f t="shared" si="6"/>
        <v>1.0386091668548205</v>
      </c>
    </row>
    <row r="12" spans="1:14" ht="13.5" customHeight="1">
      <c r="A12" s="230" t="s">
        <v>13</v>
      </c>
      <c r="B12" s="15">
        <v>30</v>
      </c>
      <c r="C12" s="14"/>
      <c r="D12" s="192">
        <f t="shared" si="0"/>
        <v>30</v>
      </c>
      <c r="E12" s="15">
        <v>88.45</v>
      </c>
      <c r="F12" s="14"/>
      <c r="G12" s="192">
        <f t="shared" si="1"/>
        <v>88.45</v>
      </c>
      <c r="H12" s="220">
        <f t="shared" si="2"/>
        <v>58.45</v>
      </c>
      <c r="I12" s="223">
        <f t="shared" si="5"/>
        <v>2.9483333333333333</v>
      </c>
      <c r="J12" s="15">
        <v>50</v>
      </c>
      <c r="K12" s="14"/>
      <c r="L12" s="192">
        <f t="shared" si="3"/>
        <v>50</v>
      </c>
      <c r="M12" s="220">
        <f t="shared" si="4"/>
        <v>-38.45</v>
      </c>
      <c r="N12" s="221">
        <f t="shared" si="6"/>
        <v>0.5652911249293386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11293</v>
      </c>
      <c r="C15" s="14">
        <f>SUM(C16:C17)</f>
        <v>0</v>
      </c>
      <c r="D15" s="192">
        <f t="shared" si="0"/>
        <v>11293</v>
      </c>
      <c r="E15" s="15">
        <v>11940</v>
      </c>
      <c r="F15" s="14">
        <f>SUM(F16:F17)</f>
        <v>0</v>
      </c>
      <c r="G15" s="192">
        <f t="shared" si="1"/>
        <v>11940</v>
      </c>
      <c r="H15" s="220">
        <f t="shared" si="2"/>
        <v>647</v>
      </c>
      <c r="I15" s="223">
        <f t="shared" si="5"/>
        <v>1.0572921278668201</v>
      </c>
      <c r="J15" s="17">
        <f>SUM(J16:J17)</f>
        <v>10853</v>
      </c>
      <c r="K15" s="17">
        <f>SUM(K16:K17)</f>
        <v>0</v>
      </c>
      <c r="L15" s="192">
        <f t="shared" si="3"/>
        <v>10853</v>
      </c>
      <c r="M15" s="220">
        <f t="shared" si="4"/>
        <v>-1087</v>
      </c>
      <c r="N15" s="221">
        <f t="shared" si="6"/>
        <v>0.9089614740368509</v>
      </c>
    </row>
    <row r="16" spans="1:14" ht="13.5" customHeight="1">
      <c r="A16" s="231" t="s">
        <v>219</v>
      </c>
      <c r="B16" s="15">
        <v>11293</v>
      </c>
      <c r="C16" s="14"/>
      <c r="D16" s="192">
        <v>11293</v>
      </c>
      <c r="E16" s="15">
        <v>11940</v>
      </c>
      <c r="F16" s="14"/>
      <c r="G16" s="192">
        <f t="shared" si="1"/>
        <v>11940</v>
      </c>
      <c r="H16" s="220">
        <f t="shared" si="2"/>
        <v>647</v>
      </c>
      <c r="I16" s="223">
        <f t="shared" si="5"/>
        <v>1.0572921278668201</v>
      </c>
      <c r="J16" s="17">
        <f>1440+1500</f>
        <v>2940</v>
      </c>
      <c r="K16" s="14"/>
      <c r="L16" s="192">
        <f t="shared" si="3"/>
        <v>2940</v>
      </c>
      <c r="M16" s="220">
        <f t="shared" si="4"/>
        <v>-9000</v>
      </c>
      <c r="N16" s="221">
        <f t="shared" si="6"/>
        <v>0.24623115577889448</v>
      </c>
    </row>
    <row r="17" spans="1:14" ht="13.5" customHeight="1" thickBot="1">
      <c r="A17" s="232" t="s">
        <v>220</v>
      </c>
      <c r="B17" s="189">
        <v>0</v>
      </c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f>6332+1581</f>
        <v>7913</v>
      </c>
      <c r="K17" s="190"/>
      <c r="L17" s="193">
        <f t="shared" si="3"/>
        <v>7913</v>
      </c>
      <c r="M17" s="366">
        <f t="shared" si="4"/>
        <v>7913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21143</v>
      </c>
      <c r="C18" s="214">
        <f t="shared" si="7"/>
        <v>0</v>
      </c>
      <c r="D18" s="215">
        <f t="shared" si="7"/>
        <v>21143</v>
      </c>
      <c r="E18" s="213">
        <f t="shared" si="7"/>
        <v>21946.91</v>
      </c>
      <c r="F18" s="214">
        <f t="shared" si="7"/>
        <v>0</v>
      </c>
      <c r="G18" s="215">
        <f t="shared" si="7"/>
        <v>21946.91</v>
      </c>
      <c r="H18" s="217">
        <f t="shared" si="2"/>
        <v>803.9099999999999</v>
      </c>
      <c r="I18" s="132">
        <f t="shared" si="5"/>
        <v>1.0380225133613963</v>
      </c>
      <c r="J18" s="225">
        <f>SUM(J7+J8+J9+J10+J11+J13+J15)</f>
        <v>26721.48</v>
      </c>
      <c r="K18" s="214">
        <f>SUM(K7+K8+K9+K10+K11+K13+K15)</f>
        <v>0</v>
      </c>
      <c r="L18" s="215">
        <f>SUM(L7+L8+L9+L10+L11+L13+L15)</f>
        <v>26721.48</v>
      </c>
      <c r="M18" s="217">
        <f t="shared" si="4"/>
        <v>4774.57</v>
      </c>
      <c r="N18" s="226">
        <f t="shared" si="6"/>
        <v>1.21755089896482</v>
      </c>
    </row>
    <row r="19" spans="1:14" ht="13.5" customHeight="1">
      <c r="A19" s="120" t="s">
        <v>18</v>
      </c>
      <c r="B19" s="95">
        <v>4780</v>
      </c>
      <c r="C19" s="96"/>
      <c r="D19" s="97">
        <f aca="true" t="shared" si="8" ref="D19:D36">SUM(B19:C19)</f>
        <v>4780</v>
      </c>
      <c r="E19" s="95">
        <v>4930.16</v>
      </c>
      <c r="F19" s="96"/>
      <c r="G19" s="121">
        <f aca="true" t="shared" si="9" ref="G19:G36">SUM(E19:F19)</f>
        <v>4930.16</v>
      </c>
      <c r="H19" s="122">
        <f t="shared" si="2"/>
        <v>150.15999999999985</v>
      </c>
      <c r="I19" s="123">
        <f t="shared" si="5"/>
        <v>1.0314142259414225</v>
      </c>
      <c r="J19" s="100">
        <f>6244+1000</f>
        <v>7244</v>
      </c>
      <c r="K19" s="96"/>
      <c r="L19" s="124">
        <f aca="true" t="shared" si="10" ref="L19:L36">SUM(J19:K19)</f>
        <v>7244</v>
      </c>
      <c r="M19" s="122">
        <f t="shared" si="4"/>
        <v>2313.84</v>
      </c>
      <c r="N19" s="125">
        <f t="shared" si="6"/>
        <v>1.4693235107988383</v>
      </c>
    </row>
    <row r="20" spans="1:14" ht="21" customHeight="1">
      <c r="A20" s="106" t="s">
        <v>19</v>
      </c>
      <c r="B20" s="95">
        <v>799</v>
      </c>
      <c r="C20" s="96"/>
      <c r="D20" s="97">
        <f t="shared" si="8"/>
        <v>799</v>
      </c>
      <c r="E20" s="95">
        <v>1134</v>
      </c>
      <c r="F20" s="96"/>
      <c r="G20" s="121">
        <f t="shared" si="9"/>
        <v>1134</v>
      </c>
      <c r="H20" s="98">
        <f t="shared" si="2"/>
        <v>335</v>
      </c>
      <c r="I20" s="99">
        <f t="shared" si="5"/>
        <v>1.4192740926157696</v>
      </c>
      <c r="J20" s="100"/>
      <c r="K20" s="96"/>
      <c r="L20" s="124">
        <f t="shared" si="10"/>
        <v>0</v>
      </c>
      <c r="M20" s="98">
        <f t="shared" si="4"/>
        <v>-1134</v>
      </c>
      <c r="N20" s="101">
        <f t="shared" si="6"/>
        <v>0</v>
      </c>
    </row>
    <row r="21" spans="1:14" ht="13.5" customHeight="1">
      <c r="A21" s="102" t="s">
        <v>20</v>
      </c>
      <c r="B21" s="103">
        <v>1205</v>
      </c>
      <c r="C21" s="104"/>
      <c r="D21" s="97">
        <f t="shared" si="8"/>
        <v>1205</v>
      </c>
      <c r="E21" s="103">
        <v>1377</v>
      </c>
      <c r="F21" s="104"/>
      <c r="G21" s="121">
        <f t="shared" si="9"/>
        <v>1377</v>
      </c>
      <c r="H21" s="98">
        <f t="shared" si="2"/>
        <v>172</v>
      </c>
      <c r="I21" s="99">
        <f t="shared" si="5"/>
        <v>1.1427385892116182</v>
      </c>
      <c r="J21" s="105">
        <f>1832+500</f>
        <v>2332</v>
      </c>
      <c r="K21" s="104"/>
      <c r="L21" s="124">
        <f t="shared" si="10"/>
        <v>2332</v>
      </c>
      <c r="M21" s="98">
        <f t="shared" si="4"/>
        <v>955</v>
      </c>
      <c r="N21" s="101">
        <f t="shared" si="6"/>
        <v>1.693536673928831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193</v>
      </c>
      <c r="B23" s="103">
        <v>41</v>
      </c>
      <c r="C23" s="104"/>
      <c r="D23" s="97">
        <f t="shared" si="8"/>
        <v>41</v>
      </c>
      <c r="E23" s="103">
        <v>20</v>
      </c>
      <c r="F23" s="104"/>
      <c r="G23" s="121">
        <f t="shared" si="9"/>
        <v>20</v>
      </c>
      <c r="H23" s="98">
        <f t="shared" si="2"/>
        <v>-21</v>
      </c>
      <c r="I23" s="99"/>
      <c r="J23" s="105">
        <v>30</v>
      </c>
      <c r="K23" s="104"/>
      <c r="L23" s="124">
        <f t="shared" si="10"/>
        <v>30</v>
      </c>
      <c r="M23" s="98">
        <f t="shared" si="4"/>
        <v>10</v>
      </c>
      <c r="N23" s="101">
        <f t="shared" si="6"/>
        <v>1.5</v>
      </c>
    </row>
    <row r="24" spans="1:14" ht="13.5" customHeight="1">
      <c r="A24" s="102" t="s">
        <v>23</v>
      </c>
      <c r="B24" s="105">
        <v>1798</v>
      </c>
      <c r="C24" s="104"/>
      <c r="D24" s="97">
        <f t="shared" si="8"/>
        <v>1798</v>
      </c>
      <c r="E24" s="105">
        <v>1486</v>
      </c>
      <c r="F24" s="104"/>
      <c r="G24" s="121">
        <f t="shared" si="9"/>
        <v>1486</v>
      </c>
      <c r="H24" s="98">
        <f t="shared" si="2"/>
        <v>-312</v>
      </c>
      <c r="I24" s="99">
        <f aca="true" t="shared" si="11" ref="I24:I37">+G24/D24</f>
        <v>0.8264738598442715</v>
      </c>
      <c r="J24" s="105">
        <f>SUM(J25:J26)</f>
        <v>1900</v>
      </c>
      <c r="K24" s="104"/>
      <c r="L24" s="124">
        <f t="shared" si="10"/>
        <v>1900</v>
      </c>
      <c r="M24" s="98">
        <f t="shared" si="4"/>
        <v>414</v>
      </c>
      <c r="N24" s="101">
        <f aca="true" t="shared" si="12" ref="N24:N37">+L24/G24</f>
        <v>1.278600269179004</v>
      </c>
    </row>
    <row r="25" spans="1:14" ht="13.5" customHeight="1">
      <c r="A25" s="106" t="s">
        <v>24</v>
      </c>
      <c r="B25" s="103">
        <v>239</v>
      </c>
      <c r="C25" s="104"/>
      <c r="D25" s="97">
        <f t="shared" si="8"/>
        <v>239</v>
      </c>
      <c r="E25" s="103">
        <v>205</v>
      </c>
      <c r="F25" s="104"/>
      <c r="G25" s="121">
        <f t="shared" si="9"/>
        <v>205</v>
      </c>
      <c r="H25" s="98">
        <f t="shared" si="2"/>
        <v>-34</v>
      </c>
      <c r="I25" s="99">
        <f t="shared" si="11"/>
        <v>0.8577405857740585</v>
      </c>
      <c r="J25" s="126">
        <v>250</v>
      </c>
      <c r="K25" s="104"/>
      <c r="L25" s="124">
        <f t="shared" si="10"/>
        <v>250</v>
      </c>
      <c r="M25" s="98">
        <f t="shared" si="4"/>
        <v>45</v>
      </c>
      <c r="N25" s="101">
        <f t="shared" si="12"/>
        <v>1.2195121951219512</v>
      </c>
    </row>
    <row r="26" spans="1:14" ht="13.5" customHeight="1">
      <c r="A26" s="102" t="s">
        <v>25</v>
      </c>
      <c r="B26" s="103">
        <v>1559</v>
      </c>
      <c r="C26" s="104"/>
      <c r="D26" s="97">
        <f t="shared" si="8"/>
        <v>1559</v>
      </c>
      <c r="E26" s="103">
        <v>1281</v>
      </c>
      <c r="F26" s="104"/>
      <c r="G26" s="121">
        <f t="shared" si="9"/>
        <v>1281</v>
      </c>
      <c r="H26" s="98">
        <f t="shared" si="2"/>
        <v>-278</v>
      </c>
      <c r="I26" s="99">
        <f t="shared" si="11"/>
        <v>0.8216805644644003</v>
      </c>
      <c r="J26" s="126">
        <f>1150+500</f>
        <v>1650</v>
      </c>
      <c r="K26" s="104"/>
      <c r="L26" s="124">
        <f t="shared" si="10"/>
        <v>1650</v>
      </c>
      <c r="M26" s="98">
        <f t="shared" si="4"/>
        <v>369</v>
      </c>
      <c r="N26" s="101">
        <f t="shared" si="12"/>
        <v>1.288056206088993</v>
      </c>
    </row>
    <row r="27" spans="1:14" ht="13.5" customHeight="1">
      <c r="A27" s="127" t="s">
        <v>26</v>
      </c>
      <c r="B27" s="105">
        <v>12920</v>
      </c>
      <c r="C27" s="104"/>
      <c r="D27" s="97">
        <f t="shared" si="8"/>
        <v>12920</v>
      </c>
      <c r="E27" s="105">
        <v>13752</v>
      </c>
      <c r="F27" s="104"/>
      <c r="G27" s="121">
        <f t="shared" si="9"/>
        <v>13752</v>
      </c>
      <c r="H27" s="98">
        <f t="shared" si="2"/>
        <v>832</v>
      </c>
      <c r="I27" s="99">
        <f t="shared" si="11"/>
        <v>1.0643962848297213</v>
      </c>
      <c r="J27" s="105">
        <v>14800</v>
      </c>
      <c r="K27" s="104"/>
      <c r="L27" s="124">
        <f t="shared" si="10"/>
        <v>14800</v>
      </c>
      <c r="M27" s="98">
        <f t="shared" si="4"/>
        <v>1048</v>
      </c>
      <c r="N27" s="101">
        <f t="shared" si="12"/>
        <v>1.0762070971495055</v>
      </c>
    </row>
    <row r="28" spans="1:14" ht="13.5" customHeight="1">
      <c r="A28" s="106" t="s">
        <v>27</v>
      </c>
      <c r="B28" s="103">
        <v>9430</v>
      </c>
      <c r="C28" s="104"/>
      <c r="D28" s="97">
        <f t="shared" si="8"/>
        <v>9430</v>
      </c>
      <c r="E28" s="103">
        <v>10036</v>
      </c>
      <c r="F28" s="104"/>
      <c r="G28" s="121">
        <f t="shared" si="9"/>
        <v>10036</v>
      </c>
      <c r="H28" s="98">
        <f t="shared" si="2"/>
        <v>606</v>
      </c>
      <c r="I28" s="99">
        <f t="shared" si="11"/>
        <v>1.0642629904559915</v>
      </c>
      <c r="J28" s="126">
        <v>10800</v>
      </c>
      <c r="K28" s="128"/>
      <c r="L28" s="124">
        <f t="shared" si="10"/>
        <v>10800</v>
      </c>
      <c r="M28" s="98">
        <f t="shared" si="4"/>
        <v>764</v>
      </c>
      <c r="N28" s="101">
        <f t="shared" si="12"/>
        <v>1.076125946592268</v>
      </c>
    </row>
    <row r="29" spans="1:14" ht="13.5" customHeight="1">
      <c r="A29" s="127" t="s">
        <v>28</v>
      </c>
      <c r="B29" s="103">
        <v>9417</v>
      </c>
      <c r="C29" s="104"/>
      <c r="D29" s="97">
        <f t="shared" si="8"/>
        <v>9417</v>
      </c>
      <c r="E29" s="103">
        <v>10032</v>
      </c>
      <c r="F29" s="104"/>
      <c r="G29" s="121">
        <f t="shared" si="9"/>
        <v>10032</v>
      </c>
      <c r="H29" s="98">
        <f t="shared" si="2"/>
        <v>615</v>
      </c>
      <c r="I29" s="99">
        <f t="shared" si="11"/>
        <v>1.0653074227460975</v>
      </c>
      <c r="J29" s="105">
        <v>10796</v>
      </c>
      <c r="K29" s="104"/>
      <c r="L29" s="124">
        <f t="shared" si="10"/>
        <v>10796</v>
      </c>
      <c r="M29" s="98">
        <f t="shared" si="4"/>
        <v>764</v>
      </c>
      <c r="N29" s="101">
        <f t="shared" si="12"/>
        <v>1.0761562998405103</v>
      </c>
    </row>
    <row r="30" spans="1:14" ht="13.5" customHeight="1">
      <c r="A30" s="106" t="s">
        <v>29</v>
      </c>
      <c r="B30" s="103">
        <v>13</v>
      </c>
      <c r="C30" s="104"/>
      <c r="D30" s="97">
        <f t="shared" si="8"/>
        <v>13</v>
      </c>
      <c r="E30" s="103">
        <v>4</v>
      </c>
      <c r="F30" s="104"/>
      <c r="G30" s="121">
        <f t="shared" si="9"/>
        <v>4</v>
      </c>
      <c r="H30" s="98">
        <f t="shared" si="2"/>
        <v>-9</v>
      </c>
      <c r="I30" s="99">
        <f t="shared" si="11"/>
        <v>0.3076923076923077</v>
      </c>
      <c r="J30" s="105">
        <v>4</v>
      </c>
      <c r="K30" s="104"/>
      <c r="L30" s="124">
        <f t="shared" si="10"/>
        <v>4</v>
      </c>
      <c r="M30" s="98">
        <f t="shared" si="4"/>
        <v>0</v>
      </c>
      <c r="N30" s="101">
        <f t="shared" si="12"/>
        <v>1</v>
      </c>
    </row>
    <row r="31" spans="1:14" ht="13.5" customHeight="1">
      <c r="A31" s="106" t="s">
        <v>30</v>
      </c>
      <c r="B31" s="103">
        <v>3491</v>
      </c>
      <c r="C31" s="104"/>
      <c r="D31" s="97">
        <f t="shared" si="8"/>
        <v>3491</v>
      </c>
      <c r="E31" s="103">
        <v>3715</v>
      </c>
      <c r="F31" s="104"/>
      <c r="G31" s="121">
        <f t="shared" si="9"/>
        <v>3715</v>
      </c>
      <c r="H31" s="98">
        <f t="shared" si="2"/>
        <v>224</v>
      </c>
      <c r="I31" s="99">
        <f t="shared" si="11"/>
        <v>1.0641649957032369</v>
      </c>
      <c r="J31" s="105">
        <v>4000</v>
      </c>
      <c r="K31" s="104"/>
      <c r="L31" s="124">
        <f t="shared" si="10"/>
        <v>4000</v>
      </c>
      <c r="M31" s="98">
        <f t="shared" si="4"/>
        <v>285</v>
      </c>
      <c r="N31" s="101">
        <f t="shared" si="12"/>
        <v>1.0767160161507403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>
        <v>59</v>
      </c>
      <c r="F32" s="104"/>
      <c r="G32" s="121">
        <f t="shared" si="9"/>
        <v>59</v>
      </c>
      <c r="H32" s="98">
        <f t="shared" si="2"/>
        <v>59</v>
      </c>
      <c r="I32" s="99"/>
      <c r="J32" s="105"/>
      <c r="K32" s="104"/>
      <c r="L32" s="124">
        <f t="shared" si="10"/>
        <v>0</v>
      </c>
      <c r="M32" s="98">
        <f t="shared" si="4"/>
        <v>-59</v>
      </c>
      <c r="N32" s="101">
        <f t="shared" si="12"/>
        <v>0</v>
      </c>
    </row>
    <row r="33" spans="1:14" ht="13.5" customHeight="1">
      <c r="A33" s="127" t="s">
        <v>32</v>
      </c>
      <c r="B33" s="103">
        <v>106</v>
      </c>
      <c r="C33" s="104"/>
      <c r="D33" s="97">
        <f t="shared" si="8"/>
        <v>106</v>
      </c>
      <c r="E33" s="103">
        <v>101</v>
      </c>
      <c r="F33" s="104"/>
      <c r="G33" s="121">
        <f t="shared" si="9"/>
        <v>101</v>
      </c>
      <c r="H33" s="98">
        <f t="shared" si="2"/>
        <v>-5</v>
      </c>
      <c r="I33" s="99">
        <f t="shared" si="11"/>
        <v>0.9528301886792453</v>
      </c>
      <c r="J33" s="105">
        <v>200</v>
      </c>
      <c r="K33" s="104"/>
      <c r="L33" s="124">
        <f t="shared" si="10"/>
        <v>200</v>
      </c>
      <c r="M33" s="98">
        <f t="shared" si="4"/>
        <v>99</v>
      </c>
      <c r="N33" s="101">
        <f t="shared" si="12"/>
        <v>1.9801980198019802</v>
      </c>
    </row>
    <row r="34" spans="1:14" ht="13.5" customHeight="1">
      <c r="A34" s="106" t="s">
        <v>33</v>
      </c>
      <c r="B34" s="103">
        <v>192</v>
      </c>
      <c r="C34" s="104"/>
      <c r="D34" s="97">
        <f t="shared" si="8"/>
        <v>192</v>
      </c>
      <c r="E34" s="103">
        <v>205</v>
      </c>
      <c r="F34" s="104"/>
      <c r="G34" s="121">
        <f t="shared" si="9"/>
        <v>205</v>
      </c>
      <c r="H34" s="98">
        <f t="shared" si="2"/>
        <v>13</v>
      </c>
      <c r="I34" s="99">
        <f t="shared" si="11"/>
        <v>1.0677083333333333</v>
      </c>
      <c r="J34" s="126">
        <v>215</v>
      </c>
      <c r="K34" s="104"/>
      <c r="L34" s="124">
        <f t="shared" si="10"/>
        <v>215</v>
      </c>
      <c r="M34" s="98">
        <f t="shared" si="4"/>
        <v>10</v>
      </c>
      <c r="N34" s="101">
        <f t="shared" si="12"/>
        <v>1.048780487804878</v>
      </c>
    </row>
    <row r="35" spans="1:14" ht="22.5" customHeight="1">
      <c r="A35" s="106" t="s">
        <v>34</v>
      </c>
      <c r="B35" s="103">
        <v>177</v>
      </c>
      <c r="C35" s="104"/>
      <c r="D35" s="97">
        <f t="shared" si="8"/>
        <v>177</v>
      </c>
      <c r="E35" s="103">
        <v>188</v>
      </c>
      <c r="F35" s="104"/>
      <c r="G35" s="121">
        <f t="shared" si="9"/>
        <v>188</v>
      </c>
      <c r="H35" s="98">
        <f t="shared" si="2"/>
        <v>11</v>
      </c>
      <c r="I35" s="99">
        <f t="shared" si="11"/>
        <v>1.0621468926553672</v>
      </c>
      <c r="J35" s="126">
        <v>200</v>
      </c>
      <c r="K35" s="104"/>
      <c r="L35" s="124">
        <f t="shared" si="10"/>
        <v>200</v>
      </c>
      <c r="M35" s="98">
        <f t="shared" si="4"/>
        <v>12</v>
      </c>
      <c r="N35" s="101">
        <f t="shared" si="12"/>
        <v>1.0638297872340425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21042</v>
      </c>
      <c r="C37" s="114">
        <f t="shared" si="13"/>
        <v>0</v>
      </c>
      <c r="D37" s="115">
        <f t="shared" si="13"/>
        <v>21042</v>
      </c>
      <c r="E37" s="113">
        <f t="shared" si="13"/>
        <v>21930.16</v>
      </c>
      <c r="F37" s="114">
        <f t="shared" si="13"/>
        <v>0</v>
      </c>
      <c r="G37" s="115">
        <f t="shared" si="13"/>
        <v>21930.16</v>
      </c>
      <c r="H37" s="116">
        <f t="shared" si="2"/>
        <v>888.1599999999999</v>
      </c>
      <c r="I37" s="117">
        <f t="shared" si="11"/>
        <v>1.0422089155023286</v>
      </c>
      <c r="J37" s="118">
        <f>SUM(J19+J21+J22+J23+J24+J27+J32+J33+J34+J36)</f>
        <v>26721</v>
      </c>
      <c r="K37" s="114">
        <f>SUM(K19+K21+K22+K23+K24+K27+K32+K33+K34+K36)</f>
        <v>0</v>
      </c>
      <c r="L37" s="115">
        <f>SUM(L19+L21+L22+L23+L24+L27+L32+L33+L34+L36)</f>
        <v>26721</v>
      </c>
      <c r="M37" s="116">
        <f t="shared" si="4"/>
        <v>4790.84</v>
      </c>
      <c r="N37" s="119">
        <f t="shared" si="12"/>
        <v>1.2184589624517104</v>
      </c>
    </row>
    <row r="38" spans="1:14" ht="13.5" customHeight="1" thickBot="1">
      <c r="A38" s="112" t="s">
        <v>37</v>
      </c>
      <c r="B38" s="470">
        <f>+D18-D37</f>
        <v>101</v>
      </c>
      <c r="C38" s="470"/>
      <c r="D38" s="470"/>
      <c r="E38" s="471">
        <v>17.71</v>
      </c>
      <c r="F38" s="471"/>
      <c r="G38" s="471">
        <v>-50784</v>
      </c>
      <c r="H38" s="131">
        <f>+E38-B38</f>
        <v>-83.28999999999999</v>
      </c>
      <c r="I38" s="132"/>
      <c r="J38" s="472">
        <f>+L18-L37</f>
        <v>0.47999999999956344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>
        <v>101</v>
      </c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194</v>
      </c>
      <c r="B43" s="469"/>
      <c r="C43" s="134">
        <v>129</v>
      </c>
      <c r="D43" s="468" t="s">
        <v>89</v>
      </c>
      <c r="E43" s="468"/>
      <c r="F43" s="468"/>
      <c r="G43" s="135">
        <v>15</v>
      </c>
      <c r="H43" s="467" t="s">
        <v>280</v>
      </c>
      <c r="I43" s="467"/>
      <c r="J43" s="467"/>
      <c r="K43" s="467"/>
      <c r="L43" s="136">
        <v>15</v>
      </c>
      <c r="O43"/>
      <c r="P43"/>
    </row>
    <row r="44" spans="1:16" ht="12.75">
      <c r="A44" s="463"/>
      <c r="B44" s="463"/>
      <c r="C44" s="137"/>
      <c r="D44" s="468" t="s">
        <v>281</v>
      </c>
      <c r="E44" s="468"/>
      <c r="F44" s="468"/>
      <c r="G44" s="138">
        <v>104</v>
      </c>
      <c r="H44" s="467" t="s">
        <v>91</v>
      </c>
      <c r="I44" s="467"/>
      <c r="J44" s="467"/>
      <c r="K44" s="467"/>
      <c r="L44" s="136">
        <v>320</v>
      </c>
      <c r="O44"/>
      <c r="P44"/>
    </row>
    <row r="45" spans="1:16" ht="12.75">
      <c r="A45" s="463"/>
      <c r="B45" s="463"/>
      <c r="C45" s="137"/>
      <c r="D45" s="468" t="s">
        <v>282</v>
      </c>
      <c r="E45" s="468"/>
      <c r="F45" s="468"/>
      <c r="G45" s="138">
        <v>136</v>
      </c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129</v>
      </c>
      <c r="D50" s="451" t="s">
        <v>3</v>
      </c>
      <c r="E50" s="451"/>
      <c r="F50" s="451"/>
      <c r="G50" s="141">
        <f>SUM(G43:G49)</f>
        <v>255</v>
      </c>
      <c r="H50" s="452" t="s">
        <v>3</v>
      </c>
      <c r="I50" s="452"/>
      <c r="J50" s="452"/>
      <c r="K50" s="452"/>
      <c r="L50" s="141">
        <f>SUM(L43:L49)</f>
        <v>335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283</v>
      </c>
      <c r="B54" s="446"/>
      <c r="C54" s="233">
        <v>239</v>
      </c>
      <c r="D54" s="447" t="s">
        <v>284</v>
      </c>
      <c r="E54" s="447"/>
      <c r="F54" s="447"/>
      <c r="G54" s="142">
        <v>205</v>
      </c>
      <c r="H54" s="467" t="s">
        <v>520</v>
      </c>
      <c r="I54" s="467"/>
      <c r="J54" s="467"/>
      <c r="K54" s="467"/>
      <c r="L54" s="136">
        <v>250</v>
      </c>
      <c r="O54"/>
      <c r="P54"/>
    </row>
    <row r="55" spans="1:16" ht="13.5" customHeight="1">
      <c r="A55" s="418"/>
      <c r="B55" s="419"/>
      <c r="C55" s="234"/>
      <c r="D55" s="420"/>
      <c r="E55" s="420"/>
      <c r="F55" s="420"/>
      <c r="G55" s="143"/>
      <c r="H55" s="464"/>
      <c r="I55" s="464"/>
      <c r="J55" s="464"/>
      <c r="K55" s="464"/>
      <c r="L55" s="144"/>
      <c r="O55"/>
      <c r="P55"/>
    </row>
    <row r="56" spans="1:16" ht="13.5" customHeight="1">
      <c r="A56" s="418"/>
      <c r="B56" s="419"/>
      <c r="C56" s="234"/>
      <c r="D56" s="420"/>
      <c r="E56" s="420"/>
      <c r="F56" s="420"/>
      <c r="G56" s="143"/>
      <c r="H56" s="464"/>
      <c r="I56" s="464"/>
      <c r="J56" s="464"/>
      <c r="K56" s="464"/>
      <c r="L56" s="144"/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239</v>
      </c>
      <c r="D62" s="517" t="s">
        <v>3</v>
      </c>
      <c r="E62" s="517"/>
      <c r="F62" s="517"/>
      <c r="G62" s="149">
        <f>SUM(G54:G61)</f>
        <v>205</v>
      </c>
      <c r="H62" s="452" t="s">
        <v>3</v>
      </c>
      <c r="I62" s="452"/>
      <c r="J62" s="452"/>
      <c r="K62" s="452"/>
      <c r="L62" s="141">
        <f>SUM(L54:L61)</f>
        <v>250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0</v>
      </c>
      <c r="C67" s="483" t="s">
        <v>129</v>
      </c>
      <c r="D67" s="483"/>
      <c r="E67" s="63"/>
      <c r="F67" s="484" t="s">
        <v>126</v>
      </c>
      <c r="G67" s="485"/>
      <c r="H67" s="56">
        <v>81</v>
      </c>
      <c r="I67" s="483" t="s">
        <v>129</v>
      </c>
      <c r="J67" s="485"/>
      <c r="K67" s="485"/>
      <c r="L67" s="63">
        <v>98</v>
      </c>
      <c r="M67" s="22"/>
      <c r="N67" s="22"/>
    </row>
    <row r="68" spans="1:14" s="1" customFormat="1" ht="12.75">
      <c r="A68" s="64" t="s">
        <v>124</v>
      </c>
      <c r="B68" s="57">
        <v>81</v>
      </c>
      <c r="C68" s="478"/>
      <c r="D68" s="478"/>
      <c r="E68" s="65"/>
      <c r="F68" s="486" t="s">
        <v>127</v>
      </c>
      <c r="G68" s="479"/>
      <c r="H68" s="57">
        <v>17.71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81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98.71000000000001</v>
      </c>
      <c r="I71" s="473" t="s">
        <v>3</v>
      </c>
      <c r="J71" s="475"/>
      <c r="K71" s="475"/>
      <c r="L71" s="70">
        <f>SUM(L67:L70)</f>
        <v>98</v>
      </c>
      <c r="M71" s="22"/>
      <c r="N71" s="22"/>
    </row>
    <row r="72" spans="1:14" s="1" customFormat="1" ht="13.5" thickBot="1">
      <c r="A72" s="78" t="s">
        <v>212</v>
      </c>
      <c r="B72" s="79">
        <f>B71-E71</f>
        <v>81</v>
      </c>
      <c r="C72" s="22"/>
      <c r="D72" s="22"/>
      <c r="E72" s="22"/>
      <c r="F72" s="476" t="s">
        <v>212</v>
      </c>
      <c r="G72" s="477"/>
      <c r="H72" s="80">
        <f>H71-L71</f>
        <v>0.710000000000008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2998</v>
      </c>
      <c r="B80" s="30">
        <v>504</v>
      </c>
      <c r="C80" s="73">
        <v>215</v>
      </c>
      <c r="D80" s="74">
        <v>83</v>
      </c>
      <c r="E80" s="74">
        <v>117</v>
      </c>
      <c r="F80" s="74">
        <v>0</v>
      </c>
      <c r="G80" s="74">
        <v>0</v>
      </c>
      <c r="H80" s="73">
        <v>15</v>
      </c>
      <c r="I80" s="81">
        <v>0</v>
      </c>
      <c r="J80" s="31">
        <f>SUM(A80-B80-C80)</f>
        <v>2279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1482</v>
      </c>
      <c r="C85" s="37" t="s">
        <v>71</v>
      </c>
      <c r="D85" s="38" t="s">
        <v>71</v>
      </c>
      <c r="E85" s="38" t="s">
        <v>71</v>
      </c>
      <c r="F85" s="330" t="s">
        <v>71</v>
      </c>
      <c r="G85" s="40">
        <v>1227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21</v>
      </c>
      <c r="C86" s="43">
        <v>21</v>
      </c>
      <c r="D86" s="44">
        <v>21</v>
      </c>
      <c r="E86" s="44">
        <v>42</v>
      </c>
      <c r="F86" s="45">
        <f>C86+D86-E86</f>
        <v>0</v>
      </c>
      <c r="G86" s="46">
        <v>0</v>
      </c>
      <c r="H86" s="198">
        <f>+G86-F86</f>
        <v>0</v>
      </c>
      <c r="I86" s="43">
        <v>0</v>
      </c>
      <c r="J86" s="44">
        <v>0</v>
      </c>
      <c r="K86" s="44">
        <v>0</v>
      </c>
      <c r="L86" s="45">
        <f>I86+J86-K86</f>
        <v>0</v>
      </c>
    </row>
    <row r="87" spans="1:12" s="1" customFormat="1" ht="12.75">
      <c r="A87" s="41" t="s">
        <v>73</v>
      </c>
      <c r="B87" s="42">
        <v>0</v>
      </c>
      <c r="C87" s="43">
        <v>0</v>
      </c>
      <c r="D87" s="44">
        <v>81</v>
      </c>
      <c r="E87" s="44"/>
      <c r="F87" s="45">
        <f>C87+D87-E87</f>
        <v>81</v>
      </c>
      <c r="G87" s="46">
        <v>81</v>
      </c>
      <c r="H87" s="198">
        <f>+G87-F87</f>
        <v>0</v>
      </c>
      <c r="I87" s="395">
        <v>81</v>
      </c>
      <c r="J87" s="396">
        <v>17.71</v>
      </c>
      <c r="K87" s="396">
        <v>98</v>
      </c>
      <c r="L87" s="397">
        <f>I87+J87-K87</f>
        <v>0.710000000000008</v>
      </c>
    </row>
    <row r="88" spans="1:12" s="1" customFormat="1" ht="12.75">
      <c r="A88" s="41" t="s">
        <v>96</v>
      </c>
      <c r="B88" s="42">
        <v>155</v>
      </c>
      <c r="C88" s="43">
        <v>155</v>
      </c>
      <c r="D88" s="44">
        <v>205</v>
      </c>
      <c r="E88" s="44">
        <v>255</v>
      </c>
      <c r="F88" s="45">
        <f>C88+D88-E88</f>
        <v>105</v>
      </c>
      <c r="G88" s="46">
        <v>105</v>
      </c>
      <c r="H88" s="198">
        <f>+G88-F88</f>
        <v>0</v>
      </c>
      <c r="I88" s="206">
        <v>105</v>
      </c>
      <c r="J88" s="196">
        <v>313</v>
      </c>
      <c r="K88" s="196">
        <v>335</v>
      </c>
      <c r="L88" s="45">
        <f>I88+J88-K88</f>
        <v>83</v>
      </c>
    </row>
    <row r="89" spans="1:12" s="1" customFormat="1" ht="12.75">
      <c r="A89" s="41" t="s">
        <v>74</v>
      </c>
      <c r="B89" s="42">
        <v>1306</v>
      </c>
      <c r="C89" s="53" t="s">
        <v>71</v>
      </c>
      <c r="D89" s="38" t="s">
        <v>71</v>
      </c>
      <c r="E89" s="54" t="s">
        <v>71</v>
      </c>
      <c r="F89" s="55">
        <v>1041</v>
      </c>
      <c r="G89" s="46">
        <v>1041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184</v>
      </c>
      <c r="C90" s="49">
        <v>190</v>
      </c>
      <c r="D90" s="50">
        <v>201</v>
      </c>
      <c r="E90" s="50">
        <v>151</v>
      </c>
      <c r="F90" s="51">
        <f>C90+D90-E90</f>
        <v>240</v>
      </c>
      <c r="G90" s="52">
        <v>198</v>
      </c>
      <c r="H90" s="199">
        <f>+G90-F90</f>
        <v>-42</v>
      </c>
      <c r="I90" s="49">
        <v>240</v>
      </c>
      <c r="J90" s="50">
        <v>230</v>
      </c>
      <c r="K90" s="50">
        <v>190</v>
      </c>
      <c r="L90" s="51">
        <f>I90+J90-K90</f>
        <v>280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342</v>
      </c>
      <c r="C96" s="159">
        <v>175</v>
      </c>
      <c r="D96" s="159">
        <v>126</v>
      </c>
      <c r="E96" s="159">
        <v>3</v>
      </c>
      <c r="F96" s="159">
        <v>5</v>
      </c>
      <c r="G96" s="158">
        <v>3</v>
      </c>
      <c r="H96" s="160">
        <f>SUM(C96:G96)</f>
        <v>312</v>
      </c>
      <c r="I96" s="27"/>
      <c r="J96" s="161">
        <v>2006</v>
      </c>
      <c r="K96" s="162">
        <v>9993</v>
      </c>
      <c r="L96" s="163">
        <f>+G29</f>
        <v>10032</v>
      </c>
    </row>
    <row r="97" spans="1:12" ht="13.5" thickBot="1">
      <c r="A97" s="164" t="s">
        <v>83</v>
      </c>
      <c r="B97" s="165">
        <v>77</v>
      </c>
      <c r="C97" s="166">
        <v>77</v>
      </c>
      <c r="D97" s="166"/>
      <c r="E97" s="166"/>
      <c r="F97" s="166"/>
      <c r="G97" s="165"/>
      <c r="H97" s="167">
        <f>SUM(C97:G97)</f>
        <v>77</v>
      </c>
      <c r="I97" s="27"/>
      <c r="J97" s="168">
        <v>2007</v>
      </c>
      <c r="K97" s="169">
        <f>L29</f>
        <v>10796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4</v>
      </c>
      <c r="D102" s="175">
        <f aca="true" t="shared" si="14" ref="D102:D112">+C102-B102</f>
        <v>0</v>
      </c>
      <c r="E102" s="175">
        <v>4</v>
      </c>
      <c r="F102" s="175">
        <v>4</v>
      </c>
      <c r="G102" s="176">
        <f aca="true" t="shared" si="15" ref="G102:G112">+F102-E102</f>
        <v>0</v>
      </c>
      <c r="H102" s="177">
        <v>22312</v>
      </c>
      <c r="I102" s="178">
        <v>22208</v>
      </c>
      <c r="J102" s="179">
        <f aca="true" t="shared" si="16" ref="J102:J112">+I102-H102</f>
        <v>-104</v>
      </c>
    </row>
    <row r="103" spans="1:10" ht="12.75">
      <c r="A103" s="174" t="s">
        <v>85</v>
      </c>
      <c r="B103" s="175">
        <v>12.5</v>
      </c>
      <c r="C103" s="175"/>
      <c r="D103" s="175">
        <f t="shared" si="14"/>
        <v>-12.5</v>
      </c>
      <c r="E103" s="175">
        <v>13</v>
      </c>
      <c r="F103" s="175">
        <v>11.84</v>
      </c>
      <c r="G103" s="176">
        <f t="shared" si="15"/>
        <v>-1.1600000000000001</v>
      </c>
      <c r="H103" s="177">
        <v>12694</v>
      </c>
      <c r="I103" s="180">
        <v>11844</v>
      </c>
      <c r="J103" s="179">
        <f t="shared" si="16"/>
        <v>-850</v>
      </c>
    </row>
    <row r="104" spans="1:10" ht="12.75">
      <c r="A104" s="174" t="s">
        <v>52</v>
      </c>
      <c r="B104" s="175"/>
      <c r="C104" s="175"/>
      <c r="D104" s="175">
        <f t="shared" si="14"/>
        <v>0</v>
      </c>
      <c r="E104" s="175">
        <v>0</v>
      </c>
      <c r="F104" s="175"/>
      <c r="G104" s="176">
        <f t="shared" si="15"/>
        <v>0</v>
      </c>
      <c r="H104" s="177"/>
      <c r="I104" s="180"/>
      <c r="J104" s="179">
        <f t="shared" si="16"/>
        <v>0</v>
      </c>
    </row>
    <row r="105" spans="1:10" ht="12.75">
      <c r="A105" s="174" t="s">
        <v>53</v>
      </c>
      <c r="B105" s="175">
        <v>16.5</v>
      </c>
      <c r="C105" s="175"/>
      <c r="D105" s="175">
        <f t="shared" si="14"/>
        <v>-16.5</v>
      </c>
      <c r="E105" s="175">
        <v>16</v>
      </c>
      <c r="F105" s="175">
        <v>18.37</v>
      </c>
      <c r="G105" s="176">
        <f t="shared" si="15"/>
        <v>2.370000000000001</v>
      </c>
      <c r="H105" s="177">
        <v>9470</v>
      </c>
      <c r="I105" s="180">
        <v>12200</v>
      </c>
      <c r="J105" s="179">
        <f t="shared" si="16"/>
        <v>2730</v>
      </c>
    </row>
    <row r="106" spans="1:10" ht="12.75">
      <c r="A106" s="174" t="s">
        <v>196</v>
      </c>
      <c r="B106" s="175">
        <v>1</v>
      </c>
      <c r="C106" s="175"/>
      <c r="D106" s="175">
        <f t="shared" si="14"/>
        <v>-1</v>
      </c>
      <c r="E106" s="175">
        <v>1</v>
      </c>
      <c r="F106" s="175">
        <v>1</v>
      </c>
      <c r="G106" s="176">
        <f t="shared" si="15"/>
        <v>0</v>
      </c>
      <c r="H106" s="177">
        <v>8058</v>
      </c>
      <c r="I106" s="180">
        <v>10143</v>
      </c>
      <c r="J106" s="179">
        <f t="shared" si="16"/>
        <v>2085</v>
      </c>
    </row>
    <row r="107" spans="1:10" ht="12.75">
      <c r="A107" s="174" t="s">
        <v>189</v>
      </c>
      <c r="B107" s="175">
        <v>1</v>
      </c>
      <c r="C107" s="175"/>
      <c r="D107" s="175">
        <f t="shared" si="14"/>
        <v>-1</v>
      </c>
      <c r="E107" s="175">
        <v>1</v>
      </c>
      <c r="F107" s="175">
        <v>1</v>
      </c>
      <c r="G107" s="176">
        <f t="shared" si="15"/>
        <v>0</v>
      </c>
      <c r="H107" s="177">
        <v>14790</v>
      </c>
      <c r="I107" s="180">
        <v>15446</v>
      </c>
      <c r="J107" s="179">
        <f t="shared" si="16"/>
        <v>656</v>
      </c>
    </row>
    <row r="108" spans="1:10" ht="12.75">
      <c r="A108" s="174" t="s">
        <v>285</v>
      </c>
      <c r="B108" s="175">
        <v>7.5</v>
      </c>
      <c r="C108" s="175"/>
      <c r="D108" s="175">
        <f t="shared" si="14"/>
        <v>-7.5</v>
      </c>
      <c r="E108" s="175">
        <v>7.2</v>
      </c>
      <c r="F108" s="175">
        <v>7</v>
      </c>
      <c r="G108" s="176">
        <f t="shared" si="15"/>
        <v>-0.20000000000000018</v>
      </c>
      <c r="H108" s="177">
        <v>16804</v>
      </c>
      <c r="I108" s="180">
        <v>16155</v>
      </c>
      <c r="J108" s="179">
        <f t="shared" si="16"/>
        <v>-649</v>
      </c>
    </row>
    <row r="109" spans="1:10" ht="12.75">
      <c r="A109" s="174" t="s">
        <v>56</v>
      </c>
      <c r="B109" s="175">
        <v>0</v>
      </c>
      <c r="C109" s="175"/>
      <c r="D109" s="175">
        <f t="shared" si="14"/>
        <v>0</v>
      </c>
      <c r="E109" s="175">
        <v>0</v>
      </c>
      <c r="F109" s="175"/>
      <c r="G109" s="176">
        <f t="shared" si="15"/>
        <v>0</v>
      </c>
      <c r="H109" s="177"/>
      <c r="I109" s="180"/>
      <c r="J109" s="179">
        <f t="shared" si="16"/>
        <v>0</v>
      </c>
    </row>
    <row r="110" spans="1:10" ht="12.75">
      <c r="A110" s="174" t="s">
        <v>57</v>
      </c>
      <c r="B110" s="175">
        <v>2</v>
      </c>
      <c r="C110" s="175"/>
      <c r="D110" s="175">
        <f t="shared" si="14"/>
        <v>-2</v>
      </c>
      <c r="E110" s="175">
        <v>2</v>
      </c>
      <c r="F110" s="175">
        <v>2</v>
      </c>
      <c r="G110" s="176">
        <f t="shared" si="15"/>
        <v>0</v>
      </c>
      <c r="H110" s="177">
        <v>11955</v>
      </c>
      <c r="I110" s="180">
        <v>15107</v>
      </c>
      <c r="J110" s="179">
        <f t="shared" si="16"/>
        <v>3152</v>
      </c>
    </row>
    <row r="111" spans="1:10" ht="12.75">
      <c r="A111" s="174" t="s">
        <v>58</v>
      </c>
      <c r="B111" s="175">
        <v>13.7</v>
      </c>
      <c r="C111" s="175"/>
      <c r="D111" s="175">
        <f t="shared" si="14"/>
        <v>-13.7</v>
      </c>
      <c r="E111" s="175">
        <v>13.7</v>
      </c>
      <c r="F111" s="175">
        <v>12.179</v>
      </c>
      <c r="G111" s="176">
        <f t="shared" si="15"/>
        <v>-1.520999999999999</v>
      </c>
      <c r="H111" s="177">
        <v>9736</v>
      </c>
      <c r="I111" s="180">
        <v>10745</v>
      </c>
      <c r="J111" s="179">
        <f t="shared" si="16"/>
        <v>1009</v>
      </c>
    </row>
    <row r="112" spans="1:10" ht="13.5" thickBot="1">
      <c r="A112" s="181" t="s">
        <v>3</v>
      </c>
      <c r="B112" s="182">
        <f>SUM(B102:B111)</f>
        <v>58.2</v>
      </c>
      <c r="C112" s="182">
        <f>SUM(C102:C111)</f>
        <v>4</v>
      </c>
      <c r="D112" s="182">
        <f t="shared" si="14"/>
        <v>-54.2</v>
      </c>
      <c r="E112" s="182">
        <f>SUM(E102:E111)</f>
        <v>57.900000000000006</v>
      </c>
      <c r="F112" s="182">
        <f>SUM(F102:F111)</f>
        <v>57.389</v>
      </c>
      <c r="G112" s="183">
        <f t="shared" si="15"/>
        <v>-0.5110000000000028</v>
      </c>
      <c r="H112" s="184"/>
      <c r="I112" s="185"/>
      <c r="J112" s="186">
        <f t="shared" si="16"/>
        <v>0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60</v>
      </c>
      <c r="C116" s="163">
        <v>59</v>
      </c>
      <c r="D116" s="27"/>
      <c r="E116" s="161">
        <v>2006</v>
      </c>
      <c r="F116" s="416">
        <v>135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61</v>
      </c>
      <c r="C117" s="369" t="s">
        <v>508</v>
      </c>
      <c r="D117" s="27"/>
      <c r="E117" s="168">
        <v>2007</v>
      </c>
      <c r="F117" s="417">
        <v>135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C94:H94"/>
    <mergeCell ref="J94:L94"/>
    <mergeCell ref="H83:H84"/>
    <mergeCell ref="I83:L83"/>
    <mergeCell ref="J77:J79"/>
    <mergeCell ref="L77:M77"/>
    <mergeCell ref="C78:C79"/>
    <mergeCell ref="D78:I78"/>
    <mergeCell ref="B4:D4"/>
    <mergeCell ref="E4:G4"/>
    <mergeCell ref="J4:L4"/>
    <mergeCell ref="A3:A6"/>
    <mergeCell ref="B3:N3"/>
    <mergeCell ref="H4:I4"/>
    <mergeCell ref="M4:N4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D59:F59"/>
    <mergeCell ref="H59:K59"/>
    <mergeCell ref="A60:B60"/>
    <mergeCell ref="D60:F60"/>
    <mergeCell ref="H60:K60"/>
    <mergeCell ref="A59:B59"/>
    <mergeCell ref="A61:B61"/>
    <mergeCell ref="D61:F61"/>
    <mergeCell ref="H61:K61"/>
    <mergeCell ref="A62:B62"/>
    <mergeCell ref="D62:F62"/>
    <mergeCell ref="H62:K62"/>
    <mergeCell ref="F72:G72"/>
    <mergeCell ref="A94:A95"/>
    <mergeCell ref="A83:A84"/>
    <mergeCell ref="B83:B84"/>
    <mergeCell ref="C83:F83"/>
    <mergeCell ref="G83:G84"/>
    <mergeCell ref="A77:A79"/>
    <mergeCell ref="B77:B79"/>
    <mergeCell ref="C77:I77"/>
    <mergeCell ref="B94:B95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Normal="90" zoomScaleSheetLayoutView="100" workbookViewId="0" topLeftCell="A13">
      <selection activeCell="J16" sqref="J1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/>
      <c r="C8" s="14"/>
      <c r="D8" s="192">
        <f t="shared" si="0"/>
        <v>0</v>
      </c>
      <c r="E8" s="15"/>
      <c r="F8" s="14"/>
      <c r="G8" s="192">
        <f t="shared" si="1"/>
        <v>0</v>
      </c>
      <c r="H8" s="220">
        <f t="shared" si="2"/>
        <v>0</v>
      </c>
      <c r="I8" s="223"/>
      <c r="J8" s="15"/>
      <c r="K8" s="14"/>
      <c r="L8" s="192">
        <f t="shared" si="3"/>
        <v>0</v>
      </c>
      <c r="M8" s="220">
        <f t="shared" si="4"/>
        <v>0</v>
      </c>
      <c r="N8" s="221"/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16</v>
      </c>
      <c r="C11" s="14"/>
      <c r="D11" s="192">
        <f t="shared" si="0"/>
        <v>16</v>
      </c>
      <c r="E11" s="15">
        <v>19</v>
      </c>
      <c r="F11" s="14"/>
      <c r="G11" s="192">
        <f t="shared" si="1"/>
        <v>19</v>
      </c>
      <c r="H11" s="220">
        <f t="shared" si="2"/>
        <v>3</v>
      </c>
      <c r="I11" s="223">
        <f aca="true" t="shared" si="5" ref="I11:I21">+G11/D11</f>
        <v>1.1875</v>
      </c>
      <c r="J11" s="15">
        <v>12</v>
      </c>
      <c r="K11" s="14"/>
      <c r="L11" s="192">
        <f t="shared" si="3"/>
        <v>12</v>
      </c>
      <c r="M11" s="220">
        <f t="shared" si="4"/>
        <v>-7</v>
      </c>
      <c r="N11" s="221">
        <f aca="true" t="shared" si="6" ref="N11:N21">+L11/G11</f>
        <v>0.631578947368421</v>
      </c>
    </row>
    <row r="12" spans="1:14" ht="13.5" customHeight="1">
      <c r="A12" s="230" t="s">
        <v>13</v>
      </c>
      <c r="B12" s="15">
        <v>10</v>
      </c>
      <c r="C12" s="14"/>
      <c r="D12" s="192">
        <f t="shared" si="0"/>
        <v>10</v>
      </c>
      <c r="E12" s="15">
        <v>10</v>
      </c>
      <c r="F12" s="14"/>
      <c r="G12" s="192">
        <f t="shared" si="1"/>
        <v>10</v>
      </c>
      <c r="H12" s="220">
        <f t="shared" si="2"/>
        <v>0</v>
      </c>
      <c r="I12" s="223">
        <f t="shared" si="5"/>
        <v>1</v>
      </c>
      <c r="J12" s="15">
        <v>0</v>
      </c>
      <c r="K12" s="14"/>
      <c r="L12" s="192">
        <f t="shared" si="3"/>
        <v>0</v>
      </c>
      <c r="M12" s="220">
        <f t="shared" si="4"/>
        <v>-10</v>
      </c>
      <c r="N12" s="221">
        <f t="shared" si="6"/>
        <v>0</v>
      </c>
    </row>
    <row r="13" spans="1:14" ht="13.5" customHeight="1">
      <c r="A13" s="230" t="s">
        <v>470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>
        <v>554</v>
      </c>
      <c r="K13" s="14"/>
      <c r="L13" s="192">
        <f t="shared" si="3"/>
        <v>554</v>
      </c>
      <c r="M13" s="220">
        <f t="shared" si="4"/>
        <v>554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5076</v>
      </c>
      <c r="C15" s="14">
        <f>SUM(C16:C17)</f>
        <v>0</v>
      </c>
      <c r="D15" s="192">
        <f t="shared" si="0"/>
        <v>5076</v>
      </c>
      <c r="E15" s="15">
        <f>SUM(E16:E17)</f>
        <v>5462</v>
      </c>
      <c r="F15" s="14">
        <f>SUM(F16:F17)</f>
        <v>0</v>
      </c>
      <c r="G15" s="192">
        <f t="shared" si="1"/>
        <v>5462</v>
      </c>
      <c r="H15" s="220">
        <f t="shared" si="2"/>
        <v>386</v>
      </c>
      <c r="I15" s="223">
        <f t="shared" si="5"/>
        <v>1.0760441292356187</v>
      </c>
      <c r="J15" s="17">
        <f>SUM(J16:J17)</f>
        <v>5792</v>
      </c>
      <c r="K15" s="17">
        <f>SUM(K16:K17)</f>
        <v>0</v>
      </c>
      <c r="L15" s="192">
        <f t="shared" si="3"/>
        <v>5792</v>
      </c>
      <c r="M15" s="220">
        <f t="shared" si="4"/>
        <v>330</v>
      </c>
      <c r="N15" s="221">
        <f t="shared" si="6"/>
        <v>1.0604174295129989</v>
      </c>
    </row>
    <row r="16" spans="1:14" ht="13.5" customHeight="1">
      <c r="A16" s="231" t="s">
        <v>219</v>
      </c>
      <c r="B16" s="15">
        <v>5076</v>
      </c>
      <c r="C16" s="14"/>
      <c r="D16" s="192">
        <v>5076</v>
      </c>
      <c r="E16" s="15">
        <v>5280</v>
      </c>
      <c r="F16" s="14"/>
      <c r="G16" s="192">
        <f t="shared" si="1"/>
        <v>5280</v>
      </c>
      <c r="H16" s="220">
        <f t="shared" si="2"/>
        <v>204</v>
      </c>
      <c r="I16" s="223">
        <f t="shared" si="5"/>
        <v>1.0401891252955082</v>
      </c>
      <c r="J16" s="17">
        <v>635</v>
      </c>
      <c r="K16" s="14"/>
      <c r="L16" s="192">
        <f t="shared" si="3"/>
        <v>635</v>
      </c>
      <c r="M16" s="220">
        <f t="shared" si="4"/>
        <v>-4645</v>
      </c>
      <c r="N16" s="221">
        <f t="shared" si="6"/>
        <v>0.12026515151515152</v>
      </c>
    </row>
    <row r="17" spans="1:14" ht="13.5" customHeight="1" thickBot="1">
      <c r="A17" s="232" t="s">
        <v>220</v>
      </c>
      <c r="B17" s="189">
        <v>0</v>
      </c>
      <c r="C17" s="190"/>
      <c r="D17" s="193">
        <v>0</v>
      </c>
      <c r="E17" s="189">
        <v>182</v>
      </c>
      <c r="F17" s="190"/>
      <c r="G17" s="193">
        <f t="shared" si="1"/>
        <v>182</v>
      </c>
      <c r="H17" s="366">
        <f t="shared" si="2"/>
        <v>182</v>
      </c>
      <c r="I17" s="370"/>
      <c r="J17" s="194">
        <f>4608+549</f>
        <v>5157</v>
      </c>
      <c r="K17" s="190"/>
      <c r="L17" s="193">
        <f t="shared" si="3"/>
        <v>5157</v>
      </c>
      <c r="M17" s="366">
        <f t="shared" si="4"/>
        <v>4975</v>
      </c>
      <c r="N17" s="367">
        <f t="shared" si="6"/>
        <v>28.335164835164836</v>
      </c>
    </row>
    <row r="18" spans="1:14" ht="13.5" customHeight="1" thickBot="1">
      <c r="A18" s="209" t="s">
        <v>17</v>
      </c>
      <c r="B18" s="213">
        <f aca="true" t="shared" si="7" ref="B18:G18">SUM(B7+B8+B9+B10+B11+B13+B15)</f>
        <v>5092</v>
      </c>
      <c r="C18" s="214">
        <f t="shared" si="7"/>
        <v>0</v>
      </c>
      <c r="D18" s="215">
        <f t="shared" si="7"/>
        <v>5092</v>
      </c>
      <c r="E18" s="213">
        <f t="shared" si="7"/>
        <v>5481</v>
      </c>
      <c r="F18" s="214">
        <f t="shared" si="7"/>
        <v>0</v>
      </c>
      <c r="G18" s="215">
        <f t="shared" si="7"/>
        <v>5481</v>
      </c>
      <c r="H18" s="217">
        <f t="shared" si="2"/>
        <v>389</v>
      </c>
      <c r="I18" s="132">
        <f t="shared" si="5"/>
        <v>1.0763943440691282</v>
      </c>
      <c r="J18" s="225">
        <f>SUM(J7+J8+J9+J10+J11+J13+J15)</f>
        <v>6358</v>
      </c>
      <c r="K18" s="214">
        <f>SUM(K7+K8+K9+K10+K11+K13+K15)</f>
        <v>0</v>
      </c>
      <c r="L18" s="215">
        <f>SUM(L7+L8+L9+L10+L11+L13+L15)</f>
        <v>6358</v>
      </c>
      <c r="M18" s="217">
        <f t="shared" si="4"/>
        <v>877</v>
      </c>
      <c r="N18" s="226">
        <f t="shared" si="6"/>
        <v>1.1600072979383325</v>
      </c>
    </row>
    <row r="19" spans="1:14" ht="13.5" customHeight="1">
      <c r="A19" s="120" t="s">
        <v>18</v>
      </c>
      <c r="B19" s="95">
        <v>247</v>
      </c>
      <c r="C19" s="96"/>
      <c r="D19" s="97">
        <f aca="true" t="shared" si="8" ref="D19:D36">SUM(B19:C19)</f>
        <v>247</v>
      </c>
      <c r="E19" s="95">
        <v>250</v>
      </c>
      <c r="F19" s="96"/>
      <c r="G19" s="121">
        <f aca="true" t="shared" si="9" ref="G19:G36">SUM(E19:F19)</f>
        <v>250</v>
      </c>
      <c r="H19" s="122">
        <f t="shared" si="2"/>
        <v>3</v>
      </c>
      <c r="I19" s="123">
        <f t="shared" si="5"/>
        <v>1.0121457489878543</v>
      </c>
      <c r="J19" s="100">
        <v>127</v>
      </c>
      <c r="K19" s="96"/>
      <c r="L19" s="124">
        <f aca="true" t="shared" si="10" ref="L19:L36">SUM(J19:K19)</f>
        <v>127</v>
      </c>
      <c r="M19" s="122">
        <f t="shared" si="4"/>
        <v>-123</v>
      </c>
      <c r="N19" s="125">
        <f t="shared" si="6"/>
        <v>0.508</v>
      </c>
    </row>
    <row r="20" spans="1:14" ht="21" customHeight="1">
      <c r="A20" s="106" t="s">
        <v>19</v>
      </c>
      <c r="B20" s="95">
        <v>134</v>
      </c>
      <c r="C20" s="96"/>
      <c r="D20" s="97">
        <f t="shared" si="8"/>
        <v>134</v>
      </c>
      <c r="E20" s="95">
        <v>152</v>
      </c>
      <c r="F20" s="96"/>
      <c r="G20" s="121">
        <f t="shared" si="9"/>
        <v>152</v>
      </c>
      <c r="H20" s="98">
        <f t="shared" si="2"/>
        <v>18</v>
      </c>
      <c r="I20" s="99">
        <f t="shared" si="5"/>
        <v>1.1343283582089552</v>
      </c>
      <c r="J20" s="100">
        <v>53</v>
      </c>
      <c r="K20" s="96"/>
      <c r="L20" s="124">
        <f t="shared" si="10"/>
        <v>53</v>
      </c>
      <c r="M20" s="98">
        <f t="shared" si="4"/>
        <v>-99</v>
      </c>
      <c r="N20" s="101">
        <f t="shared" si="6"/>
        <v>0.34868421052631576</v>
      </c>
    </row>
    <row r="21" spans="1:14" ht="13.5" customHeight="1">
      <c r="A21" s="102" t="s">
        <v>20</v>
      </c>
      <c r="B21" s="103">
        <v>162</v>
      </c>
      <c r="C21" s="104"/>
      <c r="D21" s="97">
        <f t="shared" si="8"/>
        <v>162</v>
      </c>
      <c r="E21" s="103">
        <v>165</v>
      </c>
      <c r="F21" s="104"/>
      <c r="G21" s="121">
        <f t="shared" si="9"/>
        <v>165</v>
      </c>
      <c r="H21" s="98">
        <f t="shared" si="2"/>
        <v>3</v>
      </c>
      <c r="I21" s="99">
        <f t="shared" si="5"/>
        <v>1.0185185185185186</v>
      </c>
      <c r="J21" s="105">
        <v>206</v>
      </c>
      <c r="K21" s="104"/>
      <c r="L21" s="124">
        <f t="shared" si="10"/>
        <v>206</v>
      </c>
      <c r="M21" s="98">
        <f t="shared" si="4"/>
        <v>41</v>
      </c>
      <c r="N21" s="101">
        <f t="shared" si="6"/>
        <v>1.2484848484848485</v>
      </c>
    </row>
    <row r="22" spans="1:14" ht="13.5" customHeight="1">
      <c r="A22" s="106" t="s">
        <v>21</v>
      </c>
      <c r="B22" s="103">
        <v>0</v>
      </c>
      <c r="C22" s="104"/>
      <c r="D22" s="97">
        <f t="shared" si="8"/>
        <v>0</v>
      </c>
      <c r="E22" s="103">
        <v>0</v>
      </c>
      <c r="F22" s="104"/>
      <c r="G22" s="121">
        <f t="shared" si="9"/>
        <v>0</v>
      </c>
      <c r="H22" s="98">
        <f t="shared" si="2"/>
        <v>0</v>
      </c>
      <c r="I22" s="99"/>
      <c r="J22" s="105">
        <v>0</v>
      </c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>
        <v>0</v>
      </c>
      <c r="C23" s="104"/>
      <c r="D23" s="97">
        <f t="shared" si="8"/>
        <v>0</v>
      </c>
      <c r="E23" s="103">
        <v>0</v>
      </c>
      <c r="F23" s="104"/>
      <c r="G23" s="121">
        <f t="shared" si="9"/>
        <v>0</v>
      </c>
      <c r="H23" s="98">
        <f t="shared" si="2"/>
        <v>0</v>
      </c>
      <c r="I23" s="99"/>
      <c r="J23" s="105">
        <v>0</v>
      </c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828</v>
      </c>
      <c r="C24" s="104"/>
      <c r="D24" s="97">
        <f t="shared" si="8"/>
        <v>828</v>
      </c>
      <c r="E24" s="105">
        <v>794</v>
      </c>
      <c r="F24" s="104"/>
      <c r="G24" s="121">
        <f t="shared" si="9"/>
        <v>794</v>
      </c>
      <c r="H24" s="98">
        <f t="shared" si="2"/>
        <v>-34</v>
      </c>
      <c r="I24" s="99">
        <f aca="true" t="shared" si="11" ref="I24:I37">+G24/D24</f>
        <v>0.9589371980676329</v>
      </c>
      <c r="J24" s="105">
        <v>804</v>
      </c>
      <c r="K24" s="104"/>
      <c r="L24" s="124">
        <f t="shared" si="10"/>
        <v>804</v>
      </c>
      <c r="M24" s="98">
        <f t="shared" si="4"/>
        <v>10</v>
      </c>
      <c r="N24" s="101">
        <f aca="true" t="shared" si="12" ref="N24:N37">+L24/G24</f>
        <v>1.012594458438287</v>
      </c>
    </row>
    <row r="25" spans="1:14" ht="13.5" customHeight="1">
      <c r="A25" s="106" t="s">
        <v>24</v>
      </c>
      <c r="B25" s="103">
        <v>62</v>
      </c>
      <c r="C25" s="104"/>
      <c r="D25" s="97">
        <f t="shared" si="8"/>
        <v>62</v>
      </c>
      <c r="E25" s="103">
        <v>47</v>
      </c>
      <c r="F25" s="104"/>
      <c r="G25" s="121">
        <f t="shared" si="9"/>
        <v>47</v>
      </c>
      <c r="H25" s="98">
        <f t="shared" si="2"/>
        <v>-15</v>
      </c>
      <c r="I25" s="99">
        <f t="shared" si="11"/>
        <v>0.7580645161290323</v>
      </c>
      <c r="J25" s="126">
        <v>53</v>
      </c>
      <c r="K25" s="104"/>
      <c r="L25" s="124">
        <f t="shared" si="10"/>
        <v>53</v>
      </c>
      <c r="M25" s="98">
        <f t="shared" si="4"/>
        <v>6</v>
      </c>
      <c r="N25" s="101">
        <f t="shared" si="12"/>
        <v>1.127659574468085</v>
      </c>
    </row>
    <row r="26" spans="1:14" ht="13.5" customHeight="1">
      <c r="A26" s="102" t="s">
        <v>25</v>
      </c>
      <c r="B26" s="103">
        <v>766</v>
      </c>
      <c r="C26" s="104"/>
      <c r="D26" s="97">
        <f t="shared" si="8"/>
        <v>766</v>
      </c>
      <c r="E26" s="103">
        <v>747</v>
      </c>
      <c r="F26" s="104"/>
      <c r="G26" s="121">
        <f t="shared" si="9"/>
        <v>747</v>
      </c>
      <c r="H26" s="98">
        <f t="shared" si="2"/>
        <v>-19</v>
      </c>
      <c r="I26" s="99">
        <f t="shared" si="11"/>
        <v>0.9751958224543081</v>
      </c>
      <c r="J26" s="126">
        <v>751</v>
      </c>
      <c r="K26" s="104"/>
      <c r="L26" s="124">
        <f t="shared" si="10"/>
        <v>751</v>
      </c>
      <c r="M26" s="98">
        <f t="shared" si="4"/>
        <v>4</v>
      </c>
      <c r="N26" s="101">
        <f t="shared" si="12"/>
        <v>1.0053547523427042</v>
      </c>
    </row>
    <row r="27" spans="1:14" ht="13.5" customHeight="1">
      <c r="A27" s="127" t="s">
        <v>26</v>
      </c>
      <c r="B27" s="105">
        <v>3752</v>
      </c>
      <c r="C27" s="104"/>
      <c r="D27" s="97">
        <f t="shared" si="8"/>
        <v>3752</v>
      </c>
      <c r="E27" s="105">
        <v>4148</v>
      </c>
      <c r="F27" s="104"/>
      <c r="G27" s="121">
        <f t="shared" si="9"/>
        <v>4148</v>
      </c>
      <c r="H27" s="98">
        <f t="shared" si="2"/>
        <v>396</v>
      </c>
      <c r="I27" s="99">
        <f t="shared" si="11"/>
        <v>1.105543710021322</v>
      </c>
      <c r="J27" s="105">
        <v>5108</v>
      </c>
      <c r="K27" s="104"/>
      <c r="L27" s="124">
        <f t="shared" si="10"/>
        <v>5108</v>
      </c>
      <c r="M27" s="98">
        <f t="shared" si="4"/>
        <v>960</v>
      </c>
      <c r="N27" s="101">
        <f t="shared" si="12"/>
        <v>1.2314368370298938</v>
      </c>
    </row>
    <row r="28" spans="1:14" ht="13.5" customHeight="1">
      <c r="A28" s="106" t="s">
        <v>27</v>
      </c>
      <c r="B28" s="103">
        <v>2741</v>
      </c>
      <c r="C28" s="104"/>
      <c r="D28" s="97">
        <f t="shared" si="8"/>
        <v>2741</v>
      </c>
      <c r="E28" s="103">
        <v>3032</v>
      </c>
      <c r="F28" s="104"/>
      <c r="G28" s="121">
        <f t="shared" si="9"/>
        <v>3032</v>
      </c>
      <c r="H28" s="98">
        <f t="shared" si="2"/>
        <v>291</v>
      </c>
      <c r="I28" s="99">
        <f t="shared" si="11"/>
        <v>1.106165632980664</v>
      </c>
      <c r="J28" s="126">
        <v>3735</v>
      </c>
      <c r="K28" s="128"/>
      <c r="L28" s="124">
        <f t="shared" si="10"/>
        <v>3735</v>
      </c>
      <c r="M28" s="98">
        <f t="shared" si="4"/>
        <v>703</v>
      </c>
      <c r="N28" s="101">
        <f t="shared" si="12"/>
        <v>1.2318601583113455</v>
      </c>
    </row>
    <row r="29" spans="1:14" ht="13.5" customHeight="1">
      <c r="A29" s="127" t="s">
        <v>28</v>
      </c>
      <c r="B29" s="103">
        <v>2702</v>
      </c>
      <c r="C29" s="104"/>
      <c r="D29" s="97">
        <f t="shared" si="8"/>
        <v>2702</v>
      </c>
      <c r="E29" s="103">
        <v>2949</v>
      </c>
      <c r="F29" s="104"/>
      <c r="G29" s="121">
        <f t="shared" si="9"/>
        <v>2949</v>
      </c>
      <c r="H29" s="98">
        <f t="shared" si="2"/>
        <v>247</v>
      </c>
      <c r="I29" s="99">
        <f t="shared" si="11"/>
        <v>1.0914137675795708</v>
      </c>
      <c r="J29" s="105">
        <v>3615</v>
      </c>
      <c r="K29" s="104"/>
      <c r="L29" s="124">
        <f t="shared" si="10"/>
        <v>3615</v>
      </c>
      <c r="M29" s="98">
        <f t="shared" si="4"/>
        <v>666</v>
      </c>
      <c r="N29" s="101">
        <f t="shared" si="12"/>
        <v>1.2258392675483214</v>
      </c>
    </row>
    <row r="30" spans="1:14" ht="13.5" customHeight="1">
      <c r="A30" s="106" t="s">
        <v>29</v>
      </c>
      <c r="B30" s="103">
        <v>39</v>
      </c>
      <c r="C30" s="104"/>
      <c r="D30" s="97">
        <f t="shared" si="8"/>
        <v>39</v>
      </c>
      <c r="E30" s="103">
        <v>83</v>
      </c>
      <c r="F30" s="104"/>
      <c r="G30" s="121">
        <f t="shared" si="9"/>
        <v>83</v>
      </c>
      <c r="H30" s="98">
        <f t="shared" si="2"/>
        <v>44</v>
      </c>
      <c r="I30" s="99">
        <f t="shared" si="11"/>
        <v>2.128205128205128</v>
      </c>
      <c r="J30" s="105">
        <v>120</v>
      </c>
      <c r="K30" s="104"/>
      <c r="L30" s="124">
        <f t="shared" si="10"/>
        <v>120</v>
      </c>
      <c r="M30" s="98">
        <f t="shared" si="4"/>
        <v>37</v>
      </c>
      <c r="N30" s="101">
        <f t="shared" si="12"/>
        <v>1.4457831325301205</v>
      </c>
    </row>
    <row r="31" spans="1:14" ht="13.5" customHeight="1">
      <c r="A31" s="106" t="s">
        <v>30</v>
      </c>
      <c r="B31" s="103">
        <v>1011</v>
      </c>
      <c r="C31" s="104"/>
      <c r="D31" s="97">
        <f t="shared" si="8"/>
        <v>1011</v>
      </c>
      <c r="E31" s="103">
        <v>1116</v>
      </c>
      <c r="F31" s="104"/>
      <c r="G31" s="121">
        <f t="shared" si="9"/>
        <v>1116</v>
      </c>
      <c r="H31" s="98">
        <f t="shared" si="2"/>
        <v>105</v>
      </c>
      <c r="I31" s="99">
        <f t="shared" si="11"/>
        <v>1.1038575667655786</v>
      </c>
      <c r="J31" s="105">
        <v>1373</v>
      </c>
      <c r="K31" s="104"/>
      <c r="L31" s="124">
        <f t="shared" si="10"/>
        <v>1373</v>
      </c>
      <c r="M31" s="98">
        <f t="shared" si="4"/>
        <v>257</v>
      </c>
      <c r="N31" s="101">
        <f t="shared" si="12"/>
        <v>1.2302867383512546</v>
      </c>
    </row>
    <row r="32" spans="1:14" ht="13.5" customHeight="1">
      <c r="A32" s="127" t="s">
        <v>31</v>
      </c>
      <c r="B32" s="103">
        <v>0</v>
      </c>
      <c r="C32" s="104"/>
      <c r="D32" s="97">
        <f t="shared" si="8"/>
        <v>0</v>
      </c>
      <c r="E32" s="103">
        <v>0</v>
      </c>
      <c r="F32" s="104"/>
      <c r="G32" s="121">
        <f t="shared" si="9"/>
        <v>0</v>
      </c>
      <c r="H32" s="98">
        <f t="shared" si="2"/>
        <v>0</v>
      </c>
      <c r="I32" s="99"/>
      <c r="J32" s="105">
        <v>0</v>
      </c>
      <c r="K32" s="104"/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17</v>
      </c>
      <c r="C33" s="104"/>
      <c r="D33" s="97">
        <f t="shared" si="8"/>
        <v>17</v>
      </c>
      <c r="E33" s="103">
        <v>31</v>
      </c>
      <c r="F33" s="104"/>
      <c r="G33" s="121">
        <f t="shared" si="9"/>
        <v>31</v>
      </c>
      <c r="H33" s="98">
        <f t="shared" si="2"/>
        <v>14</v>
      </c>
      <c r="I33" s="99">
        <f t="shared" si="11"/>
        <v>1.8235294117647058</v>
      </c>
      <c r="J33" s="105">
        <v>35</v>
      </c>
      <c r="K33" s="104"/>
      <c r="L33" s="124">
        <f t="shared" si="10"/>
        <v>35</v>
      </c>
      <c r="M33" s="98">
        <f t="shared" si="4"/>
        <v>4</v>
      </c>
      <c r="N33" s="101">
        <f t="shared" si="12"/>
        <v>1.1290322580645162</v>
      </c>
    </row>
    <row r="34" spans="1:14" ht="13.5" customHeight="1">
      <c r="A34" s="106" t="s">
        <v>33</v>
      </c>
      <c r="B34" s="103">
        <v>63</v>
      </c>
      <c r="C34" s="104"/>
      <c r="D34" s="97">
        <f t="shared" si="8"/>
        <v>63</v>
      </c>
      <c r="E34" s="103">
        <v>79</v>
      </c>
      <c r="F34" s="104"/>
      <c r="G34" s="121">
        <f t="shared" si="9"/>
        <v>79</v>
      </c>
      <c r="H34" s="98">
        <f t="shared" si="2"/>
        <v>16</v>
      </c>
      <c r="I34" s="99">
        <f t="shared" si="11"/>
        <v>1.253968253968254</v>
      </c>
      <c r="J34" s="126">
        <v>78</v>
      </c>
      <c r="K34" s="104"/>
      <c r="L34" s="124">
        <f t="shared" si="10"/>
        <v>78</v>
      </c>
      <c r="M34" s="98">
        <f t="shared" si="4"/>
        <v>-1</v>
      </c>
      <c r="N34" s="101">
        <f t="shared" si="12"/>
        <v>0.9873417721518988</v>
      </c>
    </row>
    <row r="35" spans="1:14" ht="22.5" customHeight="1">
      <c r="A35" s="106" t="s">
        <v>34</v>
      </c>
      <c r="B35" s="103">
        <v>63</v>
      </c>
      <c r="C35" s="104"/>
      <c r="D35" s="97">
        <f t="shared" si="8"/>
        <v>63</v>
      </c>
      <c r="E35" s="103">
        <v>79</v>
      </c>
      <c r="F35" s="104"/>
      <c r="G35" s="121">
        <f t="shared" si="9"/>
        <v>79</v>
      </c>
      <c r="H35" s="98">
        <f t="shared" si="2"/>
        <v>16</v>
      </c>
      <c r="I35" s="99">
        <f t="shared" si="11"/>
        <v>1.253968253968254</v>
      </c>
      <c r="J35" s="126">
        <v>78</v>
      </c>
      <c r="K35" s="104"/>
      <c r="L35" s="124">
        <f t="shared" si="10"/>
        <v>78</v>
      </c>
      <c r="M35" s="98">
        <f t="shared" si="4"/>
        <v>-1</v>
      </c>
      <c r="N35" s="101">
        <f t="shared" si="12"/>
        <v>0.9873417721518988</v>
      </c>
    </row>
    <row r="36" spans="1:14" ht="13.5" customHeight="1" thickBot="1">
      <c r="A36" s="129" t="s">
        <v>35</v>
      </c>
      <c r="B36" s="107">
        <v>0</v>
      </c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5069</v>
      </c>
      <c r="C37" s="114">
        <f t="shared" si="13"/>
        <v>0</v>
      </c>
      <c r="D37" s="115">
        <f t="shared" si="13"/>
        <v>5069</v>
      </c>
      <c r="E37" s="113">
        <f t="shared" si="13"/>
        <v>5467</v>
      </c>
      <c r="F37" s="114">
        <f t="shared" si="13"/>
        <v>0</v>
      </c>
      <c r="G37" s="115">
        <f t="shared" si="13"/>
        <v>5467</v>
      </c>
      <c r="H37" s="116">
        <f t="shared" si="2"/>
        <v>398</v>
      </c>
      <c r="I37" s="117">
        <f t="shared" si="11"/>
        <v>1.0785164726770566</v>
      </c>
      <c r="J37" s="118">
        <f>SUM(J19+J21+J22+J23+J24+J27+J32+J33+J34+J36)</f>
        <v>6358</v>
      </c>
      <c r="K37" s="114">
        <f>SUM(K19+K21+K22+K23+K24+K27+K32+K33+K34+K36)</f>
        <v>0</v>
      </c>
      <c r="L37" s="115">
        <f>SUM(L19+L21+L22+L23+L24+L27+L32+L33+L34+L36)</f>
        <v>6358</v>
      </c>
      <c r="M37" s="116">
        <f t="shared" si="4"/>
        <v>891</v>
      </c>
      <c r="N37" s="119">
        <f t="shared" si="12"/>
        <v>1.1629778672032194</v>
      </c>
    </row>
    <row r="38" spans="1:14" ht="13.5" customHeight="1" thickBot="1">
      <c r="A38" s="112" t="s">
        <v>37</v>
      </c>
      <c r="B38" s="470">
        <f>+D18-D37</f>
        <v>23</v>
      </c>
      <c r="C38" s="470"/>
      <c r="D38" s="470"/>
      <c r="E38" s="471">
        <v>14.01</v>
      </c>
      <c r="F38" s="471"/>
      <c r="G38" s="471">
        <v>-50784</v>
      </c>
      <c r="H38" s="131">
        <f>+E38-B38</f>
        <v>-8.99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458</v>
      </c>
      <c r="B43" s="469"/>
      <c r="C43" s="134">
        <v>250</v>
      </c>
      <c r="D43" s="468" t="s">
        <v>40</v>
      </c>
      <c r="E43" s="468"/>
      <c r="F43" s="468"/>
      <c r="G43" s="135">
        <v>9</v>
      </c>
      <c r="H43" s="467" t="s">
        <v>40</v>
      </c>
      <c r="I43" s="467"/>
      <c r="J43" s="467"/>
      <c r="K43" s="467"/>
      <c r="L43" s="136">
        <v>9</v>
      </c>
      <c r="O43"/>
      <c r="P43"/>
    </row>
    <row r="44" spans="1:16" ht="12.75">
      <c r="A44" s="463"/>
      <c r="B44" s="463"/>
      <c r="C44" s="137"/>
      <c r="D44" s="468"/>
      <c r="E44" s="468"/>
      <c r="F44" s="468"/>
      <c r="G44" s="138"/>
      <c r="H44" s="467"/>
      <c r="I44" s="467"/>
      <c r="J44" s="467"/>
      <c r="K44" s="467"/>
      <c r="L44" s="136"/>
      <c r="O44"/>
      <c r="P44"/>
    </row>
    <row r="45" spans="1:16" ht="12.75">
      <c r="A45" s="463"/>
      <c r="B45" s="463"/>
      <c r="C45" s="137"/>
      <c r="D45" s="468"/>
      <c r="E45" s="468"/>
      <c r="F45" s="468"/>
      <c r="G45" s="138"/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250</v>
      </c>
      <c r="D50" s="451" t="s">
        <v>3</v>
      </c>
      <c r="E50" s="451"/>
      <c r="F50" s="451"/>
      <c r="G50" s="141">
        <f>SUM(G43:G49)</f>
        <v>9</v>
      </c>
      <c r="H50" s="452" t="s">
        <v>3</v>
      </c>
      <c r="I50" s="452"/>
      <c r="J50" s="452"/>
      <c r="K50" s="452"/>
      <c r="L50" s="141">
        <f>SUM(L43:L49)</f>
        <v>9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471</v>
      </c>
      <c r="B54" s="446"/>
      <c r="C54" s="233">
        <v>35</v>
      </c>
      <c r="D54" s="447" t="s">
        <v>472</v>
      </c>
      <c r="E54" s="447"/>
      <c r="F54" s="447"/>
      <c r="G54" s="142">
        <v>28</v>
      </c>
      <c r="H54" s="467" t="s">
        <v>473</v>
      </c>
      <c r="I54" s="467"/>
      <c r="J54" s="467"/>
      <c r="K54" s="467"/>
      <c r="L54" s="136">
        <v>22</v>
      </c>
      <c r="O54"/>
      <c r="P54"/>
    </row>
    <row r="55" spans="1:16" ht="13.5" customHeight="1">
      <c r="A55" s="418" t="s">
        <v>474</v>
      </c>
      <c r="B55" s="419"/>
      <c r="C55" s="234">
        <v>10</v>
      </c>
      <c r="D55" s="420" t="s">
        <v>475</v>
      </c>
      <c r="E55" s="420"/>
      <c r="F55" s="420"/>
      <c r="G55" s="143">
        <v>3</v>
      </c>
      <c r="H55" s="464" t="s">
        <v>476</v>
      </c>
      <c r="I55" s="464"/>
      <c r="J55" s="464"/>
      <c r="K55" s="464"/>
      <c r="L55" s="144">
        <v>20</v>
      </c>
      <c r="O55"/>
      <c r="P55"/>
    </row>
    <row r="56" spans="1:16" ht="13.5" customHeight="1">
      <c r="A56" s="418" t="s">
        <v>477</v>
      </c>
      <c r="B56" s="419"/>
      <c r="C56" s="234">
        <v>17</v>
      </c>
      <c r="D56" s="420" t="s">
        <v>478</v>
      </c>
      <c r="E56" s="420"/>
      <c r="F56" s="420"/>
      <c r="G56" s="143">
        <v>12</v>
      </c>
      <c r="H56" s="464" t="s">
        <v>479</v>
      </c>
      <c r="I56" s="464"/>
      <c r="J56" s="464"/>
      <c r="K56" s="464"/>
      <c r="L56" s="144">
        <v>11</v>
      </c>
      <c r="O56"/>
      <c r="P56"/>
    </row>
    <row r="57" spans="1:16" ht="13.5" customHeight="1">
      <c r="A57" s="418"/>
      <c r="B57" s="419"/>
      <c r="C57" s="234"/>
      <c r="D57" s="420" t="s">
        <v>480</v>
      </c>
      <c r="E57" s="420"/>
      <c r="F57" s="420"/>
      <c r="G57" s="143">
        <v>4</v>
      </c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62</v>
      </c>
      <c r="D62" s="517" t="s">
        <v>3</v>
      </c>
      <c r="E62" s="517"/>
      <c r="F62" s="517"/>
      <c r="G62" s="149">
        <f>SUM(G54:G61)</f>
        <v>47</v>
      </c>
      <c r="H62" s="452" t="s">
        <v>3</v>
      </c>
      <c r="I62" s="452"/>
      <c r="J62" s="452"/>
      <c r="K62" s="452"/>
      <c r="L62" s="141">
        <f>SUM(L54:L61)</f>
        <v>53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14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33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19</v>
      </c>
      <c r="C68" s="478" t="s">
        <v>511</v>
      </c>
      <c r="D68" s="478"/>
      <c r="E68" s="65">
        <v>10</v>
      </c>
      <c r="F68" s="486" t="s">
        <v>127</v>
      </c>
      <c r="G68" s="479"/>
      <c r="H68" s="57">
        <v>14.01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10</v>
      </c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43</v>
      </c>
      <c r="C71" s="473" t="s">
        <v>3</v>
      </c>
      <c r="D71" s="473"/>
      <c r="E71" s="70">
        <f>SUM(E67:E70)</f>
        <v>10</v>
      </c>
      <c r="F71" s="474" t="s">
        <v>3</v>
      </c>
      <c r="G71" s="475"/>
      <c r="H71" s="66">
        <f>SUM(H67:H70)</f>
        <v>47.01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33</v>
      </c>
      <c r="C72" s="22"/>
      <c r="D72" s="22"/>
      <c r="E72" s="22"/>
      <c r="F72" s="476" t="s">
        <v>212</v>
      </c>
      <c r="G72" s="477"/>
      <c r="H72" s="80">
        <f>H71-L71</f>
        <v>47.01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>
        <v>0</v>
      </c>
      <c r="O78" s="85">
        <v>0</v>
      </c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1410</v>
      </c>
      <c r="B80" s="30">
        <v>498</v>
      </c>
      <c r="C80" s="73">
        <v>78</v>
      </c>
      <c r="D80" s="74">
        <v>69</v>
      </c>
      <c r="E80" s="74">
        <v>0</v>
      </c>
      <c r="F80" s="74">
        <v>0</v>
      </c>
      <c r="G80" s="74">
        <v>0</v>
      </c>
      <c r="H80" s="73">
        <v>9</v>
      </c>
      <c r="I80" s="81">
        <v>0</v>
      </c>
      <c r="J80" s="31">
        <f>SUM(A80-B80-C80)</f>
        <v>834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638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694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4" t="s">
        <v>71</v>
      </c>
    </row>
    <row r="86" spans="1:12" s="1" customFormat="1" ht="12.75">
      <c r="A86" s="41" t="s">
        <v>72</v>
      </c>
      <c r="B86" s="42">
        <v>4</v>
      </c>
      <c r="C86" s="43">
        <v>4</v>
      </c>
      <c r="D86" s="44">
        <v>4</v>
      </c>
      <c r="E86" s="44">
        <v>0</v>
      </c>
      <c r="F86" s="45">
        <f>C86+D86-E86</f>
        <v>8</v>
      </c>
      <c r="G86" s="46">
        <v>8</v>
      </c>
      <c r="H86" s="198">
        <f>+G86-F86</f>
        <v>0</v>
      </c>
      <c r="I86" s="43">
        <v>8</v>
      </c>
      <c r="J86" s="44">
        <v>0</v>
      </c>
      <c r="K86" s="44">
        <v>0</v>
      </c>
      <c r="L86" s="45">
        <f>I86+J86-K86</f>
        <v>8</v>
      </c>
    </row>
    <row r="87" spans="1:12" s="1" customFormat="1" ht="12.75">
      <c r="A87" s="41" t="s">
        <v>73</v>
      </c>
      <c r="B87" s="42">
        <v>14</v>
      </c>
      <c r="C87" s="43">
        <v>14</v>
      </c>
      <c r="D87" s="44">
        <v>29</v>
      </c>
      <c r="E87" s="44">
        <v>10</v>
      </c>
      <c r="F87" s="45">
        <f>C87+D87-E87</f>
        <v>33</v>
      </c>
      <c r="G87" s="46">
        <v>33</v>
      </c>
      <c r="H87" s="198">
        <f>+G87-F87</f>
        <v>0</v>
      </c>
      <c r="I87" s="395">
        <v>33</v>
      </c>
      <c r="J87" s="396">
        <v>14.01</v>
      </c>
      <c r="K87" s="396">
        <v>0</v>
      </c>
      <c r="L87" s="397">
        <f>I87+J87-K87</f>
        <v>47.01</v>
      </c>
    </row>
    <row r="88" spans="1:12" s="1" customFormat="1" ht="12.75">
      <c r="A88" s="41" t="s">
        <v>96</v>
      </c>
      <c r="B88" s="42">
        <v>89</v>
      </c>
      <c r="C88" s="43">
        <v>89</v>
      </c>
      <c r="D88" s="44">
        <v>79</v>
      </c>
      <c r="E88" s="44">
        <v>9</v>
      </c>
      <c r="F88" s="45">
        <f>C88+D88-E88</f>
        <v>159</v>
      </c>
      <c r="G88" s="46">
        <v>159</v>
      </c>
      <c r="H88" s="198">
        <f>+G88-F88</f>
        <v>0</v>
      </c>
      <c r="I88" s="206">
        <v>159</v>
      </c>
      <c r="J88" s="196">
        <v>78</v>
      </c>
      <c r="K88" s="196">
        <v>9</v>
      </c>
      <c r="L88" s="45">
        <f>I88+J88-K88</f>
        <v>228</v>
      </c>
    </row>
    <row r="89" spans="1:12" s="1" customFormat="1" ht="12.75">
      <c r="A89" s="41" t="s">
        <v>74</v>
      </c>
      <c r="B89" s="42">
        <v>531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494</v>
      </c>
      <c r="H89" s="53" t="s">
        <v>71</v>
      </c>
      <c r="I89" s="37" t="s">
        <v>71</v>
      </c>
      <c r="J89" s="38" t="s">
        <v>71</v>
      </c>
      <c r="K89" s="38" t="s">
        <v>71</v>
      </c>
      <c r="L89" s="336" t="s">
        <v>71</v>
      </c>
    </row>
    <row r="90" spans="1:12" s="1" customFormat="1" ht="13.5" thickBot="1">
      <c r="A90" s="47" t="s">
        <v>75</v>
      </c>
      <c r="B90" s="48">
        <v>31</v>
      </c>
      <c r="C90" s="49">
        <v>31</v>
      </c>
      <c r="D90" s="50">
        <v>58</v>
      </c>
      <c r="E90" s="50">
        <v>42</v>
      </c>
      <c r="F90" s="51">
        <f>C90+D90-E90</f>
        <v>47</v>
      </c>
      <c r="G90" s="52">
        <v>47</v>
      </c>
      <c r="H90" s="199">
        <f>+G90-F90</f>
        <v>0</v>
      </c>
      <c r="I90" s="49">
        <v>47</v>
      </c>
      <c r="J90" s="50">
        <v>62</v>
      </c>
      <c r="K90" s="50">
        <v>92</v>
      </c>
      <c r="L90" s="51">
        <f>I90+J90-K90</f>
        <v>17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5</v>
      </c>
      <c r="C96" s="159">
        <v>0</v>
      </c>
      <c r="D96" s="159">
        <v>0</v>
      </c>
      <c r="E96" s="159">
        <v>0</v>
      </c>
      <c r="F96" s="159">
        <v>0</v>
      </c>
      <c r="G96" s="158">
        <v>0</v>
      </c>
      <c r="H96" s="160">
        <f>SUM(C96:G96)</f>
        <v>0</v>
      </c>
      <c r="I96" s="27"/>
      <c r="J96" s="161">
        <v>2006</v>
      </c>
      <c r="K96" s="162">
        <v>2949</v>
      </c>
      <c r="L96" s="163">
        <f>+G29</f>
        <v>2949</v>
      </c>
    </row>
    <row r="97" spans="1:12" ht="13.5" thickBot="1">
      <c r="A97" s="164" t="s">
        <v>83</v>
      </c>
      <c r="B97" s="165">
        <v>484</v>
      </c>
      <c r="C97" s="166">
        <v>0</v>
      </c>
      <c r="D97" s="166">
        <v>0</v>
      </c>
      <c r="E97" s="166">
        <v>0</v>
      </c>
      <c r="F97" s="166">
        <v>0</v>
      </c>
      <c r="G97" s="165">
        <v>0</v>
      </c>
      <c r="H97" s="167">
        <v>0</v>
      </c>
      <c r="I97" s="27"/>
      <c r="J97" s="168">
        <v>2007</v>
      </c>
      <c r="K97" s="169">
        <v>3123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2</v>
      </c>
      <c r="C102" s="175">
        <v>1.8</v>
      </c>
      <c r="D102" s="175">
        <f aca="true" t="shared" si="14" ref="D102:D112">+C102-B102</f>
        <v>-0.19999999999999996</v>
      </c>
      <c r="E102" s="175">
        <v>2</v>
      </c>
      <c r="F102" s="175">
        <v>1.8</v>
      </c>
      <c r="G102" s="176">
        <f aca="true" t="shared" si="15" ref="G102:G112">+F102-E102</f>
        <v>-0.19999999999999996</v>
      </c>
      <c r="H102" s="177">
        <v>21962</v>
      </c>
      <c r="I102" s="178">
        <v>29231</v>
      </c>
      <c r="J102" s="179">
        <f aca="true" t="shared" si="16" ref="J102:J112">+I102-H102</f>
        <v>7269</v>
      </c>
    </row>
    <row r="103" spans="1:10" ht="12.75">
      <c r="A103" s="174" t="s">
        <v>85</v>
      </c>
      <c r="B103" s="175"/>
      <c r="C103" s="175"/>
      <c r="D103" s="175">
        <f t="shared" si="14"/>
        <v>0</v>
      </c>
      <c r="E103" s="175"/>
      <c r="F103" s="175"/>
      <c r="G103" s="176">
        <f t="shared" si="15"/>
        <v>0</v>
      </c>
      <c r="H103" s="177"/>
      <c r="I103" s="180"/>
      <c r="J103" s="179">
        <f t="shared" si="16"/>
        <v>0</v>
      </c>
    </row>
    <row r="104" spans="1:10" ht="12.75">
      <c r="A104" s="174" t="s">
        <v>52</v>
      </c>
      <c r="B104" s="175"/>
      <c r="C104" s="175"/>
      <c r="D104" s="175">
        <f t="shared" si="14"/>
        <v>0</v>
      </c>
      <c r="E104" s="175"/>
      <c r="F104" s="175"/>
      <c r="G104" s="176">
        <f t="shared" si="15"/>
        <v>0</v>
      </c>
      <c r="H104" s="177"/>
      <c r="I104" s="180"/>
      <c r="J104" s="179">
        <f t="shared" si="16"/>
        <v>0</v>
      </c>
    </row>
    <row r="105" spans="1:10" ht="12.75">
      <c r="A105" s="174" t="s">
        <v>53</v>
      </c>
      <c r="B105" s="175"/>
      <c r="C105" s="175"/>
      <c r="D105" s="175">
        <f t="shared" si="14"/>
        <v>0</v>
      </c>
      <c r="E105" s="175"/>
      <c r="F105" s="175"/>
      <c r="G105" s="176">
        <f t="shared" si="15"/>
        <v>0</v>
      </c>
      <c r="H105" s="177"/>
      <c r="I105" s="180"/>
      <c r="J105" s="179">
        <f t="shared" si="16"/>
        <v>0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/>
      <c r="C107" s="175"/>
      <c r="D107" s="175">
        <f t="shared" si="14"/>
        <v>0</v>
      </c>
      <c r="E107" s="175"/>
      <c r="F107" s="175"/>
      <c r="G107" s="176">
        <f t="shared" si="15"/>
        <v>0</v>
      </c>
      <c r="H107" s="177"/>
      <c r="I107" s="180"/>
      <c r="J107" s="179">
        <f t="shared" si="16"/>
        <v>0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6.4</v>
      </c>
      <c r="C109" s="175">
        <v>6.5</v>
      </c>
      <c r="D109" s="175">
        <f t="shared" si="14"/>
        <v>0.09999999999999964</v>
      </c>
      <c r="E109" s="175">
        <v>6.4</v>
      </c>
      <c r="F109" s="175">
        <v>6.5</v>
      </c>
      <c r="G109" s="176">
        <f t="shared" si="15"/>
        <v>0.09999999999999964</v>
      </c>
      <c r="H109" s="177">
        <v>22565</v>
      </c>
      <c r="I109" s="180">
        <v>23939</v>
      </c>
      <c r="J109" s="179">
        <f t="shared" si="16"/>
        <v>1374</v>
      </c>
    </row>
    <row r="110" spans="1:10" ht="12.75">
      <c r="A110" s="174" t="s">
        <v>57</v>
      </c>
      <c r="B110" s="175">
        <v>1.7</v>
      </c>
      <c r="C110" s="175">
        <v>1.7</v>
      </c>
      <c r="D110" s="175">
        <f t="shared" si="14"/>
        <v>0</v>
      </c>
      <c r="E110" s="175">
        <v>1.7</v>
      </c>
      <c r="F110" s="175">
        <v>1.7</v>
      </c>
      <c r="G110" s="176">
        <f t="shared" si="15"/>
        <v>0</v>
      </c>
      <c r="H110" s="177">
        <v>19819</v>
      </c>
      <c r="I110" s="180">
        <v>19819</v>
      </c>
      <c r="J110" s="179">
        <f t="shared" si="16"/>
        <v>0</v>
      </c>
    </row>
    <row r="111" spans="1:10" ht="12.75">
      <c r="A111" s="174" t="s">
        <v>58</v>
      </c>
      <c r="B111" s="175">
        <v>0.3</v>
      </c>
      <c r="C111" s="175">
        <v>0</v>
      </c>
      <c r="D111" s="175">
        <f t="shared" si="14"/>
        <v>-0.3</v>
      </c>
      <c r="E111" s="175">
        <v>0.3</v>
      </c>
      <c r="F111" s="175">
        <v>0</v>
      </c>
      <c r="G111" s="176">
        <f t="shared" si="15"/>
        <v>-0.3</v>
      </c>
      <c r="H111" s="177">
        <v>10444</v>
      </c>
      <c r="I111" s="180">
        <v>0</v>
      </c>
      <c r="J111" s="179">
        <f t="shared" si="16"/>
        <v>-10444</v>
      </c>
    </row>
    <row r="112" spans="1:10" ht="13.5" thickBot="1">
      <c r="A112" s="181" t="s">
        <v>3</v>
      </c>
      <c r="B112" s="182">
        <f>SUM(B102:B111)</f>
        <v>10.4</v>
      </c>
      <c r="C112" s="182">
        <f>SUM(C102:C111)</f>
        <v>10</v>
      </c>
      <c r="D112" s="182">
        <f t="shared" si="14"/>
        <v>-0.40000000000000036</v>
      </c>
      <c r="E112" s="182">
        <f>SUM(E102:E111)</f>
        <v>10.4</v>
      </c>
      <c r="F112" s="182">
        <f>SUM(F102:F111)</f>
        <v>10</v>
      </c>
      <c r="G112" s="183">
        <f t="shared" si="15"/>
        <v>-0.40000000000000036</v>
      </c>
      <c r="H112" s="184">
        <v>21651</v>
      </c>
      <c r="I112" s="185">
        <v>24325</v>
      </c>
      <c r="J112" s="186">
        <f t="shared" si="16"/>
        <v>2674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10</v>
      </c>
      <c r="C116" s="163">
        <v>10</v>
      </c>
      <c r="D116" s="27"/>
      <c r="E116" s="161">
        <v>2006</v>
      </c>
      <c r="F116" s="416">
        <v>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11.5</v>
      </c>
      <c r="C117" s="369" t="s">
        <v>508</v>
      </c>
      <c r="D117" s="27"/>
      <c r="E117" s="168">
        <v>2007</v>
      </c>
      <c r="F117" s="417">
        <v>0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H83:H84"/>
    <mergeCell ref="I83:L83"/>
    <mergeCell ref="A94:A95"/>
    <mergeCell ref="B94:B95"/>
    <mergeCell ref="C94:H94"/>
    <mergeCell ref="J94:L94"/>
    <mergeCell ref="A83:A84"/>
    <mergeCell ref="B83:B84"/>
    <mergeCell ref="C83:F83"/>
    <mergeCell ref="G83:G84"/>
    <mergeCell ref="C69:D69"/>
    <mergeCell ref="F69:G69"/>
    <mergeCell ref="I69:K69"/>
    <mergeCell ref="B4:D4"/>
    <mergeCell ref="E4:G4"/>
    <mergeCell ref="J4:L4"/>
    <mergeCell ref="A61:B61"/>
    <mergeCell ref="A62:B62"/>
    <mergeCell ref="A59:B59"/>
    <mergeCell ref="D59:F59"/>
    <mergeCell ref="C70:D70"/>
    <mergeCell ref="F70:G70"/>
    <mergeCell ref="I70:K70"/>
    <mergeCell ref="C71:D71"/>
    <mergeCell ref="F71:G71"/>
    <mergeCell ref="I71:K71"/>
    <mergeCell ref="F72:G72"/>
    <mergeCell ref="H52:K53"/>
    <mergeCell ref="L52:L53"/>
    <mergeCell ref="H41:K42"/>
    <mergeCell ref="F68:G68"/>
    <mergeCell ref="I68:K68"/>
    <mergeCell ref="D61:F61"/>
    <mergeCell ref="H61:K61"/>
    <mergeCell ref="D62:F62"/>
    <mergeCell ref="H62:K62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A45:B45"/>
    <mergeCell ref="D45:F45"/>
    <mergeCell ref="H45:K45"/>
    <mergeCell ref="A46:B46"/>
    <mergeCell ref="D46:F46"/>
    <mergeCell ref="H46:K46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L41:L42"/>
    <mergeCell ref="A43:B43"/>
    <mergeCell ref="D43:F43"/>
    <mergeCell ref="H43:K43"/>
    <mergeCell ref="A41:B42"/>
    <mergeCell ref="C41:C42"/>
    <mergeCell ref="D41:F42"/>
    <mergeCell ref="G41:G42"/>
    <mergeCell ref="J77:J79"/>
    <mergeCell ref="L77:M77"/>
    <mergeCell ref="D78:I78"/>
    <mergeCell ref="A77:A79"/>
    <mergeCell ref="B77:B79"/>
    <mergeCell ref="C77:I77"/>
    <mergeCell ref="C78:C79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Normal="90" zoomScaleSheetLayoutView="100" workbookViewId="0" topLeftCell="A13">
      <selection activeCell="J16" sqref="J1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0</v>
      </c>
      <c r="C7" s="188">
        <v>0</v>
      </c>
      <c r="D7" s="191">
        <f aca="true" t="shared" si="0" ref="D7:D18">SUM(B7:C7)</f>
        <v>0</v>
      </c>
      <c r="E7" s="187">
        <v>0</v>
      </c>
      <c r="F7" s="188">
        <v>0</v>
      </c>
      <c r="G7" s="191">
        <f aca="true" t="shared" si="1" ref="G7:G18">SUM(E7:F7)</f>
        <v>0</v>
      </c>
      <c r="H7" s="218">
        <f aca="true" t="shared" si="2" ref="H7:H38">+G7-D7</f>
        <v>0</v>
      </c>
      <c r="I7" s="222"/>
      <c r="J7" s="187">
        <v>0</v>
      </c>
      <c r="K7" s="188"/>
      <c r="L7" s="191">
        <f aca="true" t="shared" si="3" ref="L7:L18">SUM(J7:K7)</f>
        <v>0</v>
      </c>
      <c r="M7" s="218">
        <f aca="true" t="shared" si="4" ref="M7:M38">+L7-G7</f>
        <v>0</v>
      </c>
      <c r="N7" s="219"/>
    </row>
    <row r="8" spans="1:14" ht="13.5" customHeight="1">
      <c r="A8" s="229" t="s">
        <v>9</v>
      </c>
      <c r="B8" s="15">
        <v>8935</v>
      </c>
      <c r="C8" s="14">
        <v>289</v>
      </c>
      <c r="D8" s="192">
        <f t="shared" si="0"/>
        <v>9224</v>
      </c>
      <c r="E8" s="15">
        <v>9741</v>
      </c>
      <c r="F8" s="14">
        <v>335</v>
      </c>
      <c r="G8" s="192">
        <f t="shared" si="1"/>
        <v>10076</v>
      </c>
      <c r="H8" s="220">
        <f t="shared" si="2"/>
        <v>852</v>
      </c>
      <c r="I8" s="223">
        <f aca="true" t="shared" si="5" ref="I8:I22">+G8/D8</f>
        <v>1.0923677363399826</v>
      </c>
      <c r="J8" s="15">
        <f>20240+874</f>
        <v>21114</v>
      </c>
      <c r="K8" s="14"/>
      <c r="L8" s="192">
        <f t="shared" si="3"/>
        <v>21114</v>
      </c>
      <c r="M8" s="220">
        <f t="shared" si="4"/>
        <v>11038</v>
      </c>
      <c r="N8" s="221">
        <f aca="true" t="shared" si="6" ref="N8:N22">+L8/G8</f>
        <v>2.095474394601032</v>
      </c>
    </row>
    <row r="9" spans="1:14" ht="13.5" customHeight="1">
      <c r="A9" s="229" t="s">
        <v>10</v>
      </c>
      <c r="B9" s="15">
        <v>0</v>
      </c>
      <c r="C9" s="14">
        <v>0</v>
      </c>
      <c r="D9" s="192">
        <f t="shared" si="0"/>
        <v>0</v>
      </c>
      <c r="E9" s="15">
        <v>0</v>
      </c>
      <c r="F9" s="14">
        <v>0</v>
      </c>
      <c r="G9" s="192">
        <f t="shared" si="1"/>
        <v>0</v>
      </c>
      <c r="H9" s="220">
        <f t="shared" si="2"/>
        <v>0</v>
      </c>
      <c r="I9" s="223"/>
      <c r="J9" s="15">
        <v>0</v>
      </c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>
        <v>0</v>
      </c>
      <c r="C10" s="14">
        <v>0</v>
      </c>
      <c r="D10" s="192">
        <f t="shared" si="0"/>
        <v>0</v>
      </c>
      <c r="E10" s="15">
        <v>261</v>
      </c>
      <c r="F10" s="14">
        <v>0</v>
      </c>
      <c r="G10" s="192">
        <f t="shared" si="1"/>
        <v>261</v>
      </c>
      <c r="H10" s="220">
        <f t="shared" si="2"/>
        <v>261</v>
      </c>
      <c r="I10" s="223"/>
      <c r="J10" s="15">
        <v>0</v>
      </c>
      <c r="K10" s="14"/>
      <c r="L10" s="192">
        <f t="shared" si="3"/>
        <v>0</v>
      </c>
      <c r="M10" s="220">
        <f t="shared" si="4"/>
        <v>-261</v>
      </c>
      <c r="N10" s="221"/>
    </row>
    <row r="11" spans="1:14" ht="13.5" customHeight="1">
      <c r="A11" s="229" t="s">
        <v>12</v>
      </c>
      <c r="B11" s="15">
        <v>232</v>
      </c>
      <c r="C11" s="14">
        <v>0</v>
      </c>
      <c r="D11" s="192">
        <f t="shared" si="0"/>
        <v>232</v>
      </c>
      <c r="E11" s="15">
        <v>0</v>
      </c>
      <c r="F11" s="14">
        <v>0</v>
      </c>
      <c r="G11" s="192">
        <f t="shared" si="1"/>
        <v>0</v>
      </c>
      <c r="H11" s="220">
        <f t="shared" si="2"/>
        <v>-232</v>
      </c>
      <c r="I11" s="223">
        <f t="shared" si="5"/>
        <v>0</v>
      </c>
      <c r="J11" s="15">
        <v>645</v>
      </c>
      <c r="K11" s="14"/>
      <c r="L11" s="192">
        <f t="shared" si="3"/>
        <v>645</v>
      </c>
      <c r="M11" s="220">
        <f t="shared" si="4"/>
        <v>645</v>
      </c>
      <c r="N11" s="221"/>
    </row>
    <row r="12" spans="1:14" ht="13.5" customHeight="1">
      <c r="A12" s="230" t="s">
        <v>13</v>
      </c>
      <c r="B12" s="15">
        <v>0</v>
      </c>
      <c r="C12" s="14">
        <v>0</v>
      </c>
      <c r="D12" s="192">
        <f t="shared" si="0"/>
        <v>0</v>
      </c>
      <c r="E12" s="15">
        <v>0</v>
      </c>
      <c r="F12" s="14">
        <v>0</v>
      </c>
      <c r="G12" s="192">
        <f t="shared" si="1"/>
        <v>0</v>
      </c>
      <c r="H12" s="220">
        <f t="shared" si="2"/>
        <v>0</v>
      </c>
      <c r="I12" s="223"/>
      <c r="J12" s="15">
        <v>350</v>
      </c>
      <c r="K12" s="14"/>
      <c r="L12" s="192">
        <f t="shared" si="3"/>
        <v>350</v>
      </c>
      <c r="M12" s="220">
        <f t="shared" si="4"/>
        <v>350</v>
      </c>
      <c r="N12" s="221"/>
    </row>
    <row r="13" spans="1:14" ht="13.5" customHeight="1">
      <c r="A13" s="230" t="s">
        <v>14</v>
      </c>
      <c r="B13" s="15">
        <v>0</v>
      </c>
      <c r="C13" s="14">
        <v>0</v>
      </c>
      <c r="D13" s="192">
        <f t="shared" si="0"/>
        <v>0</v>
      </c>
      <c r="E13" s="15">
        <v>0</v>
      </c>
      <c r="F13" s="14">
        <v>0</v>
      </c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>
        <v>0</v>
      </c>
      <c r="C14" s="14">
        <v>0</v>
      </c>
      <c r="D14" s="192">
        <f t="shared" si="0"/>
        <v>0</v>
      </c>
      <c r="E14" s="15">
        <v>0</v>
      </c>
      <c r="F14" s="14">
        <v>0</v>
      </c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SUM(B17:B18)</f>
        <v>19791</v>
      </c>
      <c r="C15" s="14">
        <f>SUM(C17:C18)</f>
        <v>0</v>
      </c>
      <c r="D15" s="192">
        <f t="shared" si="0"/>
        <v>19791</v>
      </c>
      <c r="E15" s="15">
        <f>SUM(E16+E17+E18)</f>
        <v>21571</v>
      </c>
      <c r="F15" s="14">
        <f>SUM(F17:F18)</f>
        <v>0</v>
      </c>
      <c r="G15" s="192">
        <f t="shared" si="1"/>
        <v>21571</v>
      </c>
      <c r="H15" s="220">
        <f t="shared" si="2"/>
        <v>1780</v>
      </c>
      <c r="I15" s="223">
        <f t="shared" si="5"/>
        <v>1.0899398716588349</v>
      </c>
      <c r="J15" s="17">
        <f>SUM(J17+J16+J18)</f>
        <v>15885</v>
      </c>
      <c r="K15" s="17">
        <f>SUM(K17:K18)</f>
        <v>0</v>
      </c>
      <c r="L15" s="192">
        <f t="shared" si="3"/>
        <v>15885</v>
      </c>
      <c r="M15" s="220">
        <f t="shared" si="4"/>
        <v>-5686</v>
      </c>
      <c r="N15" s="221">
        <f t="shared" si="6"/>
        <v>0.7364053590468684</v>
      </c>
    </row>
    <row r="16" spans="1:14" ht="13.5" customHeight="1">
      <c r="A16" s="244" t="s">
        <v>429</v>
      </c>
      <c r="B16" s="15"/>
      <c r="C16" s="14"/>
      <c r="D16" s="192"/>
      <c r="E16" s="15">
        <v>197</v>
      </c>
      <c r="F16" s="14">
        <v>0</v>
      </c>
      <c r="G16" s="192">
        <v>197</v>
      </c>
      <c r="H16" s="220"/>
      <c r="I16" s="223"/>
      <c r="J16" s="17">
        <v>295</v>
      </c>
      <c r="K16" s="208"/>
      <c r="L16" s="192">
        <v>295</v>
      </c>
      <c r="M16" s="220"/>
      <c r="N16" s="221"/>
    </row>
    <row r="17" spans="1:14" ht="13.5" customHeight="1">
      <c r="A17" s="231" t="s">
        <v>219</v>
      </c>
      <c r="B17" s="15">
        <v>19791</v>
      </c>
      <c r="C17" s="14">
        <v>0</v>
      </c>
      <c r="D17" s="192">
        <f t="shared" si="0"/>
        <v>19791</v>
      </c>
      <c r="E17" s="15">
        <v>21374</v>
      </c>
      <c r="F17" s="14">
        <v>0</v>
      </c>
      <c r="G17" s="192">
        <f t="shared" si="1"/>
        <v>21374</v>
      </c>
      <c r="H17" s="220">
        <f t="shared" si="2"/>
        <v>1583</v>
      </c>
      <c r="I17" s="223"/>
      <c r="J17" s="17">
        <f>2552-1276</f>
        <v>1276</v>
      </c>
      <c r="K17" s="14"/>
      <c r="L17" s="192">
        <f t="shared" si="3"/>
        <v>1276</v>
      </c>
      <c r="M17" s="220">
        <f t="shared" si="4"/>
        <v>-20098</v>
      </c>
      <c r="N17" s="221">
        <f t="shared" si="6"/>
        <v>0.05969869935435576</v>
      </c>
    </row>
    <row r="18" spans="1:14" ht="13.5" customHeight="1" thickBot="1">
      <c r="A18" s="232" t="s">
        <v>220</v>
      </c>
      <c r="B18" s="189">
        <v>0</v>
      </c>
      <c r="C18" s="190">
        <v>0</v>
      </c>
      <c r="D18" s="192">
        <f t="shared" si="0"/>
        <v>0</v>
      </c>
      <c r="E18" s="189">
        <v>0</v>
      </c>
      <c r="F18" s="190">
        <v>0</v>
      </c>
      <c r="G18" s="193">
        <f t="shared" si="1"/>
        <v>0</v>
      </c>
      <c r="H18" s="366">
        <f t="shared" si="2"/>
        <v>0</v>
      </c>
      <c r="I18" s="370"/>
      <c r="J18" s="194">
        <v>14314</v>
      </c>
      <c r="K18" s="190"/>
      <c r="L18" s="193">
        <f t="shared" si="3"/>
        <v>14314</v>
      </c>
      <c r="M18" s="366">
        <f t="shared" si="4"/>
        <v>14314</v>
      </c>
      <c r="N18" s="367"/>
    </row>
    <row r="19" spans="1:14" ht="13.5" customHeight="1" thickBot="1">
      <c r="A19" s="209" t="s">
        <v>17</v>
      </c>
      <c r="B19" s="213">
        <f aca="true" t="shared" si="7" ref="B19:G19">SUM(B7+B8+B9+B10+B11+B13+B15)</f>
        <v>28958</v>
      </c>
      <c r="C19" s="214">
        <f t="shared" si="7"/>
        <v>289</v>
      </c>
      <c r="D19" s="215">
        <f t="shared" si="7"/>
        <v>29247</v>
      </c>
      <c r="E19" s="213">
        <f t="shared" si="7"/>
        <v>31573</v>
      </c>
      <c r="F19" s="214">
        <f t="shared" si="7"/>
        <v>335</v>
      </c>
      <c r="G19" s="215">
        <f t="shared" si="7"/>
        <v>31908</v>
      </c>
      <c r="H19" s="217">
        <f t="shared" si="2"/>
        <v>2661</v>
      </c>
      <c r="I19" s="132">
        <f t="shared" si="5"/>
        <v>1.0909836906349368</v>
      </c>
      <c r="J19" s="225">
        <f>SUM(J7+J8+J9+J10+J11+J13+J15)</f>
        <v>37644</v>
      </c>
      <c r="K19" s="214">
        <f>SUM(K7+K8+K9+K10+K11+K13+K15)</f>
        <v>0</v>
      </c>
      <c r="L19" s="215">
        <f>SUM(L7+L8+L9+L10+L11+L13+L15)</f>
        <v>37644</v>
      </c>
      <c r="M19" s="217">
        <f t="shared" si="4"/>
        <v>5736</v>
      </c>
      <c r="N19" s="226">
        <f t="shared" si="6"/>
        <v>1.1797668296352013</v>
      </c>
    </row>
    <row r="20" spans="1:14" ht="13.5" customHeight="1">
      <c r="A20" s="120" t="s">
        <v>18</v>
      </c>
      <c r="B20" s="95">
        <v>4793</v>
      </c>
      <c r="C20" s="96">
        <v>172</v>
      </c>
      <c r="D20" s="97">
        <f aca="true" t="shared" si="8" ref="D20:D37">SUM(B20:C20)</f>
        <v>4965</v>
      </c>
      <c r="E20" s="95">
        <v>4958</v>
      </c>
      <c r="F20" s="96">
        <v>169</v>
      </c>
      <c r="G20" s="121">
        <f aca="true" t="shared" si="9" ref="G20:G37">SUM(E20:F20)</f>
        <v>5127</v>
      </c>
      <c r="H20" s="122">
        <f t="shared" si="2"/>
        <v>162</v>
      </c>
      <c r="I20" s="123">
        <f t="shared" si="5"/>
        <v>1.0326283987915408</v>
      </c>
      <c r="J20" s="100">
        <f>4620+278+400+1165</f>
        <v>6463</v>
      </c>
      <c r="K20" s="96"/>
      <c r="L20" s="124">
        <f aca="true" t="shared" si="10" ref="L20:L37">SUM(J20:K20)</f>
        <v>6463</v>
      </c>
      <c r="M20" s="122">
        <f t="shared" si="4"/>
        <v>1336</v>
      </c>
      <c r="N20" s="125">
        <f t="shared" si="6"/>
        <v>1.2605812365905988</v>
      </c>
    </row>
    <row r="21" spans="1:14" ht="21" customHeight="1">
      <c r="A21" s="106" t="s">
        <v>19</v>
      </c>
      <c r="B21" s="95">
        <v>664</v>
      </c>
      <c r="C21" s="96">
        <v>0</v>
      </c>
      <c r="D21" s="97">
        <f t="shared" si="8"/>
        <v>664</v>
      </c>
      <c r="E21" s="95">
        <v>385</v>
      </c>
      <c r="F21" s="96">
        <v>0</v>
      </c>
      <c r="G21" s="121">
        <f t="shared" si="9"/>
        <v>385</v>
      </c>
      <c r="H21" s="98">
        <f t="shared" si="2"/>
        <v>-279</v>
      </c>
      <c r="I21" s="99">
        <f t="shared" si="5"/>
        <v>0.5798192771084337</v>
      </c>
      <c r="J21" s="100">
        <v>350</v>
      </c>
      <c r="K21" s="96"/>
      <c r="L21" s="124">
        <f t="shared" si="10"/>
        <v>350</v>
      </c>
      <c r="M21" s="98">
        <f t="shared" si="4"/>
        <v>-35</v>
      </c>
      <c r="N21" s="101">
        <f t="shared" si="6"/>
        <v>0.9090909090909091</v>
      </c>
    </row>
    <row r="22" spans="1:14" ht="13.5" customHeight="1">
      <c r="A22" s="102" t="s">
        <v>20</v>
      </c>
      <c r="B22" s="103">
        <v>1946</v>
      </c>
      <c r="C22" s="104">
        <v>15</v>
      </c>
      <c r="D22" s="97">
        <f t="shared" si="8"/>
        <v>1961</v>
      </c>
      <c r="E22" s="103">
        <v>2238</v>
      </c>
      <c r="F22" s="104">
        <v>15</v>
      </c>
      <c r="G22" s="121">
        <f t="shared" si="9"/>
        <v>2253</v>
      </c>
      <c r="H22" s="98">
        <f t="shared" si="2"/>
        <v>292</v>
      </c>
      <c r="I22" s="99">
        <f t="shared" si="5"/>
        <v>1.1489036206017338</v>
      </c>
      <c r="J22" s="105">
        <f>852+1500+2000</f>
        <v>4352</v>
      </c>
      <c r="K22" s="104"/>
      <c r="L22" s="124">
        <f t="shared" si="10"/>
        <v>4352</v>
      </c>
      <c r="M22" s="98">
        <f t="shared" si="4"/>
        <v>2099</v>
      </c>
      <c r="N22" s="101">
        <f t="shared" si="6"/>
        <v>1.9316466932978251</v>
      </c>
    </row>
    <row r="23" spans="1:14" ht="13.5" customHeight="1">
      <c r="A23" s="106" t="s">
        <v>21</v>
      </c>
      <c r="B23" s="103">
        <v>0</v>
      </c>
      <c r="C23" s="104">
        <v>0</v>
      </c>
      <c r="D23" s="97">
        <f t="shared" si="8"/>
        <v>0</v>
      </c>
      <c r="E23" s="103">
        <v>0</v>
      </c>
      <c r="F23" s="104">
        <v>0</v>
      </c>
      <c r="G23" s="121">
        <f t="shared" si="9"/>
        <v>0</v>
      </c>
      <c r="H23" s="98">
        <f t="shared" si="2"/>
        <v>0</v>
      </c>
      <c r="I23" s="99"/>
      <c r="J23" s="105">
        <v>0</v>
      </c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22</v>
      </c>
      <c r="B24" s="103">
        <v>0</v>
      </c>
      <c r="C24" s="104">
        <v>0</v>
      </c>
      <c r="D24" s="97">
        <f t="shared" si="8"/>
        <v>0</v>
      </c>
      <c r="E24" s="103">
        <v>0</v>
      </c>
      <c r="F24" s="104">
        <v>0</v>
      </c>
      <c r="G24" s="121">
        <f t="shared" si="9"/>
        <v>0</v>
      </c>
      <c r="H24" s="98">
        <f t="shared" si="2"/>
        <v>0</v>
      </c>
      <c r="I24" s="99"/>
      <c r="J24" s="105">
        <v>0</v>
      </c>
      <c r="K24" s="104"/>
      <c r="L24" s="124">
        <f t="shared" si="10"/>
        <v>0</v>
      </c>
      <c r="M24" s="98">
        <f t="shared" si="4"/>
        <v>0</v>
      </c>
      <c r="N24" s="101"/>
    </row>
    <row r="25" spans="1:14" ht="13.5" customHeight="1">
      <c r="A25" s="102" t="s">
        <v>23</v>
      </c>
      <c r="B25" s="105">
        <v>1617</v>
      </c>
      <c r="C25" s="104">
        <v>3</v>
      </c>
      <c r="D25" s="97">
        <f t="shared" si="8"/>
        <v>1620</v>
      </c>
      <c r="E25" s="105">
        <v>1487</v>
      </c>
      <c r="F25" s="104">
        <v>3</v>
      </c>
      <c r="G25" s="121">
        <f t="shared" si="9"/>
        <v>1490</v>
      </c>
      <c r="H25" s="98">
        <f t="shared" si="2"/>
        <v>-130</v>
      </c>
      <c r="I25" s="99">
        <f aca="true" t="shared" si="11" ref="I25:I38">+G25/D25</f>
        <v>0.9197530864197531</v>
      </c>
      <c r="J25" s="105">
        <v>1430</v>
      </c>
      <c r="K25" s="104"/>
      <c r="L25" s="124">
        <f t="shared" si="10"/>
        <v>1430</v>
      </c>
      <c r="M25" s="98">
        <f t="shared" si="4"/>
        <v>-60</v>
      </c>
      <c r="N25" s="101">
        <f aca="true" t="shared" si="12" ref="N25:N38">+L25/G25</f>
        <v>0.959731543624161</v>
      </c>
    </row>
    <row r="26" spans="1:14" ht="13.5" customHeight="1">
      <c r="A26" s="106" t="s">
        <v>24</v>
      </c>
      <c r="B26" s="103">
        <v>423</v>
      </c>
      <c r="C26" s="104">
        <v>3</v>
      </c>
      <c r="D26" s="97">
        <f t="shared" si="8"/>
        <v>426</v>
      </c>
      <c r="E26" s="103">
        <v>363</v>
      </c>
      <c r="F26" s="104">
        <v>3</v>
      </c>
      <c r="G26" s="121">
        <f t="shared" si="9"/>
        <v>366</v>
      </c>
      <c r="H26" s="98">
        <f t="shared" si="2"/>
        <v>-60</v>
      </c>
      <c r="I26" s="99">
        <f t="shared" si="11"/>
        <v>0.8591549295774648</v>
      </c>
      <c r="J26" s="126">
        <v>300</v>
      </c>
      <c r="K26" s="104"/>
      <c r="L26" s="124">
        <f t="shared" si="10"/>
        <v>300</v>
      </c>
      <c r="M26" s="98">
        <f t="shared" si="4"/>
        <v>-66</v>
      </c>
      <c r="N26" s="101">
        <f t="shared" si="12"/>
        <v>0.819672131147541</v>
      </c>
    </row>
    <row r="27" spans="1:14" ht="13.5" customHeight="1">
      <c r="A27" s="102" t="s">
        <v>25</v>
      </c>
      <c r="B27" s="103">
        <v>1194</v>
      </c>
      <c r="C27" s="104">
        <v>0</v>
      </c>
      <c r="D27" s="97">
        <f t="shared" si="8"/>
        <v>1194</v>
      </c>
      <c r="E27" s="103">
        <v>1094</v>
      </c>
      <c r="F27" s="104">
        <v>0</v>
      </c>
      <c r="G27" s="121">
        <f t="shared" si="9"/>
        <v>1094</v>
      </c>
      <c r="H27" s="98">
        <f t="shared" si="2"/>
        <v>-100</v>
      </c>
      <c r="I27" s="99">
        <f t="shared" si="11"/>
        <v>0.916247906197655</v>
      </c>
      <c r="J27" s="126">
        <v>1095</v>
      </c>
      <c r="K27" s="104"/>
      <c r="L27" s="124">
        <f t="shared" si="10"/>
        <v>1095</v>
      </c>
      <c r="M27" s="98">
        <f t="shared" si="4"/>
        <v>1</v>
      </c>
      <c r="N27" s="101">
        <f t="shared" si="12"/>
        <v>1.0009140767824498</v>
      </c>
    </row>
    <row r="28" spans="1:14" ht="13.5" customHeight="1">
      <c r="A28" s="127" t="s">
        <v>26</v>
      </c>
      <c r="B28" s="105">
        <v>18882</v>
      </c>
      <c r="C28" s="104">
        <v>65</v>
      </c>
      <c r="D28" s="97">
        <f t="shared" si="8"/>
        <v>18947</v>
      </c>
      <c r="E28" s="105">
        <v>21203</v>
      </c>
      <c r="F28" s="104">
        <v>64</v>
      </c>
      <c r="G28" s="121">
        <f t="shared" si="9"/>
        <v>21267</v>
      </c>
      <c r="H28" s="98">
        <f t="shared" si="2"/>
        <v>2320</v>
      </c>
      <c r="I28" s="99">
        <f t="shared" si="11"/>
        <v>1.1224468253549376</v>
      </c>
      <c r="J28" s="105">
        <v>23773</v>
      </c>
      <c r="K28" s="104"/>
      <c r="L28" s="124">
        <f t="shared" si="10"/>
        <v>23773</v>
      </c>
      <c r="M28" s="98">
        <f t="shared" si="4"/>
        <v>2506</v>
      </c>
      <c r="N28" s="101">
        <f t="shared" si="12"/>
        <v>1.117835143649786</v>
      </c>
    </row>
    <row r="29" spans="1:14" ht="13.5" customHeight="1">
      <c r="A29" s="106" t="s">
        <v>27</v>
      </c>
      <c r="B29" s="103">
        <v>13757</v>
      </c>
      <c r="C29" s="104">
        <v>48</v>
      </c>
      <c r="D29" s="97">
        <f t="shared" si="8"/>
        <v>13805</v>
      </c>
      <c r="E29" s="103">
        <v>15416</v>
      </c>
      <c r="F29" s="104">
        <v>47</v>
      </c>
      <c r="G29" s="121">
        <f t="shared" si="9"/>
        <v>15463</v>
      </c>
      <c r="H29" s="98">
        <f t="shared" si="2"/>
        <v>1658</v>
      </c>
      <c r="I29" s="99">
        <f t="shared" si="11"/>
        <v>1.1201014125316915</v>
      </c>
      <c r="J29" s="126">
        <v>17306</v>
      </c>
      <c r="K29" s="128"/>
      <c r="L29" s="124">
        <f t="shared" si="10"/>
        <v>17306</v>
      </c>
      <c r="M29" s="98">
        <f t="shared" si="4"/>
        <v>1843</v>
      </c>
      <c r="N29" s="101">
        <f t="shared" si="12"/>
        <v>1.1191877384724827</v>
      </c>
    </row>
    <row r="30" spans="1:14" ht="13.5" customHeight="1">
      <c r="A30" s="127" t="s">
        <v>28</v>
      </c>
      <c r="B30" s="103">
        <v>13749</v>
      </c>
      <c r="C30" s="104">
        <v>48</v>
      </c>
      <c r="D30" s="97">
        <f t="shared" si="8"/>
        <v>13797</v>
      </c>
      <c r="E30" s="103">
        <v>15416</v>
      </c>
      <c r="F30" s="104">
        <v>47</v>
      </c>
      <c r="G30" s="121">
        <f t="shared" si="9"/>
        <v>15463</v>
      </c>
      <c r="H30" s="98">
        <f t="shared" si="2"/>
        <v>1666</v>
      </c>
      <c r="I30" s="99">
        <f t="shared" si="11"/>
        <v>1.1207508878741756</v>
      </c>
      <c r="J30" s="105">
        <v>17277</v>
      </c>
      <c r="K30" s="104"/>
      <c r="L30" s="124">
        <f t="shared" si="10"/>
        <v>17277</v>
      </c>
      <c r="M30" s="98">
        <f t="shared" si="4"/>
        <v>1814</v>
      </c>
      <c r="N30" s="101">
        <f t="shared" si="12"/>
        <v>1.117312293862769</v>
      </c>
    </row>
    <row r="31" spans="1:14" ht="13.5" customHeight="1">
      <c r="A31" s="106" t="s">
        <v>29</v>
      </c>
      <c r="B31" s="103">
        <v>8</v>
      </c>
      <c r="C31" s="104">
        <v>0</v>
      </c>
      <c r="D31" s="97">
        <f t="shared" si="8"/>
        <v>8</v>
      </c>
      <c r="E31" s="103">
        <v>0</v>
      </c>
      <c r="F31" s="104">
        <v>0</v>
      </c>
      <c r="G31" s="121">
        <f t="shared" si="9"/>
        <v>0</v>
      </c>
      <c r="H31" s="98">
        <f t="shared" si="2"/>
        <v>-8</v>
      </c>
      <c r="I31" s="99">
        <f t="shared" si="11"/>
        <v>0</v>
      </c>
      <c r="J31" s="105">
        <v>29</v>
      </c>
      <c r="K31" s="104"/>
      <c r="L31" s="124">
        <f t="shared" si="10"/>
        <v>29</v>
      </c>
      <c r="M31" s="98">
        <f t="shared" si="4"/>
        <v>29</v>
      </c>
      <c r="N31" s="101"/>
    </row>
    <row r="32" spans="1:14" ht="13.5" customHeight="1">
      <c r="A32" s="106" t="s">
        <v>30</v>
      </c>
      <c r="B32" s="103">
        <v>5125</v>
      </c>
      <c r="C32" s="104">
        <v>17</v>
      </c>
      <c r="D32" s="97">
        <f t="shared" si="8"/>
        <v>5142</v>
      </c>
      <c r="E32" s="103">
        <v>5787</v>
      </c>
      <c r="F32" s="104">
        <v>17</v>
      </c>
      <c r="G32" s="121">
        <f t="shared" si="9"/>
        <v>5804</v>
      </c>
      <c r="H32" s="98">
        <f t="shared" si="2"/>
        <v>662</v>
      </c>
      <c r="I32" s="99">
        <f t="shared" si="11"/>
        <v>1.1287436795021393</v>
      </c>
      <c r="J32" s="105">
        <v>6467</v>
      </c>
      <c r="K32" s="104"/>
      <c r="L32" s="124">
        <f t="shared" si="10"/>
        <v>6467</v>
      </c>
      <c r="M32" s="98">
        <f t="shared" si="4"/>
        <v>663</v>
      </c>
      <c r="N32" s="101">
        <f t="shared" si="12"/>
        <v>1.1142315644383185</v>
      </c>
    </row>
    <row r="33" spans="1:14" ht="13.5" customHeight="1">
      <c r="A33" s="127" t="s">
        <v>31</v>
      </c>
      <c r="B33" s="103">
        <v>0</v>
      </c>
      <c r="C33" s="104">
        <v>0</v>
      </c>
      <c r="D33" s="97">
        <f t="shared" si="8"/>
        <v>0</v>
      </c>
      <c r="E33" s="103">
        <v>0</v>
      </c>
      <c r="F33" s="104">
        <v>0</v>
      </c>
      <c r="G33" s="121">
        <f t="shared" si="9"/>
        <v>0</v>
      </c>
      <c r="H33" s="98">
        <f t="shared" si="2"/>
        <v>0</v>
      </c>
      <c r="I33" s="99"/>
      <c r="J33" s="105">
        <v>0</v>
      </c>
      <c r="K33" s="104"/>
      <c r="L33" s="124">
        <f t="shared" si="10"/>
        <v>0</v>
      </c>
      <c r="M33" s="98">
        <f t="shared" si="4"/>
        <v>0</v>
      </c>
      <c r="N33" s="101"/>
    </row>
    <row r="34" spans="1:14" ht="13.5" customHeight="1">
      <c r="A34" s="127" t="s">
        <v>32</v>
      </c>
      <c r="B34" s="103">
        <v>152</v>
      </c>
      <c r="C34" s="104">
        <v>0</v>
      </c>
      <c r="D34" s="97">
        <f t="shared" si="8"/>
        <v>152</v>
      </c>
      <c r="E34" s="103">
        <v>147</v>
      </c>
      <c r="F34" s="104">
        <v>0</v>
      </c>
      <c r="G34" s="121">
        <f t="shared" si="9"/>
        <v>147</v>
      </c>
      <c r="H34" s="98">
        <f t="shared" si="2"/>
        <v>-5</v>
      </c>
      <c r="I34" s="99">
        <f t="shared" si="11"/>
        <v>0.9671052631578947</v>
      </c>
      <c r="J34" s="105">
        <v>158</v>
      </c>
      <c r="K34" s="104"/>
      <c r="L34" s="124">
        <f t="shared" si="10"/>
        <v>158</v>
      </c>
      <c r="M34" s="98">
        <f t="shared" si="4"/>
        <v>11</v>
      </c>
      <c r="N34" s="101">
        <f t="shared" si="12"/>
        <v>1.0748299319727892</v>
      </c>
    </row>
    <row r="35" spans="1:14" ht="13.5" customHeight="1">
      <c r="A35" s="106" t="s">
        <v>33</v>
      </c>
      <c r="B35" s="103">
        <v>1422</v>
      </c>
      <c r="C35" s="104">
        <v>2</v>
      </c>
      <c r="D35" s="97">
        <f t="shared" si="8"/>
        <v>1424</v>
      </c>
      <c r="E35" s="103">
        <v>1450</v>
      </c>
      <c r="F35" s="104">
        <v>2</v>
      </c>
      <c r="G35" s="121">
        <f t="shared" si="9"/>
        <v>1452</v>
      </c>
      <c r="H35" s="98">
        <f t="shared" si="2"/>
        <v>28</v>
      </c>
      <c r="I35" s="99">
        <f t="shared" si="11"/>
        <v>1.0196629213483146</v>
      </c>
      <c r="J35" s="126">
        <v>1468</v>
      </c>
      <c r="K35" s="104"/>
      <c r="L35" s="124">
        <f t="shared" si="10"/>
        <v>1468</v>
      </c>
      <c r="M35" s="98">
        <f t="shared" si="4"/>
        <v>16</v>
      </c>
      <c r="N35" s="101">
        <f t="shared" si="12"/>
        <v>1.0110192837465564</v>
      </c>
    </row>
    <row r="36" spans="1:14" ht="22.5" customHeight="1">
      <c r="A36" s="106" t="s">
        <v>34</v>
      </c>
      <c r="B36" s="103">
        <v>1422</v>
      </c>
      <c r="C36" s="104">
        <v>2</v>
      </c>
      <c r="D36" s="97">
        <f t="shared" si="8"/>
        <v>1424</v>
      </c>
      <c r="E36" s="103">
        <v>1450</v>
      </c>
      <c r="F36" s="104">
        <v>2</v>
      </c>
      <c r="G36" s="121">
        <f t="shared" si="9"/>
        <v>1452</v>
      </c>
      <c r="H36" s="98">
        <f t="shared" si="2"/>
        <v>28</v>
      </c>
      <c r="I36" s="99">
        <f t="shared" si="11"/>
        <v>1.0196629213483146</v>
      </c>
      <c r="J36" s="126">
        <v>1468</v>
      </c>
      <c r="K36" s="104"/>
      <c r="L36" s="124">
        <f t="shared" si="10"/>
        <v>1468</v>
      </c>
      <c r="M36" s="98">
        <f t="shared" si="4"/>
        <v>16</v>
      </c>
      <c r="N36" s="101">
        <f t="shared" si="12"/>
        <v>1.0110192837465564</v>
      </c>
    </row>
    <row r="37" spans="1:14" ht="13.5" customHeight="1" thickBot="1">
      <c r="A37" s="129" t="s">
        <v>35</v>
      </c>
      <c r="B37" s="107">
        <v>0</v>
      </c>
      <c r="C37" s="108">
        <v>0</v>
      </c>
      <c r="D37" s="97">
        <f t="shared" si="8"/>
        <v>0</v>
      </c>
      <c r="E37" s="107">
        <v>0</v>
      </c>
      <c r="F37" s="108">
        <v>0</v>
      </c>
      <c r="G37" s="121">
        <f t="shared" si="9"/>
        <v>0</v>
      </c>
      <c r="H37" s="109">
        <f t="shared" si="2"/>
        <v>0</v>
      </c>
      <c r="I37" s="110"/>
      <c r="J37" s="130"/>
      <c r="K37" s="108"/>
      <c r="L37" s="124">
        <f t="shared" si="10"/>
        <v>0</v>
      </c>
      <c r="M37" s="109">
        <f t="shared" si="4"/>
        <v>0</v>
      </c>
      <c r="N37" s="111"/>
    </row>
    <row r="38" spans="1:14" ht="13.5" customHeight="1" thickBot="1">
      <c r="A38" s="112" t="s">
        <v>36</v>
      </c>
      <c r="B38" s="113">
        <f aca="true" t="shared" si="13" ref="B38:G38">SUM(B20+B22+B23+B24+B25+B28+B33+B34+B35+B37)</f>
        <v>28812</v>
      </c>
      <c r="C38" s="114">
        <f t="shared" si="13"/>
        <v>257</v>
      </c>
      <c r="D38" s="115">
        <f t="shared" si="13"/>
        <v>29069</v>
      </c>
      <c r="E38" s="113">
        <f t="shared" si="13"/>
        <v>31483</v>
      </c>
      <c r="F38" s="114">
        <f t="shared" si="13"/>
        <v>253</v>
      </c>
      <c r="G38" s="115">
        <f t="shared" si="13"/>
        <v>31736</v>
      </c>
      <c r="H38" s="116">
        <f t="shared" si="2"/>
        <v>2667</v>
      </c>
      <c r="I38" s="117">
        <f t="shared" si="11"/>
        <v>1.0917472221266642</v>
      </c>
      <c r="J38" s="118">
        <f>SUM(J20+J22+J23+J24+J25+J28+J33+J34+J35+J37)</f>
        <v>37644</v>
      </c>
      <c r="K38" s="114">
        <f>SUM(K20+K22+K23+K24+K25+K28+K33+K34+K35+K37)</f>
        <v>0</v>
      </c>
      <c r="L38" s="115">
        <f>SUM(L20+L22+L23+L24+L25+L28+L33+L34+L35+L37)</f>
        <v>37644</v>
      </c>
      <c r="M38" s="116">
        <f t="shared" si="4"/>
        <v>5908</v>
      </c>
      <c r="N38" s="119">
        <f t="shared" si="12"/>
        <v>1.1861608268212755</v>
      </c>
    </row>
    <row r="39" spans="1:14" ht="13.5" customHeight="1" thickBot="1">
      <c r="A39" s="112" t="s">
        <v>37</v>
      </c>
      <c r="B39" s="470">
        <f>+D19-D38</f>
        <v>178</v>
      </c>
      <c r="C39" s="470"/>
      <c r="D39" s="470"/>
      <c r="E39" s="471">
        <v>171.5</v>
      </c>
      <c r="F39" s="471"/>
      <c r="G39" s="471">
        <v>-50784</v>
      </c>
      <c r="H39" s="131">
        <f>+E39-B39</f>
        <v>-6.5</v>
      </c>
      <c r="I39" s="132"/>
      <c r="J39" s="472">
        <f>+L19-L38</f>
        <v>0</v>
      </c>
      <c r="K39" s="472"/>
      <c r="L39" s="472">
        <v>0</v>
      </c>
      <c r="M39" s="116"/>
      <c r="N39" s="119"/>
    </row>
    <row r="40" spans="1:16" ht="20.25" customHeight="1" thickBot="1">
      <c r="A40" s="133" t="s">
        <v>38</v>
      </c>
      <c r="B40" s="470"/>
      <c r="C40" s="470"/>
      <c r="D40" s="470"/>
      <c r="E40" s="470"/>
      <c r="F40" s="470"/>
      <c r="G40" s="470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9"/>
      <c r="E41" s="7"/>
      <c r="F41" s="7"/>
      <c r="G41" s="7"/>
      <c r="H41" s="7"/>
    </row>
    <row r="42" spans="1:16" ht="13.5" thickBot="1">
      <c r="A42" s="456" t="s">
        <v>132</v>
      </c>
      <c r="B42" s="456"/>
      <c r="C42" s="444" t="s">
        <v>39</v>
      </c>
      <c r="D42" s="456" t="s">
        <v>221</v>
      </c>
      <c r="E42" s="456"/>
      <c r="F42" s="456"/>
      <c r="G42" s="444" t="s">
        <v>39</v>
      </c>
      <c r="H42" s="461" t="s">
        <v>222</v>
      </c>
      <c r="I42" s="461"/>
      <c r="J42" s="461"/>
      <c r="K42" s="461"/>
      <c r="L42" s="444" t="s">
        <v>39</v>
      </c>
      <c r="O42"/>
      <c r="P42"/>
    </row>
    <row r="43" spans="1:16" ht="13.5" thickBot="1">
      <c r="A43" s="456"/>
      <c r="B43" s="456"/>
      <c r="C43" s="444"/>
      <c r="D43" s="456"/>
      <c r="E43" s="456"/>
      <c r="F43" s="456"/>
      <c r="G43" s="444"/>
      <c r="H43" s="461"/>
      <c r="I43" s="461"/>
      <c r="J43" s="461"/>
      <c r="K43" s="461"/>
      <c r="L43" s="444"/>
      <c r="O43"/>
      <c r="P43"/>
    </row>
    <row r="44" spans="1:16" ht="12.75">
      <c r="A44" s="469" t="s">
        <v>135</v>
      </c>
      <c r="B44" s="469"/>
      <c r="C44" s="134">
        <v>97</v>
      </c>
      <c r="D44" s="468" t="s">
        <v>118</v>
      </c>
      <c r="E44" s="468"/>
      <c r="F44" s="468"/>
      <c r="G44" s="135">
        <v>185</v>
      </c>
      <c r="H44" s="467" t="s">
        <v>430</v>
      </c>
      <c r="I44" s="467"/>
      <c r="J44" s="467"/>
      <c r="K44" s="467"/>
      <c r="L44" s="136">
        <v>300</v>
      </c>
      <c r="O44"/>
      <c r="P44"/>
    </row>
    <row r="45" spans="1:16" ht="12.75">
      <c r="A45" s="463" t="s">
        <v>431</v>
      </c>
      <c r="B45" s="463"/>
      <c r="C45" s="137">
        <v>278</v>
      </c>
      <c r="D45" s="468" t="s">
        <v>203</v>
      </c>
      <c r="E45" s="468"/>
      <c r="F45" s="468"/>
      <c r="G45" s="138">
        <v>73</v>
      </c>
      <c r="H45" s="467" t="s">
        <v>432</v>
      </c>
      <c r="I45" s="467"/>
      <c r="J45" s="467"/>
      <c r="K45" s="467"/>
      <c r="L45" s="136">
        <v>130</v>
      </c>
      <c r="O45"/>
      <c r="P45"/>
    </row>
    <row r="46" spans="1:16" ht="12.75">
      <c r="A46" s="463" t="s">
        <v>433</v>
      </c>
      <c r="B46" s="463"/>
      <c r="C46" s="137">
        <v>15</v>
      </c>
      <c r="D46" s="468" t="s">
        <v>84</v>
      </c>
      <c r="E46" s="468"/>
      <c r="F46" s="468"/>
      <c r="G46" s="138">
        <v>536</v>
      </c>
      <c r="H46" s="467" t="s">
        <v>434</v>
      </c>
      <c r="I46" s="467"/>
      <c r="J46" s="467"/>
      <c r="K46" s="467"/>
      <c r="L46" s="136">
        <v>500</v>
      </c>
      <c r="O46"/>
      <c r="P46"/>
    </row>
    <row r="47" spans="1:16" ht="12.75">
      <c r="A47" s="463" t="s">
        <v>213</v>
      </c>
      <c r="B47" s="463"/>
      <c r="C47" s="139">
        <v>510</v>
      </c>
      <c r="D47" s="463"/>
      <c r="E47" s="463"/>
      <c r="F47" s="463"/>
      <c r="G47" s="140"/>
      <c r="H47" s="464" t="s">
        <v>435</v>
      </c>
      <c r="I47" s="464"/>
      <c r="J47" s="464"/>
      <c r="K47" s="464"/>
      <c r="L47" s="136">
        <v>500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 t="s">
        <v>136</v>
      </c>
      <c r="I48" s="464"/>
      <c r="J48" s="464"/>
      <c r="K48" s="464"/>
      <c r="L48" s="136">
        <v>500</v>
      </c>
      <c r="O48"/>
      <c r="P48"/>
    </row>
    <row r="49" spans="1:16" ht="12.75">
      <c r="A49" s="463"/>
      <c r="B49" s="463"/>
      <c r="C49" s="139"/>
      <c r="D49" s="463"/>
      <c r="E49" s="463"/>
      <c r="F49" s="463"/>
      <c r="G49" s="140"/>
      <c r="H49" s="464" t="s">
        <v>436</v>
      </c>
      <c r="I49" s="464"/>
      <c r="J49" s="464"/>
      <c r="K49" s="464"/>
      <c r="L49" s="136">
        <v>581</v>
      </c>
      <c r="O49"/>
      <c r="P49"/>
    </row>
    <row r="50" spans="1:16" ht="13.5" thickBot="1">
      <c r="A50" s="465"/>
      <c r="B50" s="465"/>
      <c r="C50" s="139"/>
      <c r="D50" s="466"/>
      <c r="E50" s="466"/>
      <c r="F50" s="466"/>
      <c r="G50" s="140"/>
      <c r="H50" s="467"/>
      <c r="I50" s="467"/>
      <c r="J50" s="467"/>
      <c r="K50" s="467"/>
      <c r="L50" s="136"/>
      <c r="O50"/>
      <c r="P50"/>
    </row>
    <row r="51" spans="1:16" ht="13.5" thickBot="1">
      <c r="A51" s="450"/>
      <c r="B51" s="450"/>
      <c r="C51" s="141">
        <f>SUM(C44:C50)</f>
        <v>900</v>
      </c>
      <c r="D51" s="451" t="s">
        <v>3</v>
      </c>
      <c r="E51" s="451"/>
      <c r="F51" s="451"/>
      <c r="G51" s="141">
        <f>SUM(G44:G50)</f>
        <v>794</v>
      </c>
      <c r="H51" s="452" t="s">
        <v>3</v>
      </c>
      <c r="I51" s="452"/>
      <c r="J51" s="452"/>
      <c r="K51" s="452"/>
      <c r="L51" s="141">
        <f>SUM(L44:L50)</f>
        <v>2511</v>
      </c>
      <c r="M51" s="20"/>
      <c r="N51" s="20"/>
      <c r="O51"/>
      <c r="P51"/>
    </row>
    <row r="52" spans="1:16" s="1" customFormat="1" ht="13.5" customHeight="1" thickBot="1">
      <c r="A52" s="21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453" t="s">
        <v>230</v>
      </c>
      <c r="B53" s="454"/>
      <c r="C53" s="457" t="s">
        <v>39</v>
      </c>
      <c r="D53" s="459" t="s">
        <v>231</v>
      </c>
      <c r="E53" s="459"/>
      <c r="F53" s="459"/>
      <c r="G53" s="460" t="s">
        <v>39</v>
      </c>
      <c r="H53" s="461" t="s">
        <v>232</v>
      </c>
      <c r="I53" s="461"/>
      <c r="J53" s="461"/>
      <c r="K53" s="461"/>
      <c r="L53" s="444" t="s">
        <v>39</v>
      </c>
      <c r="O53"/>
      <c r="P53"/>
    </row>
    <row r="54" spans="1:16" ht="13.5" thickBot="1">
      <c r="A54" s="455"/>
      <c r="B54" s="456"/>
      <c r="C54" s="458"/>
      <c r="D54" s="459"/>
      <c r="E54" s="459"/>
      <c r="F54" s="459"/>
      <c r="G54" s="460"/>
      <c r="H54" s="461"/>
      <c r="I54" s="461"/>
      <c r="J54" s="461"/>
      <c r="K54" s="461"/>
      <c r="L54" s="444"/>
      <c r="O54"/>
      <c r="P54"/>
    </row>
    <row r="55" spans="1:16" ht="12.75">
      <c r="A55" s="445" t="s">
        <v>137</v>
      </c>
      <c r="B55" s="446"/>
      <c r="C55" s="233">
        <v>210</v>
      </c>
      <c r="D55" s="447" t="s">
        <v>437</v>
      </c>
      <c r="E55" s="447"/>
      <c r="F55" s="447"/>
      <c r="G55" s="142">
        <v>366</v>
      </c>
      <c r="H55" s="464" t="s">
        <v>208</v>
      </c>
      <c r="I55" s="464"/>
      <c r="J55" s="464"/>
      <c r="K55" s="464"/>
      <c r="L55" s="144">
        <v>100</v>
      </c>
      <c r="O55"/>
      <c r="P55"/>
    </row>
    <row r="56" spans="1:16" ht="13.5" customHeight="1">
      <c r="A56" s="418" t="s">
        <v>94</v>
      </c>
      <c r="B56" s="419"/>
      <c r="C56" s="234">
        <v>213</v>
      </c>
      <c r="D56" s="420"/>
      <c r="E56" s="420"/>
      <c r="F56" s="420"/>
      <c r="G56" s="143"/>
      <c r="H56" s="464" t="s">
        <v>438</v>
      </c>
      <c r="I56" s="464"/>
      <c r="J56" s="464"/>
      <c r="K56" s="464"/>
      <c r="L56" s="146">
        <v>200</v>
      </c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4"/>
      <c r="D58" s="420"/>
      <c r="E58" s="420"/>
      <c r="F58" s="420"/>
      <c r="G58" s="143"/>
      <c r="H58" s="464"/>
      <c r="I58" s="464"/>
      <c r="J58" s="464"/>
      <c r="K58" s="464"/>
      <c r="L58" s="144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419"/>
      <c r="C60" s="235"/>
      <c r="D60" s="420"/>
      <c r="E60" s="420"/>
      <c r="F60" s="420"/>
      <c r="G60" s="145"/>
      <c r="H60" s="464"/>
      <c r="I60" s="464"/>
      <c r="J60" s="464"/>
      <c r="K60" s="464"/>
      <c r="L60" s="146"/>
      <c r="O60"/>
      <c r="P60"/>
    </row>
    <row r="61" spans="1:16" ht="13.5" customHeight="1">
      <c r="A61" s="418"/>
      <c r="B61" s="518"/>
      <c r="C61" s="234"/>
      <c r="D61" s="420"/>
      <c r="E61" s="420"/>
      <c r="F61" s="420"/>
      <c r="G61" s="143"/>
      <c r="H61" s="464"/>
      <c r="I61" s="464"/>
      <c r="J61" s="464"/>
      <c r="K61" s="464"/>
      <c r="L61" s="144"/>
      <c r="O61"/>
      <c r="P61"/>
    </row>
    <row r="62" spans="1:16" ht="13.5" thickBot="1">
      <c r="A62" s="511"/>
      <c r="B62" s="512"/>
      <c r="C62" s="236"/>
      <c r="D62" s="513"/>
      <c r="E62" s="513"/>
      <c r="F62" s="513"/>
      <c r="G62" s="147"/>
      <c r="H62" s="514"/>
      <c r="I62" s="514"/>
      <c r="J62" s="514"/>
      <c r="K62" s="514"/>
      <c r="L62" s="148"/>
      <c r="O62"/>
      <c r="P62"/>
    </row>
    <row r="63" spans="1:16" ht="13.5" thickBot="1">
      <c r="A63" s="515" t="s">
        <v>3</v>
      </c>
      <c r="B63" s="516"/>
      <c r="C63" s="237">
        <f>SUM(C55:C62)</f>
        <v>423</v>
      </c>
      <c r="D63" s="517" t="s">
        <v>3</v>
      </c>
      <c r="E63" s="517"/>
      <c r="F63" s="517"/>
      <c r="G63" s="149">
        <f>SUM(G55:G62)</f>
        <v>366</v>
      </c>
      <c r="H63" s="452" t="s">
        <v>3</v>
      </c>
      <c r="I63" s="452"/>
      <c r="J63" s="452"/>
      <c r="K63" s="452"/>
      <c r="L63" s="141">
        <f>SUM(L55:L62)</f>
        <v>300</v>
      </c>
      <c r="M63" s="20"/>
      <c r="N63" s="20"/>
      <c r="O63"/>
      <c r="P63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46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188</v>
      </c>
      <c r="I67" s="483" t="s">
        <v>511</v>
      </c>
      <c r="J67" s="485"/>
      <c r="K67" s="485"/>
      <c r="L67" s="63">
        <v>280</v>
      </c>
      <c r="M67" s="22"/>
      <c r="N67" s="22"/>
    </row>
    <row r="68" spans="1:14" s="1" customFormat="1" ht="12.75">
      <c r="A68" s="64" t="s">
        <v>124</v>
      </c>
      <c r="B68" s="57">
        <v>142</v>
      </c>
      <c r="C68" s="478"/>
      <c r="D68" s="478"/>
      <c r="E68" s="65"/>
      <c r="F68" s="486" t="s">
        <v>127</v>
      </c>
      <c r="G68" s="479"/>
      <c r="H68" s="57">
        <v>113.5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188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301.5</v>
      </c>
      <c r="I71" s="473" t="s">
        <v>3</v>
      </c>
      <c r="J71" s="475"/>
      <c r="K71" s="475"/>
      <c r="L71" s="70">
        <f>SUM(L67:L70)</f>
        <v>280</v>
      </c>
      <c r="M71" s="22"/>
      <c r="N71" s="22"/>
    </row>
    <row r="72" spans="1:14" s="1" customFormat="1" ht="13.5" thickBot="1">
      <c r="A72" s="78" t="s">
        <v>212</v>
      </c>
      <c r="B72" s="79">
        <f>B71-E71</f>
        <v>188</v>
      </c>
      <c r="C72" s="22"/>
      <c r="D72" s="22"/>
      <c r="E72" s="22"/>
      <c r="F72" s="476" t="s">
        <v>212</v>
      </c>
      <c r="G72" s="477"/>
      <c r="H72" s="80">
        <f>H71-L71</f>
        <v>21.5</v>
      </c>
      <c r="I72" s="22"/>
      <c r="J72" s="22"/>
      <c r="K72" s="22"/>
      <c r="L72" s="22"/>
      <c r="M72" s="22"/>
      <c r="N72" s="22"/>
    </row>
    <row r="73" spans="1:14" s="1" customFormat="1" ht="12.75">
      <c r="A73" s="239"/>
      <c r="B73" s="239"/>
      <c r="C73" s="22"/>
      <c r="D73" s="22"/>
      <c r="E73" s="22"/>
      <c r="F73" s="239"/>
      <c r="G73" s="239"/>
      <c r="H73" s="239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2" s="1" customFormat="1" ht="12.75">
      <c r="A76" s="23"/>
      <c r="B76" s="24"/>
      <c r="C76" s="24"/>
      <c r="D76" s="24"/>
      <c r="E76" s="2"/>
      <c r="F76" s="4"/>
      <c r="G76" s="4"/>
      <c r="H76" s="23"/>
      <c r="I76" s="24"/>
      <c r="J76" s="24"/>
      <c r="K76" s="24"/>
      <c r="L76" s="2"/>
    </row>
    <row r="77" spans="1:12" s="1" customFormat="1" ht="13.5" thickBot="1">
      <c r="A77" s="23"/>
      <c r="B77" s="24"/>
      <c r="C77" s="24"/>
      <c r="D77" s="24"/>
      <c r="E77" s="2"/>
      <c r="F77" s="4"/>
      <c r="G77" s="4"/>
      <c r="H77" s="23"/>
      <c r="I77" s="24"/>
      <c r="J77" s="24" t="s">
        <v>215</v>
      </c>
      <c r="K77" s="24"/>
      <c r="L77" s="2"/>
    </row>
    <row r="78" spans="1:15" s="1" customFormat="1" ht="12.75">
      <c r="A78" s="519" t="s">
        <v>64</v>
      </c>
      <c r="B78" s="522" t="s">
        <v>245</v>
      </c>
      <c r="C78" s="525" t="s">
        <v>246</v>
      </c>
      <c r="D78" s="526"/>
      <c r="E78" s="526"/>
      <c r="F78" s="526"/>
      <c r="G78" s="526"/>
      <c r="H78" s="526"/>
      <c r="I78" s="527"/>
      <c r="J78" s="528" t="s">
        <v>247</v>
      </c>
      <c r="K78" s="7"/>
      <c r="L78" s="531" t="s">
        <v>41</v>
      </c>
      <c r="M78" s="532"/>
      <c r="N78" s="83">
        <v>2005</v>
      </c>
      <c r="O78" s="84">
        <v>2006</v>
      </c>
    </row>
    <row r="79" spans="1:15" s="1" customFormat="1" ht="12.75">
      <c r="A79" s="520"/>
      <c r="B79" s="523"/>
      <c r="C79" s="533" t="s">
        <v>65</v>
      </c>
      <c r="D79" s="535" t="s">
        <v>66</v>
      </c>
      <c r="E79" s="536"/>
      <c r="F79" s="536"/>
      <c r="G79" s="536"/>
      <c r="H79" s="536"/>
      <c r="I79" s="537"/>
      <c r="J79" s="529"/>
      <c r="K79" s="7"/>
      <c r="L79" s="87" t="s">
        <v>128</v>
      </c>
      <c r="M79" s="86"/>
      <c r="N79" s="82">
        <v>0</v>
      </c>
      <c r="O79" s="85">
        <v>0</v>
      </c>
    </row>
    <row r="80" spans="1:15" s="1" customFormat="1" ht="13.5" thickBot="1">
      <c r="A80" s="521"/>
      <c r="B80" s="524"/>
      <c r="C80" s="534"/>
      <c r="D80" s="28">
        <v>1</v>
      </c>
      <c r="E80" s="28">
        <v>2</v>
      </c>
      <c r="F80" s="28">
        <v>3</v>
      </c>
      <c r="G80" s="28">
        <v>4</v>
      </c>
      <c r="H80" s="28">
        <v>5</v>
      </c>
      <c r="I80" s="75">
        <v>6</v>
      </c>
      <c r="J80" s="530"/>
      <c r="K80" s="7"/>
      <c r="L80" s="86" t="s">
        <v>42</v>
      </c>
      <c r="M80" s="87"/>
      <c r="N80" s="25">
        <v>0</v>
      </c>
      <c r="O80" s="26">
        <v>0</v>
      </c>
    </row>
    <row r="81" spans="1:15" s="1" customFormat="1" ht="13.5" thickBot="1">
      <c r="A81" s="29">
        <v>70436</v>
      </c>
      <c r="B81" s="30">
        <v>15010</v>
      </c>
      <c r="C81" s="73">
        <f>SUM(D81:I81)</f>
        <v>1468</v>
      </c>
      <c r="D81" s="74">
        <v>134</v>
      </c>
      <c r="E81" s="74">
        <v>614</v>
      </c>
      <c r="F81" s="74">
        <v>133</v>
      </c>
      <c r="G81" s="74"/>
      <c r="H81" s="73">
        <v>587</v>
      </c>
      <c r="I81" s="81"/>
      <c r="J81" s="31">
        <f>SUM(A81-B81-C81)</f>
        <v>53958</v>
      </c>
      <c r="K81" s="7"/>
      <c r="L81" s="88" t="s">
        <v>43</v>
      </c>
      <c r="M81" s="89"/>
      <c r="N81" s="71">
        <v>0</v>
      </c>
      <c r="O81" s="72">
        <v>0</v>
      </c>
    </row>
    <row r="82" spans="1:12" s="1" customFormat="1" ht="12.75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"/>
    </row>
    <row r="83" spans="1:12" s="1" customFormat="1" ht="13.5" thickBot="1">
      <c r="A83" s="23"/>
      <c r="B83" s="24"/>
      <c r="C83" s="24"/>
      <c r="D83" s="24"/>
      <c r="E83" s="2"/>
      <c r="F83" s="227"/>
      <c r="G83" s="4"/>
      <c r="H83" s="23"/>
      <c r="I83" s="24"/>
      <c r="J83" s="24"/>
      <c r="K83" s="24"/>
      <c r="L83" s="24" t="s">
        <v>215</v>
      </c>
    </row>
    <row r="84" spans="1:12" s="1" customFormat="1" ht="12.75">
      <c r="A84" s="543" t="s">
        <v>95</v>
      </c>
      <c r="B84" s="545" t="s">
        <v>248</v>
      </c>
      <c r="C84" s="547" t="s">
        <v>249</v>
      </c>
      <c r="D84" s="548"/>
      <c r="E84" s="548"/>
      <c r="F84" s="549"/>
      <c r="G84" s="550" t="s">
        <v>250</v>
      </c>
      <c r="H84" s="538" t="s">
        <v>67</v>
      </c>
      <c r="I84" s="540" t="s">
        <v>251</v>
      </c>
      <c r="J84" s="541"/>
      <c r="K84" s="541"/>
      <c r="L84" s="542"/>
    </row>
    <row r="85" spans="1:12" s="1" customFormat="1" ht="18.75" thickBot="1">
      <c r="A85" s="544"/>
      <c r="B85" s="546"/>
      <c r="C85" s="32" t="s">
        <v>204</v>
      </c>
      <c r="D85" s="33" t="s">
        <v>68</v>
      </c>
      <c r="E85" s="33" t="s">
        <v>69</v>
      </c>
      <c r="F85" s="34" t="s">
        <v>205</v>
      </c>
      <c r="G85" s="551"/>
      <c r="H85" s="539"/>
      <c r="I85" s="200" t="s">
        <v>252</v>
      </c>
      <c r="J85" s="201" t="s">
        <v>68</v>
      </c>
      <c r="K85" s="201" t="s">
        <v>69</v>
      </c>
      <c r="L85" s="202" t="s">
        <v>253</v>
      </c>
    </row>
    <row r="86" spans="1:12" s="1" customFormat="1" ht="12.75">
      <c r="A86" s="35" t="s">
        <v>70</v>
      </c>
      <c r="B86" s="36">
        <v>2764</v>
      </c>
      <c r="C86" s="37" t="s">
        <v>71</v>
      </c>
      <c r="D86" s="38" t="s">
        <v>71</v>
      </c>
      <c r="E86" s="38" t="s">
        <v>71</v>
      </c>
      <c r="F86" s="39" t="s">
        <v>71</v>
      </c>
      <c r="G86" s="40">
        <v>4085</v>
      </c>
      <c r="H86" s="197" t="s">
        <v>71</v>
      </c>
      <c r="I86" s="203" t="s">
        <v>71</v>
      </c>
      <c r="J86" s="204" t="s">
        <v>71</v>
      </c>
      <c r="K86" s="204" t="s">
        <v>71</v>
      </c>
      <c r="L86" s="205" t="s">
        <v>71</v>
      </c>
    </row>
    <row r="87" spans="1:12" s="1" customFormat="1" ht="12.75">
      <c r="A87" s="41" t="s">
        <v>72</v>
      </c>
      <c r="B87" s="42">
        <v>12</v>
      </c>
      <c r="C87" s="43">
        <v>12</v>
      </c>
      <c r="D87" s="44">
        <v>36</v>
      </c>
      <c r="E87" s="44">
        <v>0</v>
      </c>
      <c r="F87" s="45">
        <f>C87+D87-E87</f>
        <v>48</v>
      </c>
      <c r="G87" s="46">
        <v>48</v>
      </c>
      <c r="H87" s="198">
        <f>+G87-F87</f>
        <v>0</v>
      </c>
      <c r="I87" s="43">
        <v>48</v>
      </c>
      <c r="J87" s="44">
        <v>58</v>
      </c>
      <c r="K87" s="44">
        <v>70</v>
      </c>
      <c r="L87" s="45">
        <f>I87+J87-K87</f>
        <v>36</v>
      </c>
    </row>
    <row r="88" spans="1:12" s="1" customFormat="1" ht="12.75">
      <c r="A88" s="41" t="s">
        <v>73</v>
      </c>
      <c r="B88" s="42">
        <v>46</v>
      </c>
      <c r="C88" s="43">
        <v>46</v>
      </c>
      <c r="D88" s="44">
        <v>142</v>
      </c>
      <c r="E88" s="44">
        <v>0</v>
      </c>
      <c r="F88" s="45">
        <f>C88+D88-E88</f>
        <v>188</v>
      </c>
      <c r="G88" s="46">
        <v>188</v>
      </c>
      <c r="H88" s="198">
        <f>+G88-F88</f>
        <v>0</v>
      </c>
      <c r="I88" s="395">
        <v>188</v>
      </c>
      <c r="J88" s="396">
        <v>113.5</v>
      </c>
      <c r="K88" s="396">
        <v>280</v>
      </c>
      <c r="L88" s="397">
        <f>I88+J88-K88</f>
        <v>21.5</v>
      </c>
    </row>
    <row r="89" spans="1:12" s="1" customFormat="1" ht="12.75">
      <c r="A89" s="41" t="s">
        <v>96</v>
      </c>
      <c r="B89" s="42">
        <v>816</v>
      </c>
      <c r="C89" s="43">
        <v>816</v>
      </c>
      <c r="D89" s="44">
        <v>1452</v>
      </c>
      <c r="E89" s="44">
        <v>794</v>
      </c>
      <c r="F89" s="45">
        <f>C89+D89-E89</f>
        <v>1474</v>
      </c>
      <c r="G89" s="46">
        <v>1660</v>
      </c>
      <c r="H89" s="198">
        <f>+G89-F89</f>
        <v>186</v>
      </c>
      <c r="I89" s="206">
        <v>1474</v>
      </c>
      <c r="J89" s="196">
        <v>1468</v>
      </c>
      <c r="K89" s="196">
        <f>L51</f>
        <v>2511</v>
      </c>
      <c r="L89" s="45">
        <f>I89+J89-K89</f>
        <v>431</v>
      </c>
    </row>
    <row r="90" spans="1:12" s="1" customFormat="1" ht="12.75">
      <c r="A90" s="41" t="s">
        <v>74</v>
      </c>
      <c r="B90" s="42">
        <v>1890</v>
      </c>
      <c r="C90" s="53" t="s">
        <v>71</v>
      </c>
      <c r="D90" s="38" t="s">
        <v>71</v>
      </c>
      <c r="E90" s="54" t="s">
        <v>71</v>
      </c>
      <c r="F90" s="55" t="s">
        <v>71</v>
      </c>
      <c r="G90" s="46">
        <v>2189</v>
      </c>
      <c r="H90" s="53" t="s">
        <v>71</v>
      </c>
      <c r="I90" s="37" t="s">
        <v>71</v>
      </c>
      <c r="J90" s="38" t="s">
        <v>71</v>
      </c>
      <c r="K90" s="38" t="s">
        <v>71</v>
      </c>
      <c r="L90" s="207">
        <v>0</v>
      </c>
    </row>
    <row r="91" spans="1:12" s="1" customFormat="1" ht="13.5" thickBot="1">
      <c r="A91" s="47" t="s">
        <v>75</v>
      </c>
      <c r="B91" s="48">
        <v>99</v>
      </c>
      <c r="C91" s="49">
        <v>92</v>
      </c>
      <c r="D91" s="50">
        <v>309</v>
      </c>
      <c r="E91" s="50">
        <v>307</v>
      </c>
      <c r="F91" s="51">
        <f>C91+D91-E91</f>
        <v>94</v>
      </c>
      <c r="G91" s="52">
        <v>66</v>
      </c>
      <c r="H91" s="199">
        <f>+G91-F91</f>
        <v>-28</v>
      </c>
      <c r="I91" s="49">
        <v>94</v>
      </c>
      <c r="J91" s="50">
        <v>346</v>
      </c>
      <c r="K91" s="50">
        <v>400</v>
      </c>
      <c r="L91" s="51">
        <f>I91+J91-K91</f>
        <v>40</v>
      </c>
    </row>
    <row r="92" spans="1:12" s="1" customFormat="1" ht="12.75">
      <c r="A92" s="23"/>
      <c r="B92" s="24"/>
      <c r="C92" s="24"/>
      <c r="D92" s="24"/>
      <c r="E92" s="2"/>
      <c r="F92" s="227"/>
      <c r="G92" s="4"/>
      <c r="H92" s="23"/>
      <c r="I92" s="24"/>
      <c r="J92" s="24"/>
      <c r="K92" s="24"/>
      <c r="L92" s="2"/>
    </row>
    <row r="93" spans="1:12" s="1" customFormat="1" ht="12.75">
      <c r="A93" s="23"/>
      <c r="B93" s="24"/>
      <c r="C93" s="24"/>
      <c r="D93" s="24"/>
      <c r="E93" s="2"/>
      <c r="F93" s="4"/>
      <c r="G93" s="4"/>
      <c r="H93" s="23"/>
      <c r="I93" s="24"/>
      <c r="J93" s="24"/>
      <c r="K93" s="24"/>
      <c r="L93" s="2"/>
    </row>
    <row r="94" spans="8:12" ht="13.5" thickBot="1">
      <c r="H94" s="24" t="s">
        <v>215</v>
      </c>
      <c r="L94" s="24" t="s">
        <v>215</v>
      </c>
    </row>
    <row r="95" spans="1:12" ht="13.5" thickBot="1">
      <c r="A95" s="421" t="s">
        <v>254</v>
      </c>
      <c r="B95" s="412" t="s">
        <v>3</v>
      </c>
      <c r="C95" s="429" t="s">
        <v>76</v>
      </c>
      <c r="D95" s="429"/>
      <c r="E95" s="429"/>
      <c r="F95" s="429"/>
      <c r="G95" s="429"/>
      <c r="H95" s="429"/>
      <c r="I95" s="27"/>
      <c r="J95" s="431" t="s">
        <v>44</v>
      </c>
      <c r="K95" s="431"/>
      <c r="L95" s="431"/>
    </row>
    <row r="96" spans="1:12" ht="13.5" thickBot="1">
      <c r="A96" s="421"/>
      <c r="B96" s="412"/>
      <c r="C96" s="150" t="s">
        <v>77</v>
      </c>
      <c r="D96" s="151" t="s">
        <v>78</v>
      </c>
      <c r="E96" s="151" t="s">
        <v>79</v>
      </c>
      <c r="F96" s="151" t="s">
        <v>80</v>
      </c>
      <c r="G96" s="152" t="s">
        <v>81</v>
      </c>
      <c r="H96" s="153" t="s">
        <v>65</v>
      </c>
      <c r="I96" s="27"/>
      <c r="J96" s="154"/>
      <c r="K96" s="155" t="s">
        <v>45</v>
      </c>
      <c r="L96" s="156" t="s">
        <v>46</v>
      </c>
    </row>
    <row r="97" spans="1:12" ht="12.75">
      <c r="A97" s="157" t="s">
        <v>82</v>
      </c>
      <c r="B97" s="158">
        <v>915</v>
      </c>
      <c r="C97" s="159"/>
      <c r="D97" s="159"/>
      <c r="E97" s="159"/>
      <c r="F97" s="159"/>
      <c r="G97" s="158">
        <v>496</v>
      </c>
      <c r="H97" s="160">
        <f>SUM(C97:G97)</f>
        <v>496</v>
      </c>
      <c r="I97" s="27"/>
      <c r="J97" s="161">
        <v>2006</v>
      </c>
      <c r="K97" s="162">
        <v>15247</v>
      </c>
      <c r="L97" s="163">
        <f>+G30</f>
        <v>15463</v>
      </c>
    </row>
    <row r="98" spans="1:12" ht="13.5" thickBot="1">
      <c r="A98" s="164" t="s">
        <v>83</v>
      </c>
      <c r="B98" s="165">
        <v>4013</v>
      </c>
      <c r="C98" s="166"/>
      <c r="D98" s="166"/>
      <c r="E98" s="166"/>
      <c r="F98" s="166"/>
      <c r="G98" s="165"/>
      <c r="H98" s="167">
        <f>SUM(C98:G98)</f>
        <v>0</v>
      </c>
      <c r="I98" s="27"/>
      <c r="J98" s="168">
        <v>2007</v>
      </c>
      <c r="K98" s="169">
        <f>L30</f>
        <v>17277</v>
      </c>
      <c r="L98" s="170"/>
    </row>
    <row r="99" ht="12.75" customHeight="1"/>
    <row r="100" spans="10:12" ht="13.5" thickBot="1">
      <c r="J100" s="242" t="s">
        <v>255</v>
      </c>
      <c r="L100" s="245"/>
    </row>
    <row r="101" spans="1:12" ht="21" customHeight="1" thickBot="1">
      <c r="A101" s="421" t="s">
        <v>47</v>
      </c>
      <c r="B101" s="422" t="s">
        <v>48</v>
      </c>
      <c r="C101" s="422"/>
      <c r="D101" s="422"/>
      <c r="E101" s="423" t="s">
        <v>134</v>
      </c>
      <c r="F101" s="423"/>
      <c r="G101" s="423"/>
      <c r="H101" s="430" t="s">
        <v>49</v>
      </c>
      <c r="I101" s="430"/>
      <c r="J101" s="430"/>
      <c r="L101" s="245"/>
    </row>
    <row r="102" spans="1:10" ht="12.75">
      <c r="A102" s="421"/>
      <c r="B102" s="171">
        <v>2005</v>
      </c>
      <c r="C102" s="171">
        <v>2006</v>
      </c>
      <c r="D102" s="171" t="s">
        <v>50</v>
      </c>
      <c r="E102" s="171">
        <v>2005</v>
      </c>
      <c r="F102" s="171">
        <v>2006</v>
      </c>
      <c r="G102" s="172" t="s">
        <v>50</v>
      </c>
      <c r="H102" s="173">
        <v>2005</v>
      </c>
      <c r="I102" s="171">
        <v>2006</v>
      </c>
      <c r="J102" s="172" t="s">
        <v>50</v>
      </c>
    </row>
    <row r="103" spans="1:10" ht="18.75">
      <c r="A103" s="174" t="s">
        <v>51</v>
      </c>
      <c r="B103" s="175">
        <v>4</v>
      </c>
      <c r="C103" s="175">
        <v>4</v>
      </c>
      <c r="D103" s="175">
        <f aca="true" t="shared" si="14" ref="D103:D113">+C103-B103</f>
        <v>0</v>
      </c>
      <c r="E103" s="175">
        <v>4</v>
      </c>
      <c r="F103" s="175">
        <v>4</v>
      </c>
      <c r="G103" s="176">
        <f aca="true" t="shared" si="15" ref="G103:G113">+F103-E103</f>
        <v>0</v>
      </c>
      <c r="H103" s="177">
        <v>20003</v>
      </c>
      <c r="I103" s="178">
        <v>22010</v>
      </c>
      <c r="J103" s="179">
        <f aca="true" t="shared" si="16" ref="J103:J113">+I103-H103</f>
        <v>2007</v>
      </c>
    </row>
    <row r="104" spans="1:10" ht="12.75">
      <c r="A104" s="174" t="s">
        <v>85</v>
      </c>
      <c r="B104" s="175">
        <v>21</v>
      </c>
      <c r="C104" s="175">
        <v>21</v>
      </c>
      <c r="D104" s="175">
        <f t="shared" si="14"/>
        <v>0</v>
      </c>
      <c r="E104" s="175">
        <v>20.75</v>
      </c>
      <c r="F104" s="175">
        <v>21</v>
      </c>
      <c r="G104" s="176">
        <f t="shared" si="15"/>
        <v>0.25</v>
      </c>
      <c r="H104" s="177">
        <v>17423</v>
      </c>
      <c r="I104" s="180">
        <v>19839</v>
      </c>
      <c r="J104" s="179">
        <f t="shared" si="16"/>
        <v>2416</v>
      </c>
    </row>
    <row r="105" spans="1:10" ht="12.75">
      <c r="A105" s="174" t="s">
        <v>52</v>
      </c>
      <c r="B105" s="175">
        <v>2</v>
      </c>
      <c r="C105" s="175">
        <v>2</v>
      </c>
      <c r="D105" s="175">
        <f t="shared" si="14"/>
        <v>0</v>
      </c>
      <c r="E105" s="175">
        <v>2</v>
      </c>
      <c r="F105" s="175">
        <v>2</v>
      </c>
      <c r="G105" s="176">
        <f t="shared" si="15"/>
        <v>0</v>
      </c>
      <c r="H105" s="177">
        <v>12356</v>
      </c>
      <c r="I105" s="180">
        <v>14676</v>
      </c>
      <c r="J105" s="179">
        <f t="shared" si="16"/>
        <v>2320</v>
      </c>
    </row>
    <row r="106" spans="1:10" ht="12.75">
      <c r="A106" s="174" t="s">
        <v>53</v>
      </c>
      <c r="B106" s="175">
        <v>17.75</v>
      </c>
      <c r="C106" s="175">
        <v>11.65</v>
      </c>
      <c r="D106" s="175">
        <f t="shared" si="14"/>
        <v>-6.1</v>
      </c>
      <c r="E106" s="175">
        <v>17</v>
      </c>
      <c r="F106" s="175">
        <v>10</v>
      </c>
      <c r="G106" s="176">
        <f t="shared" si="15"/>
        <v>-7</v>
      </c>
      <c r="H106" s="177">
        <v>12072</v>
      </c>
      <c r="I106" s="180">
        <v>13518</v>
      </c>
      <c r="J106" s="179">
        <f t="shared" si="16"/>
        <v>1446</v>
      </c>
    </row>
    <row r="107" spans="1:10" ht="12.75">
      <c r="A107" s="174" t="s">
        <v>86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54</v>
      </c>
      <c r="B108" s="175">
        <v>11.72</v>
      </c>
      <c r="C108" s="175">
        <v>10.77</v>
      </c>
      <c r="D108" s="175">
        <f t="shared" si="14"/>
        <v>-0.9500000000000011</v>
      </c>
      <c r="E108" s="175">
        <v>10.77</v>
      </c>
      <c r="F108" s="175">
        <v>10.77</v>
      </c>
      <c r="G108" s="176">
        <f t="shared" si="15"/>
        <v>0</v>
      </c>
      <c r="H108" s="177">
        <v>14505</v>
      </c>
      <c r="I108" s="180">
        <v>15901</v>
      </c>
      <c r="J108" s="179">
        <f t="shared" si="16"/>
        <v>1396</v>
      </c>
    </row>
    <row r="109" spans="1:10" ht="12.75">
      <c r="A109" s="174" t="s">
        <v>55</v>
      </c>
      <c r="B109" s="175">
        <v>0</v>
      </c>
      <c r="C109" s="175">
        <v>0</v>
      </c>
      <c r="D109" s="175">
        <f t="shared" si="14"/>
        <v>0</v>
      </c>
      <c r="E109" s="175">
        <v>0</v>
      </c>
      <c r="F109" s="175">
        <v>0</v>
      </c>
      <c r="G109" s="176">
        <f t="shared" si="15"/>
        <v>0</v>
      </c>
      <c r="H109" s="177">
        <v>0</v>
      </c>
      <c r="I109" s="180">
        <v>0</v>
      </c>
      <c r="J109" s="179">
        <f t="shared" si="16"/>
        <v>0</v>
      </c>
    </row>
    <row r="110" spans="1:10" ht="12.75">
      <c r="A110" s="174" t="s">
        <v>56</v>
      </c>
      <c r="B110" s="175">
        <v>1</v>
      </c>
      <c r="C110" s="175">
        <v>9.7</v>
      </c>
      <c r="D110" s="175">
        <f t="shared" si="14"/>
        <v>8.7</v>
      </c>
      <c r="E110" s="175">
        <v>1</v>
      </c>
      <c r="F110" s="175">
        <v>14.75</v>
      </c>
      <c r="G110" s="176">
        <f t="shared" si="15"/>
        <v>13.75</v>
      </c>
      <c r="H110" s="177">
        <v>11739</v>
      </c>
      <c r="I110" s="180">
        <v>12912</v>
      </c>
      <c r="J110" s="179">
        <f t="shared" si="16"/>
        <v>1173</v>
      </c>
    </row>
    <row r="111" spans="1:10" ht="12.75">
      <c r="A111" s="174" t="s">
        <v>57</v>
      </c>
      <c r="B111" s="175">
        <v>1.17</v>
      </c>
      <c r="C111" s="175">
        <v>1</v>
      </c>
      <c r="D111" s="175">
        <f t="shared" si="14"/>
        <v>-0.16999999999999993</v>
      </c>
      <c r="E111" s="175">
        <v>1</v>
      </c>
      <c r="F111" s="175">
        <v>1</v>
      </c>
      <c r="G111" s="176">
        <f t="shared" si="15"/>
        <v>0</v>
      </c>
      <c r="H111" s="177">
        <v>17225</v>
      </c>
      <c r="I111" s="180">
        <v>16770</v>
      </c>
      <c r="J111" s="179">
        <f t="shared" si="16"/>
        <v>-455</v>
      </c>
    </row>
    <row r="112" spans="1:10" ht="12.75">
      <c r="A112" s="174" t="s">
        <v>58</v>
      </c>
      <c r="B112" s="175">
        <v>23.83</v>
      </c>
      <c r="C112" s="175">
        <v>23.54</v>
      </c>
      <c r="D112" s="175">
        <f t="shared" si="14"/>
        <v>-0.28999999999999915</v>
      </c>
      <c r="E112" s="175">
        <v>23.75</v>
      </c>
      <c r="F112" s="175">
        <v>23.69</v>
      </c>
      <c r="G112" s="176">
        <f t="shared" si="15"/>
        <v>-0.05999999999999872</v>
      </c>
      <c r="H112" s="177">
        <v>11038</v>
      </c>
      <c r="I112" s="180">
        <v>12032</v>
      </c>
      <c r="J112" s="179">
        <f t="shared" si="16"/>
        <v>994</v>
      </c>
    </row>
    <row r="113" spans="1:10" ht="13.5" thickBot="1">
      <c r="A113" s="181" t="s">
        <v>3</v>
      </c>
      <c r="B113" s="182">
        <f>SUM(B103:B112)</f>
        <v>82.47</v>
      </c>
      <c r="C113" s="182">
        <f>SUM(C103:C112)</f>
        <v>83.66</v>
      </c>
      <c r="D113" s="182">
        <f t="shared" si="14"/>
        <v>1.1899999999999977</v>
      </c>
      <c r="E113" s="182">
        <f>SUM(E103:E112)</f>
        <v>80.27</v>
      </c>
      <c r="F113" s="182">
        <f>SUM(F103:F112)</f>
        <v>87.21</v>
      </c>
      <c r="G113" s="183">
        <f t="shared" si="15"/>
        <v>6.939999999999998</v>
      </c>
      <c r="H113" s="184">
        <v>13942</v>
      </c>
      <c r="I113" s="185">
        <v>15397</v>
      </c>
      <c r="J113" s="186">
        <f t="shared" si="16"/>
        <v>1455</v>
      </c>
    </row>
    <row r="114" ht="13.5" thickBot="1"/>
    <row r="115" spans="1:16" ht="12.75">
      <c r="A115" s="432" t="s">
        <v>59</v>
      </c>
      <c r="B115" s="432"/>
      <c r="C115" s="432"/>
      <c r="D115" s="27"/>
      <c r="E115" s="432" t="s">
        <v>60</v>
      </c>
      <c r="F115" s="432"/>
      <c r="G115" s="432"/>
      <c r="H115"/>
      <c r="I115"/>
      <c r="J115"/>
      <c r="K115"/>
      <c r="L115"/>
      <c r="M115"/>
      <c r="N115"/>
      <c r="O115"/>
      <c r="P115"/>
    </row>
    <row r="116" spans="1:16" ht="13.5" thickBot="1">
      <c r="A116" s="154" t="s">
        <v>61</v>
      </c>
      <c r="B116" s="155" t="s">
        <v>62</v>
      </c>
      <c r="C116" s="156" t="s">
        <v>46</v>
      </c>
      <c r="D116" s="27"/>
      <c r="E116" s="154"/>
      <c r="F116" s="433" t="s">
        <v>63</v>
      </c>
      <c r="G116" s="433"/>
      <c r="H116"/>
      <c r="I116"/>
      <c r="J116"/>
      <c r="K116"/>
      <c r="L116"/>
      <c r="M116"/>
      <c r="N116"/>
      <c r="O116"/>
      <c r="P116"/>
    </row>
    <row r="117" spans="1:16" ht="12.75">
      <c r="A117" s="161">
        <v>2006</v>
      </c>
      <c r="B117" s="162">
        <v>85</v>
      </c>
      <c r="C117" s="163">
        <v>83.66</v>
      </c>
      <c r="D117" s="27"/>
      <c r="E117" s="161">
        <v>2006</v>
      </c>
      <c r="F117" s="416">
        <v>152</v>
      </c>
      <c r="G117" s="416"/>
      <c r="H117"/>
      <c r="I117"/>
      <c r="J117"/>
      <c r="K117"/>
      <c r="L117"/>
      <c r="M117"/>
      <c r="N117"/>
      <c r="O117"/>
      <c r="P117"/>
    </row>
    <row r="118" spans="1:16" ht="13.5" thickBot="1">
      <c r="A118" s="168">
        <v>2007</v>
      </c>
      <c r="B118" s="169">
        <v>88.4</v>
      </c>
      <c r="C118" s="369" t="s">
        <v>508</v>
      </c>
      <c r="D118" s="27"/>
      <c r="E118" s="168">
        <v>2007</v>
      </c>
      <c r="F118" s="417">
        <v>152</v>
      </c>
      <c r="G118" s="417"/>
      <c r="H118"/>
      <c r="I118"/>
      <c r="J118"/>
      <c r="K118"/>
      <c r="L118"/>
      <c r="M118"/>
      <c r="N118"/>
      <c r="O118"/>
      <c r="P118"/>
    </row>
  </sheetData>
  <mergeCells count="122">
    <mergeCell ref="F118:G118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5:C115"/>
    <mergeCell ref="E115:G115"/>
    <mergeCell ref="F116:G116"/>
    <mergeCell ref="F117:G117"/>
    <mergeCell ref="A101:A102"/>
    <mergeCell ref="B101:D101"/>
    <mergeCell ref="E101:G101"/>
    <mergeCell ref="H101:J101"/>
    <mergeCell ref="A84:A85"/>
    <mergeCell ref="B84:B85"/>
    <mergeCell ref="C84:F84"/>
    <mergeCell ref="G84:G85"/>
    <mergeCell ref="A95:A96"/>
    <mergeCell ref="B95:B96"/>
    <mergeCell ref="C95:H95"/>
    <mergeCell ref="J95:L95"/>
    <mergeCell ref="L78:M78"/>
    <mergeCell ref="C79:C80"/>
    <mergeCell ref="D79:I79"/>
    <mergeCell ref="H84:H85"/>
    <mergeCell ref="I84:L84"/>
    <mergeCell ref="L53:L54"/>
    <mergeCell ref="A63:B63"/>
    <mergeCell ref="D63:F63"/>
    <mergeCell ref="H63:K63"/>
    <mergeCell ref="C53:C54"/>
    <mergeCell ref="D53:F54"/>
    <mergeCell ref="G53:G54"/>
    <mergeCell ref="H53:K54"/>
    <mergeCell ref="A59:B59"/>
    <mergeCell ref="D59:F59"/>
    <mergeCell ref="A48:B48"/>
    <mergeCell ref="D48:F48"/>
    <mergeCell ref="H48:K48"/>
    <mergeCell ref="A46:B46"/>
    <mergeCell ref="D46:F46"/>
    <mergeCell ref="A47:B47"/>
    <mergeCell ref="D47:F47"/>
    <mergeCell ref="A3:A6"/>
    <mergeCell ref="B3:N3"/>
    <mergeCell ref="H4:I4"/>
    <mergeCell ref="M4:N4"/>
    <mergeCell ref="C71:D71"/>
    <mergeCell ref="B4:D4"/>
    <mergeCell ref="E4:G4"/>
    <mergeCell ref="J4:L4"/>
    <mergeCell ref="L42:L43"/>
    <mergeCell ref="A51:B51"/>
    <mergeCell ref="D51:F51"/>
    <mergeCell ref="H51:K51"/>
    <mergeCell ref="H46:K46"/>
    <mergeCell ref="H47:K47"/>
    <mergeCell ref="F69:G69"/>
    <mergeCell ref="I69:K69"/>
    <mergeCell ref="C70:D70"/>
    <mergeCell ref="F70:G70"/>
    <mergeCell ref="I70:K70"/>
    <mergeCell ref="D62:F62"/>
    <mergeCell ref="H62:K62"/>
    <mergeCell ref="A78:A80"/>
    <mergeCell ref="B78:B80"/>
    <mergeCell ref="C78:I78"/>
    <mergeCell ref="J78:J80"/>
    <mergeCell ref="F72:G72"/>
    <mergeCell ref="F68:G68"/>
    <mergeCell ref="I68:K68"/>
    <mergeCell ref="C69:D69"/>
    <mergeCell ref="F71:G71"/>
    <mergeCell ref="H59:K59"/>
    <mergeCell ref="I71:K71"/>
    <mergeCell ref="A60:B60"/>
    <mergeCell ref="D60:F60"/>
    <mergeCell ref="H60:K60"/>
    <mergeCell ref="A61:B61"/>
    <mergeCell ref="D61:F61"/>
    <mergeCell ref="H61:K61"/>
    <mergeCell ref="A62:B62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4"/>
    <mergeCell ref="A49:B49"/>
    <mergeCell ref="D49:F49"/>
    <mergeCell ref="H49:K49"/>
    <mergeCell ref="A50:B50"/>
    <mergeCell ref="D50:F50"/>
    <mergeCell ref="H50:K50"/>
    <mergeCell ref="A44:B44"/>
    <mergeCell ref="D44:F44"/>
    <mergeCell ref="H44:K44"/>
    <mergeCell ref="A45:B45"/>
    <mergeCell ref="D45:F45"/>
    <mergeCell ref="H45:K45"/>
    <mergeCell ref="H42:K43"/>
    <mergeCell ref="B39:D39"/>
    <mergeCell ref="E39:G39"/>
    <mergeCell ref="J39:L39"/>
    <mergeCell ref="B40:D40"/>
    <mergeCell ref="E40:G40"/>
    <mergeCell ref="A42:B43"/>
    <mergeCell ref="C42:C43"/>
    <mergeCell ref="D42:F43"/>
    <mergeCell ref="G42:G43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workbookViewId="0" topLeftCell="A19">
      <selection activeCell="J18" sqref="J1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400" t="s">
        <v>8</v>
      </c>
      <c r="B7" s="187">
        <v>0</v>
      </c>
      <c r="C7" s="188">
        <v>0</v>
      </c>
      <c r="D7" s="191">
        <f aca="true" t="shared" si="0" ref="D7:D16">SUM(B7:C7)</f>
        <v>0</v>
      </c>
      <c r="E7" s="187">
        <v>0</v>
      </c>
      <c r="F7" s="188">
        <v>0</v>
      </c>
      <c r="G7" s="191">
        <f aca="true" t="shared" si="1" ref="G7:G17">SUM(E7:F7)</f>
        <v>0</v>
      </c>
      <c r="H7" s="218">
        <f aca="true" t="shared" si="2" ref="H7:H38">+G7-D7</f>
        <v>0</v>
      </c>
      <c r="I7" s="219"/>
      <c r="J7" s="398">
        <v>0</v>
      </c>
      <c r="K7" s="188"/>
      <c r="L7" s="191">
        <f aca="true" t="shared" si="3" ref="L7:L17">SUM(J7:K7)</f>
        <v>0</v>
      </c>
      <c r="M7" s="218">
        <f aca="true" t="shared" si="4" ref="M7:M38">+L7-G7</f>
        <v>0</v>
      </c>
      <c r="N7" s="219"/>
    </row>
    <row r="8" spans="1:14" ht="13.5" customHeight="1">
      <c r="A8" s="401" t="s">
        <v>9</v>
      </c>
      <c r="B8" s="15">
        <v>10563</v>
      </c>
      <c r="C8" s="14">
        <v>163</v>
      </c>
      <c r="D8" s="192">
        <f t="shared" si="0"/>
        <v>10726</v>
      </c>
      <c r="E8" s="15">
        <v>10991</v>
      </c>
      <c r="F8" s="14">
        <v>163</v>
      </c>
      <c r="G8" s="192">
        <f t="shared" si="1"/>
        <v>11154</v>
      </c>
      <c r="H8" s="220">
        <f t="shared" si="2"/>
        <v>428</v>
      </c>
      <c r="I8" s="221">
        <f aca="true" t="shared" si="5" ref="I8:I22">+G8/D8</f>
        <v>1.039903039343651</v>
      </c>
      <c r="J8" s="399">
        <f>16495.8+340</f>
        <v>16835.8</v>
      </c>
      <c r="K8" s="14">
        <v>160</v>
      </c>
      <c r="L8" s="192">
        <f t="shared" si="3"/>
        <v>16995.8</v>
      </c>
      <c r="M8" s="220">
        <f t="shared" si="4"/>
        <v>5841.799999999999</v>
      </c>
      <c r="N8" s="221">
        <f aca="true" t="shared" si="6" ref="N8:N22">+L8/G8</f>
        <v>1.5237403622019006</v>
      </c>
    </row>
    <row r="9" spans="1:14" ht="13.5" customHeight="1">
      <c r="A9" s="401" t="s">
        <v>10</v>
      </c>
      <c r="B9" s="15">
        <v>0</v>
      </c>
      <c r="C9" s="14">
        <v>0</v>
      </c>
      <c r="D9" s="192">
        <f t="shared" si="0"/>
        <v>0</v>
      </c>
      <c r="E9" s="15">
        <v>0</v>
      </c>
      <c r="F9" s="14">
        <v>0</v>
      </c>
      <c r="G9" s="192">
        <f t="shared" si="1"/>
        <v>0</v>
      </c>
      <c r="H9" s="220">
        <f t="shared" si="2"/>
        <v>0</v>
      </c>
      <c r="I9" s="221"/>
      <c r="J9" s="399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401" t="s">
        <v>11</v>
      </c>
      <c r="B10" s="15">
        <v>2</v>
      </c>
      <c r="C10" s="14">
        <v>0</v>
      </c>
      <c r="D10" s="192">
        <f t="shared" si="0"/>
        <v>2</v>
      </c>
      <c r="E10" s="15">
        <v>2</v>
      </c>
      <c r="F10" s="14">
        <v>0</v>
      </c>
      <c r="G10" s="192">
        <f t="shared" si="1"/>
        <v>2</v>
      </c>
      <c r="H10" s="220">
        <f t="shared" si="2"/>
        <v>0</v>
      </c>
      <c r="I10" s="221">
        <f t="shared" si="5"/>
        <v>1</v>
      </c>
      <c r="J10" s="399"/>
      <c r="K10" s="14"/>
      <c r="L10" s="192">
        <f t="shared" si="3"/>
        <v>0</v>
      </c>
      <c r="M10" s="220">
        <f t="shared" si="4"/>
        <v>-2</v>
      </c>
      <c r="N10" s="221"/>
    </row>
    <row r="11" spans="1:14" ht="13.5" customHeight="1">
      <c r="A11" s="401" t="s">
        <v>12</v>
      </c>
      <c r="B11" s="15">
        <v>128</v>
      </c>
      <c r="C11" s="14">
        <v>0</v>
      </c>
      <c r="D11" s="192">
        <f t="shared" si="0"/>
        <v>128</v>
      </c>
      <c r="E11" s="15">
        <v>196</v>
      </c>
      <c r="F11" s="14">
        <v>0</v>
      </c>
      <c r="G11" s="192">
        <f t="shared" si="1"/>
        <v>196</v>
      </c>
      <c r="H11" s="220">
        <f t="shared" si="2"/>
        <v>68</v>
      </c>
      <c r="I11" s="221">
        <f t="shared" si="5"/>
        <v>1.53125</v>
      </c>
      <c r="J11" s="399">
        <v>420</v>
      </c>
      <c r="K11" s="14"/>
      <c r="L11" s="192">
        <f t="shared" si="3"/>
        <v>420</v>
      </c>
      <c r="M11" s="220">
        <f t="shared" si="4"/>
        <v>224</v>
      </c>
      <c r="N11" s="221">
        <f t="shared" si="6"/>
        <v>2.142857142857143</v>
      </c>
    </row>
    <row r="12" spans="1:14" ht="13.5" customHeight="1">
      <c r="A12" s="402" t="s">
        <v>13</v>
      </c>
      <c r="B12" s="15">
        <v>12</v>
      </c>
      <c r="C12" s="14">
        <v>0</v>
      </c>
      <c r="D12" s="192">
        <f t="shared" si="0"/>
        <v>12</v>
      </c>
      <c r="E12" s="15">
        <v>40</v>
      </c>
      <c r="F12" s="14">
        <v>0</v>
      </c>
      <c r="G12" s="192">
        <f t="shared" si="1"/>
        <v>40</v>
      </c>
      <c r="H12" s="220">
        <f t="shared" si="2"/>
        <v>28</v>
      </c>
      <c r="I12" s="221">
        <f t="shared" si="5"/>
        <v>3.3333333333333335</v>
      </c>
      <c r="J12" s="399">
        <v>250</v>
      </c>
      <c r="K12" s="14"/>
      <c r="L12" s="192">
        <f t="shared" si="3"/>
        <v>250</v>
      </c>
      <c r="M12" s="220">
        <f t="shared" si="4"/>
        <v>210</v>
      </c>
      <c r="N12" s="221">
        <f t="shared" si="6"/>
        <v>6.25</v>
      </c>
    </row>
    <row r="13" spans="1:14" ht="13.5" customHeight="1">
      <c r="A13" s="402" t="s">
        <v>14</v>
      </c>
      <c r="B13" s="15">
        <v>0</v>
      </c>
      <c r="C13" s="14">
        <v>0</v>
      </c>
      <c r="D13" s="192">
        <f t="shared" si="0"/>
        <v>0</v>
      </c>
      <c r="E13" s="15">
        <v>0</v>
      </c>
      <c r="F13" s="14">
        <v>0</v>
      </c>
      <c r="G13" s="192">
        <f t="shared" si="1"/>
        <v>0</v>
      </c>
      <c r="H13" s="220">
        <f t="shared" si="2"/>
        <v>0</v>
      </c>
      <c r="I13" s="221"/>
      <c r="J13" s="399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402" t="s">
        <v>15</v>
      </c>
      <c r="B14" s="15">
        <v>0</v>
      </c>
      <c r="C14" s="14">
        <v>0</v>
      </c>
      <c r="D14" s="192">
        <f t="shared" si="0"/>
        <v>0</v>
      </c>
      <c r="E14" s="15">
        <v>0</v>
      </c>
      <c r="F14" s="14">
        <v>0</v>
      </c>
      <c r="G14" s="192">
        <f t="shared" si="1"/>
        <v>0</v>
      </c>
      <c r="H14" s="220">
        <f t="shared" si="2"/>
        <v>0</v>
      </c>
      <c r="I14" s="221"/>
      <c r="J14" s="399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401" t="s">
        <v>16</v>
      </c>
      <c r="B15" s="15">
        <f>B16</f>
        <v>14165</v>
      </c>
      <c r="C15" s="14">
        <f>SUM(C16:C17)</f>
        <v>0</v>
      </c>
      <c r="D15" s="192">
        <f t="shared" si="0"/>
        <v>14165</v>
      </c>
      <c r="E15" s="15">
        <v>15314</v>
      </c>
      <c r="F15" s="14">
        <f>SUM(F16:F17)</f>
        <v>0</v>
      </c>
      <c r="G15" s="192">
        <f t="shared" si="1"/>
        <v>15314</v>
      </c>
      <c r="H15" s="220">
        <f t="shared" si="2"/>
        <v>1149</v>
      </c>
      <c r="I15" s="221">
        <f t="shared" si="5"/>
        <v>1.0811154253441582</v>
      </c>
      <c r="J15" s="208">
        <f>SUM(J16:J18)</f>
        <v>14623</v>
      </c>
      <c r="K15" s="405">
        <f>SUM(K16:K17)</f>
        <v>0</v>
      </c>
      <c r="L15" s="192">
        <f t="shared" si="3"/>
        <v>14623</v>
      </c>
      <c r="M15" s="220">
        <f t="shared" si="4"/>
        <v>-691</v>
      </c>
      <c r="N15" s="221">
        <f t="shared" si="6"/>
        <v>0.954877889512864</v>
      </c>
    </row>
    <row r="16" spans="1:14" ht="13.5" customHeight="1">
      <c r="A16" s="403" t="s">
        <v>219</v>
      </c>
      <c r="B16" s="15">
        <v>14165</v>
      </c>
      <c r="C16" s="14">
        <v>0</v>
      </c>
      <c r="D16" s="192">
        <f t="shared" si="0"/>
        <v>14165</v>
      </c>
      <c r="E16" s="15">
        <v>14724</v>
      </c>
      <c r="F16" s="14">
        <v>0</v>
      </c>
      <c r="G16" s="192">
        <f t="shared" si="1"/>
        <v>14724</v>
      </c>
      <c r="H16" s="220">
        <f t="shared" si="2"/>
        <v>559</v>
      </c>
      <c r="I16" s="221">
        <f t="shared" si="5"/>
        <v>1.0394634662901518</v>
      </c>
      <c r="J16" s="208">
        <f>1776+428-888</f>
        <v>1316</v>
      </c>
      <c r="K16" s="14"/>
      <c r="L16" s="192">
        <f t="shared" si="3"/>
        <v>1316</v>
      </c>
      <c r="M16" s="220">
        <f t="shared" si="4"/>
        <v>-13408</v>
      </c>
      <c r="N16" s="221">
        <f t="shared" si="6"/>
        <v>0.08937788644390111</v>
      </c>
    </row>
    <row r="17" spans="1:14" ht="13.5" customHeight="1">
      <c r="A17" s="403" t="s">
        <v>220</v>
      </c>
      <c r="B17" s="15">
        <v>0</v>
      </c>
      <c r="C17" s="14">
        <v>0</v>
      </c>
      <c r="D17" s="192"/>
      <c r="E17" s="15"/>
      <c r="F17" s="14">
        <v>0</v>
      </c>
      <c r="G17" s="192">
        <f t="shared" si="1"/>
        <v>0</v>
      </c>
      <c r="H17" s="220">
        <f t="shared" si="2"/>
        <v>0</v>
      </c>
      <c r="I17" s="221"/>
      <c r="J17" s="208">
        <v>12907</v>
      </c>
      <c r="K17" s="14"/>
      <c r="L17" s="192">
        <f t="shared" si="3"/>
        <v>12907</v>
      </c>
      <c r="M17" s="220">
        <f t="shared" si="4"/>
        <v>12907</v>
      </c>
      <c r="N17" s="221"/>
    </row>
    <row r="18" spans="1:14" ht="13.5" customHeight="1" thickBot="1">
      <c r="A18" s="404" t="s">
        <v>547</v>
      </c>
      <c r="B18" s="189">
        <v>547</v>
      </c>
      <c r="C18" s="190"/>
      <c r="D18" s="193">
        <v>547</v>
      </c>
      <c r="E18" s="189">
        <v>590</v>
      </c>
      <c r="F18" s="190"/>
      <c r="G18" s="193">
        <v>590</v>
      </c>
      <c r="H18" s="366"/>
      <c r="I18" s="367"/>
      <c r="J18" s="406">
        <v>400</v>
      </c>
      <c r="K18" s="190"/>
      <c r="L18" s="193">
        <v>400</v>
      </c>
      <c r="M18" s="366"/>
      <c r="N18" s="367"/>
    </row>
    <row r="19" spans="1:14" ht="13.5" customHeight="1" thickBot="1">
      <c r="A19" s="209" t="s">
        <v>17</v>
      </c>
      <c r="B19" s="213">
        <f aca="true" t="shared" si="7" ref="B19:G19">SUM(B7+B8+B9+B10+B11+B13+B15)</f>
        <v>24858</v>
      </c>
      <c r="C19" s="214">
        <f t="shared" si="7"/>
        <v>163</v>
      </c>
      <c r="D19" s="215">
        <f t="shared" si="7"/>
        <v>25021</v>
      </c>
      <c r="E19" s="213">
        <f t="shared" si="7"/>
        <v>26503</v>
      </c>
      <c r="F19" s="214">
        <f t="shared" si="7"/>
        <v>163</v>
      </c>
      <c r="G19" s="215">
        <f t="shared" si="7"/>
        <v>26666</v>
      </c>
      <c r="H19" s="217">
        <f t="shared" si="2"/>
        <v>1645</v>
      </c>
      <c r="I19" s="132">
        <f t="shared" si="5"/>
        <v>1.0657447743895128</v>
      </c>
      <c r="J19" s="225">
        <f>SUM(J7+J8+J9+J10+J11+J13+J15)</f>
        <v>31878.8</v>
      </c>
      <c r="K19" s="214">
        <f>SUM(K7+K8+K9+K10+K11+K13+K15)</f>
        <v>160</v>
      </c>
      <c r="L19" s="215">
        <f>SUM(L7+L8+L9+L10+L11+L13+L15)</f>
        <v>32038.8</v>
      </c>
      <c r="M19" s="217">
        <f t="shared" si="4"/>
        <v>5372.799999999999</v>
      </c>
      <c r="N19" s="226">
        <f t="shared" si="6"/>
        <v>1.201485037125928</v>
      </c>
    </row>
    <row r="20" spans="1:14" ht="13.5" customHeight="1">
      <c r="A20" s="120" t="s">
        <v>18</v>
      </c>
      <c r="B20" s="95">
        <v>4006</v>
      </c>
      <c r="C20" s="96">
        <v>94</v>
      </c>
      <c r="D20" s="97">
        <f aca="true" t="shared" si="8" ref="D20:D37">SUM(B20:C20)</f>
        <v>4100</v>
      </c>
      <c r="E20" s="95">
        <v>4060</v>
      </c>
      <c r="F20" s="96">
        <v>95</v>
      </c>
      <c r="G20" s="121">
        <f aca="true" t="shared" si="9" ref="G20:G37">SUM(E20:F20)</f>
        <v>4155</v>
      </c>
      <c r="H20" s="122">
        <f t="shared" si="2"/>
        <v>55</v>
      </c>
      <c r="I20" s="123">
        <f t="shared" si="5"/>
        <v>1.0134146341463415</v>
      </c>
      <c r="J20" s="100">
        <f>5157-288+328</f>
        <v>5197</v>
      </c>
      <c r="K20" s="96"/>
      <c r="L20" s="124">
        <f aca="true" t="shared" si="10" ref="L20:L37">SUM(J20:K20)</f>
        <v>5197</v>
      </c>
      <c r="M20" s="122">
        <f t="shared" si="4"/>
        <v>1042</v>
      </c>
      <c r="N20" s="125">
        <f t="shared" si="6"/>
        <v>1.2507821901323706</v>
      </c>
    </row>
    <row r="21" spans="1:14" ht="21" customHeight="1">
      <c r="A21" s="106" t="s">
        <v>19</v>
      </c>
      <c r="B21" s="95">
        <v>205</v>
      </c>
      <c r="C21" s="96">
        <v>0</v>
      </c>
      <c r="D21" s="97">
        <f t="shared" si="8"/>
        <v>205</v>
      </c>
      <c r="E21" s="95">
        <v>286</v>
      </c>
      <c r="F21" s="96">
        <v>2</v>
      </c>
      <c r="G21" s="121">
        <f t="shared" si="9"/>
        <v>288</v>
      </c>
      <c r="H21" s="98">
        <f t="shared" si="2"/>
        <v>83</v>
      </c>
      <c r="I21" s="99">
        <f t="shared" si="5"/>
        <v>1.4048780487804877</v>
      </c>
      <c r="J21" s="100">
        <v>667</v>
      </c>
      <c r="K21" s="96"/>
      <c r="L21" s="124">
        <f t="shared" si="10"/>
        <v>667</v>
      </c>
      <c r="M21" s="98">
        <f t="shared" si="4"/>
        <v>379</v>
      </c>
      <c r="N21" s="101">
        <f t="shared" si="6"/>
        <v>2.3159722222222223</v>
      </c>
    </row>
    <row r="22" spans="1:14" ht="13.5" customHeight="1">
      <c r="A22" s="102" t="s">
        <v>20</v>
      </c>
      <c r="B22" s="103">
        <v>1847</v>
      </c>
      <c r="C22" s="104">
        <v>8</v>
      </c>
      <c r="D22" s="97">
        <f t="shared" si="8"/>
        <v>1855</v>
      </c>
      <c r="E22" s="103">
        <v>1934</v>
      </c>
      <c r="F22" s="104">
        <v>8</v>
      </c>
      <c r="G22" s="121">
        <f t="shared" si="9"/>
        <v>1942</v>
      </c>
      <c r="H22" s="98">
        <f t="shared" si="2"/>
        <v>87</v>
      </c>
      <c r="I22" s="99">
        <f t="shared" si="5"/>
        <v>1.046900269541779</v>
      </c>
      <c r="J22" s="105">
        <f>2562+500</f>
        <v>3062</v>
      </c>
      <c r="K22" s="104"/>
      <c r="L22" s="124">
        <f t="shared" si="10"/>
        <v>3062</v>
      </c>
      <c r="M22" s="98">
        <f t="shared" si="4"/>
        <v>1120</v>
      </c>
      <c r="N22" s="101">
        <f t="shared" si="6"/>
        <v>1.576725025746653</v>
      </c>
    </row>
    <row r="23" spans="1:14" ht="13.5" customHeight="1">
      <c r="A23" s="106" t="s">
        <v>21</v>
      </c>
      <c r="B23" s="103">
        <v>0</v>
      </c>
      <c r="C23" s="104">
        <v>0</v>
      </c>
      <c r="D23" s="97">
        <f t="shared" si="8"/>
        <v>0</v>
      </c>
      <c r="E23" s="103">
        <v>0</v>
      </c>
      <c r="F23" s="104">
        <v>0</v>
      </c>
      <c r="G23" s="121">
        <f t="shared" si="9"/>
        <v>0</v>
      </c>
      <c r="H23" s="98">
        <f t="shared" si="2"/>
        <v>0</v>
      </c>
      <c r="I23" s="99"/>
      <c r="J23" s="105">
        <v>0</v>
      </c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22</v>
      </c>
      <c r="B24" s="103">
        <v>0</v>
      </c>
      <c r="C24" s="104">
        <v>0</v>
      </c>
      <c r="D24" s="97">
        <f t="shared" si="8"/>
        <v>0</v>
      </c>
      <c r="E24" s="103">
        <v>0</v>
      </c>
      <c r="F24" s="104">
        <v>0</v>
      </c>
      <c r="G24" s="121">
        <f t="shared" si="9"/>
        <v>0</v>
      </c>
      <c r="H24" s="98">
        <f t="shared" si="2"/>
        <v>0</v>
      </c>
      <c r="I24" s="99"/>
      <c r="J24" s="105">
        <v>0</v>
      </c>
      <c r="K24" s="104"/>
      <c r="L24" s="124">
        <f t="shared" si="10"/>
        <v>0</v>
      </c>
      <c r="M24" s="98">
        <f t="shared" si="4"/>
        <v>0</v>
      </c>
      <c r="N24" s="101"/>
    </row>
    <row r="25" spans="1:14" ht="13.5" customHeight="1">
      <c r="A25" s="102" t="s">
        <v>23</v>
      </c>
      <c r="B25" s="105">
        <v>1263</v>
      </c>
      <c r="C25" s="104">
        <v>2</v>
      </c>
      <c r="D25" s="97">
        <f t="shared" si="8"/>
        <v>1265</v>
      </c>
      <c r="E25" s="105">
        <v>1204</v>
      </c>
      <c r="F25" s="104">
        <v>2</v>
      </c>
      <c r="G25" s="121">
        <f t="shared" si="9"/>
        <v>1206</v>
      </c>
      <c r="H25" s="98">
        <f t="shared" si="2"/>
        <v>-59</v>
      </c>
      <c r="I25" s="99">
        <f aca="true" t="shared" si="11" ref="I25:I38">+G25/D25</f>
        <v>0.9533596837944665</v>
      </c>
      <c r="J25" s="105">
        <f>SUM(J26:J27)</f>
        <v>1774</v>
      </c>
      <c r="K25" s="104"/>
      <c r="L25" s="124">
        <f t="shared" si="10"/>
        <v>1774</v>
      </c>
      <c r="M25" s="98">
        <f t="shared" si="4"/>
        <v>568</v>
      </c>
      <c r="N25" s="101">
        <f aca="true" t="shared" si="12" ref="N25:N38">+L25/G25</f>
        <v>1.470978441127695</v>
      </c>
    </row>
    <row r="26" spans="1:14" ht="13.5" customHeight="1">
      <c r="A26" s="106" t="s">
        <v>24</v>
      </c>
      <c r="B26" s="103">
        <v>262</v>
      </c>
      <c r="C26" s="104">
        <v>2</v>
      </c>
      <c r="D26" s="97">
        <f t="shared" si="8"/>
        <v>264</v>
      </c>
      <c r="E26" s="103">
        <v>145</v>
      </c>
      <c r="F26" s="104">
        <v>2</v>
      </c>
      <c r="G26" s="121">
        <f t="shared" si="9"/>
        <v>147</v>
      </c>
      <c r="H26" s="98">
        <f t="shared" si="2"/>
        <v>-117</v>
      </c>
      <c r="I26" s="99">
        <f t="shared" si="11"/>
        <v>0.5568181818181818</v>
      </c>
      <c r="J26" s="126">
        <v>500</v>
      </c>
      <c r="K26" s="104"/>
      <c r="L26" s="124">
        <f t="shared" si="10"/>
        <v>500</v>
      </c>
      <c r="M26" s="98">
        <f t="shared" si="4"/>
        <v>353</v>
      </c>
      <c r="N26" s="101">
        <f t="shared" si="12"/>
        <v>3.401360544217687</v>
      </c>
    </row>
    <row r="27" spans="1:14" ht="13.5" customHeight="1">
      <c r="A27" s="102" t="s">
        <v>25</v>
      </c>
      <c r="B27" s="103">
        <v>1001</v>
      </c>
      <c r="C27" s="104">
        <v>0</v>
      </c>
      <c r="D27" s="97">
        <f t="shared" si="8"/>
        <v>1001</v>
      </c>
      <c r="E27" s="103">
        <v>1059</v>
      </c>
      <c r="F27" s="104">
        <v>0</v>
      </c>
      <c r="G27" s="121">
        <f t="shared" si="9"/>
        <v>1059</v>
      </c>
      <c r="H27" s="98">
        <f t="shared" si="2"/>
        <v>58</v>
      </c>
      <c r="I27" s="99">
        <f t="shared" si="11"/>
        <v>1.057942057942058</v>
      </c>
      <c r="J27" s="126">
        <f>1050+224</f>
        <v>1274</v>
      </c>
      <c r="K27" s="104"/>
      <c r="L27" s="124">
        <f t="shared" si="10"/>
        <v>1274</v>
      </c>
      <c r="M27" s="98">
        <f t="shared" si="4"/>
        <v>215</v>
      </c>
      <c r="N27" s="101">
        <f t="shared" si="12"/>
        <v>1.2030217186024552</v>
      </c>
    </row>
    <row r="28" spans="1:14" ht="13.5" customHeight="1">
      <c r="A28" s="127" t="s">
        <v>26</v>
      </c>
      <c r="B28" s="105">
        <v>16507</v>
      </c>
      <c r="C28" s="104">
        <v>35</v>
      </c>
      <c r="D28" s="97">
        <f t="shared" si="8"/>
        <v>16542</v>
      </c>
      <c r="E28" s="105">
        <v>18225</v>
      </c>
      <c r="F28" s="104">
        <v>35</v>
      </c>
      <c r="G28" s="121">
        <f t="shared" si="9"/>
        <v>18260</v>
      </c>
      <c r="H28" s="98">
        <f t="shared" si="2"/>
        <v>1718</v>
      </c>
      <c r="I28" s="99">
        <f t="shared" si="11"/>
        <v>1.1038568492322574</v>
      </c>
      <c r="J28" s="105">
        <v>21076</v>
      </c>
      <c r="K28" s="104"/>
      <c r="L28" s="124">
        <f t="shared" si="10"/>
        <v>21076</v>
      </c>
      <c r="M28" s="98">
        <f t="shared" si="4"/>
        <v>2816</v>
      </c>
      <c r="N28" s="101">
        <f t="shared" si="12"/>
        <v>1.1542168674698796</v>
      </c>
    </row>
    <row r="29" spans="1:14" ht="13.5" customHeight="1">
      <c r="A29" s="106" t="s">
        <v>27</v>
      </c>
      <c r="B29" s="103">
        <v>11967</v>
      </c>
      <c r="C29" s="104">
        <v>26</v>
      </c>
      <c r="D29" s="97">
        <f t="shared" si="8"/>
        <v>11993</v>
      </c>
      <c r="E29" s="103">
        <v>13239</v>
      </c>
      <c r="F29" s="104">
        <v>26</v>
      </c>
      <c r="G29" s="121">
        <f t="shared" si="9"/>
        <v>13265</v>
      </c>
      <c r="H29" s="98">
        <f t="shared" si="2"/>
        <v>1272</v>
      </c>
      <c r="I29" s="99">
        <f t="shared" si="11"/>
        <v>1.1060618694238307</v>
      </c>
      <c r="J29" s="126">
        <v>15427</v>
      </c>
      <c r="K29" s="128"/>
      <c r="L29" s="124">
        <f t="shared" si="10"/>
        <v>15427</v>
      </c>
      <c r="M29" s="98">
        <f t="shared" si="4"/>
        <v>2162</v>
      </c>
      <c r="N29" s="101">
        <f t="shared" si="12"/>
        <v>1.1629852996607615</v>
      </c>
    </row>
    <row r="30" spans="1:14" ht="13.5" customHeight="1">
      <c r="A30" s="127" t="s">
        <v>28</v>
      </c>
      <c r="B30" s="103">
        <v>11900</v>
      </c>
      <c r="C30" s="104">
        <v>26</v>
      </c>
      <c r="D30" s="97">
        <f t="shared" si="8"/>
        <v>11926</v>
      </c>
      <c r="E30" s="103">
        <v>13113</v>
      </c>
      <c r="F30" s="104">
        <v>26</v>
      </c>
      <c r="G30" s="121">
        <f t="shared" si="9"/>
        <v>13139</v>
      </c>
      <c r="H30" s="98">
        <f t="shared" si="2"/>
        <v>1213</v>
      </c>
      <c r="I30" s="99">
        <f t="shared" si="11"/>
        <v>1.1017105483816871</v>
      </c>
      <c r="J30" s="105">
        <v>15127</v>
      </c>
      <c r="K30" s="104"/>
      <c r="L30" s="124">
        <f t="shared" si="10"/>
        <v>15127</v>
      </c>
      <c r="M30" s="98">
        <f t="shared" si="4"/>
        <v>1988</v>
      </c>
      <c r="N30" s="101">
        <f t="shared" si="12"/>
        <v>1.151305274374001</v>
      </c>
    </row>
    <row r="31" spans="1:14" ht="13.5" customHeight="1">
      <c r="A31" s="106" t="s">
        <v>29</v>
      </c>
      <c r="B31" s="103">
        <v>67</v>
      </c>
      <c r="C31" s="104">
        <v>0</v>
      </c>
      <c r="D31" s="97">
        <f t="shared" si="8"/>
        <v>67</v>
      </c>
      <c r="E31" s="103">
        <v>126</v>
      </c>
      <c r="F31" s="104">
        <v>0</v>
      </c>
      <c r="G31" s="121">
        <f t="shared" si="9"/>
        <v>126</v>
      </c>
      <c r="H31" s="98">
        <f t="shared" si="2"/>
        <v>59</v>
      </c>
      <c r="I31" s="99">
        <f t="shared" si="11"/>
        <v>1.8805970149253732</v>
      </c>
      <c r="J31" s="105">
        <v>300</v>
      </c>
      <c r="K31" s="104"/>
      <c r="L31" s="124">
        <f t="shared" si="10"/>
        <v>300</v>
      </c>
      <c r="M31" s="98">
        <f t="shared" si="4"/>
        <v>174</v>
      </c>
      <c r="N31" s="101">
        <f t="shared" si="12"/>
        <v>2.380952380952381</v>
      </c>
    </row>
    <row r="32" spans="1:14" ht="13.5" customHeight="1">
      <c r="A32" s="106" t="s">
        <v>30</v>
      </c>
      <c r="B32" s="103">
        <v>4540</v>
      </c>
      <c r="C32" s="104">
        <v>9</v>
      </c>
      <c r="D32" s="97">
        <f t="shared" si="8"/>
        <v>4549</v>
      </c>
      <c r="E32" s="103">
        <v>4986</v>
      </c>
      <c r="F32" s="104">
        <v>9</v>
      </c>
      <c r="G32" s="121">
        <f t="shared" si="9"/>
        <v>4995</v>
      </c>
      <c r="H32" s="98">
        <f t="shared" si="2"/>
        <v>446</v>
      </c>
      <c r="I32" s="99">
        <f t="shared" si="11"/>
        <v>1.0980435260496813</v>
      </c>
      <c r="J32" s="105">
        <v>5649</v>
      </c>
      <c r="K32" s="104"/>
      <c r="L32" s="124">
        <f t="shared" si="10"/>
        <v>5649</v>
      </c>
      <c r="M32" s="98">
        <f t="shared" si="4"/>
        <v>654</v>
      </c>
      <c r="N32" s="101">
        <f t="shared" si="12"/>
        <v>1.130930930930931</v>
      </c>
    </row>
    <row r="33" spans="1:14" ht="13.5" customHeight="1">
      <c r="A33" s="127" t="s">
        <v>31</v>
      </c>
      <c r="B33" s="103">
        <v>0</v>
      </c>
      <c r="C33" s="104">
        <v>0</v>
      </c>
      <c r="D33" s="97">
        <f t="shared" si="8"/>
        <v>0</v>
      </c>
      <c r="E33" s="103">
        <v>0</v>
      </c>
      <c r="F33" s="104">
        <v>0</v>
      </c>
      <c r="G33" s="121">
        <f t="shared" si="9"/>
        <v>0</v>
      </c>
      <c r="H33" s="98">
        <f t="shared" si="2"/>
        <v>0</v>
      </c>
      <c r="I33" s="99"/>
      <c r="J33" s="105">
        <v>0</v>
      </c>
      <c r="K33" s="104"/>
      <c r="L33" s="124">
        <f t="shared" si="10"/>
        <v>0</v>
      </c>
      <c r="M33" s="98">
        <f t="shared" si="4"/>
        <v>0</v>
      </c>
      <c r="N33" s="101"/>
    </row>
    <row r="34" spans="1:14" ht="13.5" customHeight="1">
      <c r="A34" s="127" t="s">
        <v>32</v>
      </c>
      <c r="B34" s="103">
        <v>142</v>
      </c>
      <c r="C34" s="104">
        <v>0</v>
      </c>
      <c r="D34" s="97">
        <f t="shared" si="8"/>
        <v>142</v>
      </c>
      <c r="E34" s="103">
        <v>154</v>
      </c>
      <c r="F34" s="104">
        <v>0</v>
      </c>
      <c r="G34" s="121">
        <f t="shared" si="9"/>
        <v>154</v>
      </c>
      <c r="H34" s="98">
        <f t="shared" si="2"/>
        <v>12</v>
      </c>
      <c r="I34" s="99">
        <f t="shared" si="11"/>
        <v>1.0845070422535212</v>
      </c>
      <c r="J34" s="105">
        <v>0</v>
      </c>
      <c r="K34" s="104"/>
      <c r="L34" s="124">
        <f t="shared" si="10"/>
        <v>0</v>
      </c>
      <c r="M34" s="98">
        <f t="shared" si="4"/>
        <v>-154</v>
      </c>
      <c r="N34" s="101">
        <f t="shared" si="12"/>
        <v>0</v>
      </c>
    </row>
    <row r="35" spans="1:14" ht="13.5" customHeight="1">
      <c r="A35" s="106" t="s">
        <v>33</v>
      </c>
      <c r="B35" s="103">
        <v>910</v>
      </c>
      <c r="C35" s="104">
        <v>1</v>
      </c>
      <c r="D35" s="97">
        <f t="shared" si="8"/>
        <v>911</v>
      </c>
      <c r="E35" s="103">
        <v>948</v>
      </c>
      <c r="F35" s="104">
        <v>1</v>
      </c>
      <c r="G35" s="121">
        <f t="shared" si="9"/>
        <v>949</v>
      </c>
      <c r="H35" s="98">
        <f t="shared" si="2"/>
        <v>38</v>
      </c>
      <c r="I35" s="99">
        <f t="shared" si="11"/>
        <v>1.0417124039517014</v>
      </c>
      <c r="J35" s="126">
        <v>930</v>
      </c>
      <c r="K35" s="104"/>
      <c r="L35" s="124">
        <f t="shared" si="10"/>
        <v>930</v>
      </c>
      <c r="M35" s="98">
        <f t="shared" si="4"/>
        <v>-19</v>
      </c>
      <c r="N35" s="101">
        <f t="shared" si="12"/>
        <v>0.9799789251844047</v>
      </c>
    </row>
    <row r="36" spans="1:14" ht="22.5" customHeight="1">
      <c r="A36" s="106" t="s">
        <v>34</v>
      </c>
      <c r="B36" s="103">
        <v>910</v>
      </c>
      <c r="C36" s="104">
        <v>1</v>
      </c>
      <c r="D36" s="97">
        <f t="shared" si="8"/>
        <v>911</v>
      </c>
      <c r="E36" s="103">
        <v>948</v>
      </c>
      <c r="F36" s="104">
        <v>1</v>
      </c>
      <c r="G36" s="121">
        <f t="shared" si="9"/>
        <v>949</v>
      </c>
      <c r="H36" s="98">
        <f t="shared" si="2"/>
        <v>38</v>
      </c>
      <c r="I36" s="99">
        <f t="shared" si="11"/>
        <v>1.0417124039517014</v>
      </c>
      <c r="J36" s="126"/>
      <c r="K36" s="104"/>
      <c r="L36" s="124">
        <f t="shared" si="10"/>
        <v>0</v>
      </c>
      <c r="M36" s="98">
        <f t="shared" si="4"/>
        <v>-949</v>
      </c>
      <c r="N36" s="101">
        <f t="shared" si="12"/>
        <v>0</v>
      </c>
    </row>
    <row r="37" spans="1:14" ht="13.5" customHeight="1" thickBot="1">
      <c r="A37" s="129" t="s">
        <v>35</v>
      </c>
      <c r="B37" s="107">
        <v>0</v>
      </c>
      <c r="C37" s="108">
        <v>0</v>
      </c>
      <c r="D37" s="97">
        <f t="shared" si="8"/>
        <v>0</v>
      </c>
      <c r="E37" s="107">
        <v>0</v>
      </c>
      <c r="F37" s="108">
        <v>0</v>
      </c>
      <c r="G37" s="121">
        <f t="shared" si="9"/>
        <v>0</v>
      </c>
      <c r="H37" s="109">
        <f t="shared" si="2"/>
        <v>0</v>
      </c>
      <c r="I37" s="110"/>
      <c r="J37" s="130"/>
      <c r="K37" s="108"/>
      <c r="L37" s="124">
        <f t="shared" si="10"/>
        <v>0</v>
      </c>
      <c r="M37" s="109">
        <f t="shared" si="4"/>
        <v>0</v>
      </c>
      <c r="N37" s="111"/>
    </row>
    <row r="38" spans="1:14" ht="13.5" customHeight="1" thickBot="1">
      <c r="A38" s="112" t="s">
        <v>36</v>
      </c>
      <c r="B38" s="113">
        <f aca="true" t="shared" si="13" ref="B38:G38">SUM(B20+B22+B23+B24+B25+B28+B33+B34+B35+B37)</f>
        <v>24675</v>
      </c>
      <c r="C38" s="114">
        <f t="shared" si="13"/>
        <v>140</v>
      </c>
      <c r="D38" s="115">
        <f t="shared" si="13"/>
        <v>24815</v>
      </c>
      <c r="E38" s="113">
        <f t="shared" si="13"/>
        <v>26525</v>
      </c>
      <c r="F38" s="114">
        <f t="shared" si="13"/>
        <v>141</v>
      </c>
      <c r="G38" s="115">
        <f t="shared" si="13"/>
        <v>26666</v>
      </c>
      <c r="H38" s="116">
        <f t="shared" si="2"/>
        <v>1851</v>
      </c>
      <c r="I38" s="117">
        <f t="shared" si="11"/>
        <v>1.0745919806568607</v>
      </c>
      <c r="J38" s="118">
        <f>SUM(J20+J22+J23+J24+J25+J28+J33+J34+J35+J37)</f>
        <v>32039</v>
      </c>
      <c r="K38" s="114">
        <f>SUM(K20+K22+K23+K24+K25+K28+K33+K34+K35+K37)</f>
        <v>0</v>
      </c>
      <c r="L38" s="115">
        <f>SUM(L20+L22+L23+L24+L25+L28+L33+L34+L35+L37)</f>
        <v>32039</v>
      </c>
      <c r="M38" s="116">
        <f t="shared" si="4"/>
        <v>5373</v>
      </c>
      <c r="N38" s="119">
        <f t="shared" si="12"/>
        <v>1.2014925373134329</v>
      </c>
    </row>
    <row r="39" spans="1:14" ht="13.5" customHeight="1" thickBot="1">
      <c r="A39" s="112" t="s">
        <v>37</v>
      </c>
      <c r="B39" s="470">
        <f>+D19-D38</f>
        <v>206</v>
      </c>
      <c r="C39" s="470"/>
      <c r="D39" s="470"/>
      <c r="E39" s="470">
        <f>+G19-G38</f>
        <v>0</v>
      </c>
      <c r="F39" s="470"/>
      <c r="G39" s="470">
        <v>-50784</v>
      </c>
      <c r="H39" s="131">
        <f>+E39-B39</f>
        <v>-206</v>
      </c>
      <c r="I39" s="132"/>
      <c r="J39" s="472">
        <f>+L19-L38</f>
        <v>-0.2000000000007276</v>
      </c>
      <c r="K39" s="472"/>
      <c r="L39" s="472">
        <v>0</v>
      </c>
      <c r="M39" s="116"/>
      <c r="N39" s="119"/>
    </row>
    <row r="40" spans="1:16" ht="20.25" customHeight="1" thickBot="1">
      <c r="A40" s="133" t="s">
        <v>38</v>
      </c>
      <c r="B40" s="470"/>
      <c r="C40" s="470"/>
      <c r="D40" s="470"/>
      <c r="E40" s="470"/>
      <c r="F40" s="470"/>
      <c r="G40" s="470"/>
      <c r="H40"/>
      <c r="I40"/>
      <c r="J40"/>
      <c r="K40"/>
      <c r="L40"/>
      <c r="M40"/>
      <c r="N40"/>
      <c r="O40"/>
      <c r="P40"/>
    </row>
    <row r="41" spans="2:8" ht="14.25" customHeight="1" thickBot="1">
      <c r="B41" s="7"/>
      <c r="C41" s="7"/>
      <c r="D41" s="19"/>
      <c r="E41" s="7"/>
      <c r="F41" s="7"/>
      <c r="G41" s="7"/>
      <c r="H41" s="7"/>
    </row>
    <row r="42" spans="1:16" ht="13.5" thickBot="1">
      <c r="A42" s="456" t="s">
        <v>132</v>
      </c>
      <c r="B42" s="456"/>
      <c r="C42" s="444" t="s">
        <v>39</v>
      </c>
      <c r="D42" s="456" t="s">
        <v>221</v>
      </c>
      <c r="E42" s="456"/>
      <c r="F42" s="456"/>
      <c r="G42" s="444" t="s">
        <v>39</v>
      </c>
      <c r="H42" s="461" t="s">
        <v>222</v>
      </c>
      <c r="I42" s="461"/>
      <c r="J42" s="461"/>
      <c r="K42" s="461"/>
      <c r="L42" s="444" t="s">
        <v>39</v>
      </c>
      <c r="O42"/>
      <c r="P42"/>
    </row>
    <row r="43" spans="1:16" ht="13.5" thickBot="1">
      <c r="A43" s="456"/>
      <c r="B43" s="456"/>
      <c r="C43" s="444"/>
      <c r="D43" s="456"/>
      <c r="E43" s="456"/>
      <c r="F43" s="456"/>
      <c r="G43" s="444"/>
      <c r="H43" s="461"/>
      <c r="I43" s="461"/>
      <c r="J43" s="461"/>
      <c r="K43" s="461"/>
      <c r="L43" s="444"/>
      <c r="O43"/>
      <c r="P43"/>
    </row>
    <row r="44" spans="1:16" ht="12.75">
      <c r="A44" s="469" t="s">
        <v>91</v>
      </c>
      <c r="B44" s="469"/>
      <c r="C44" s="134">
        <v>281</v>
      </c>
      <c r="D44" s="468" t="s">
        <v>286</v>
      </c>
      <c r="E44" s="468"/>
      <c r="F44" s="468"/>
      <c r="G44" s="135">
        <v>598</v>
      </c>
      <c r="H44" s="467" t="s">
        <v>103</v>
      </c>
      <c r="I44" s="467"/>
      <c r="J44" s="467"/>
      <c r="K44" s="467"/>
      <c r="L44" s="136">
        <v>200</v>
      </c>
      <c r="O44"/>
      <c r="P44"/>
    </row>
    <row r="45" spans="1:16" ht="12.75">
      <c r="A45" s="463" t="s">
        <v>141</v>
      </c>
      <c r="B45" s="463"/>
      <c r="C45" s="137">
        <v>490</v>
      </c>
      <c r="D45" s="468" t="s">
        <v>89</v>
      </c>
      <c r="E45" s="468"/>
      <c r="F45" s="468"/>
      <c r="G45" s="138">
        <v>334</v>
      </c>
      <c r="H45" s="467" t="s">
        <v>287</v>
      </c>
      <c r="I45" s="467"/>
      <c r="J45" s="467"/>
      <c r="K45" s="467"/>
      <c r="L45" s="136">
        <v>300</v>
      </c>
      <c r="O45"/>
      <c r="P45"/>
    </row>
    <row r="46" spans="1:16" ht="12.75">
      <c r="A46" s="463" t="s">
        <v>89</v>
      </c>
      <c r="B46" s="463"/>
      <c r="C46" s="137">
        <v>303</v>
      </c>
      <c r="D46" s="468"/>
      <c r="E46" s="468"/>
      <c r="F46" s="468"/>
      <c r="G46" s="138"/>
      <c r="H46" s="467" t="s">
        <v>288</v>
      </c>
      <c r="I46" s="467"/>
      <c r="J46" s="467"/>
      <c r="K46" s="467"/>
      <c r="L46" s="136">
        <v>200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 t="s">
        <v>289</v>
      </c>
      <c r="I47" s="464"/>
      <c r="J47" s="464"/>
      <c r="K47" s="464"/>
      <c r="L47" s="136">
        <v>100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 t="s">
        <v>89</v>
      </c>
      <c r="I48" s="464"/>
      <c r="J48" s="464"/>
      <c r="K48" s="464"/>
      <c r="L48" s="136">
        <v>350</v>
      </c>
      <c r="O48"/>
      <c r="P48"/>
    </row>
    <row r="49" spans="1:16" ht="12.75">
      <c r="A49" s="463"/>
      <c r="B49" s="463"/>
      <c r="C49" s="139"/>
      <c r="D49" s="463"/>
      <c r="E49" s="463"/>
      <c r="F49" s="463"/>
      <c r="G49" s="140"/>
      <c r="H49" s="464"/>
      <c r="I49" s="464"/>
      <c r="J49" s="464"/>
      <c r="K49" s="464"/>
      <c r="L49" s="136"/>
      <c r="O49"/>
      <c r="P49"/>
    </row>
    <row r="50" spans="1:16" ht="13.5" thickBot="1">
      <c r="A50" s="465"/>
      <c r="B50" s="465"/>
      <c r="C50" s="139"/>
      <c r="D50" s="466"/>
      <c r="E50" s="466"/>
      <c r="F50" s="466"/>
      <c r="G50" s="140"/>
      <c r="H50" s="467"/>
      <c r="I50" s="467"/>
      <c r="J50" s="467"/>
      <c r="K50" s="467"/>
      <c r="L50" s="136"/>
      <c r="O50"/>
      <c r="P50"/>
    </row>
    <row r="51" spans="1:16" ht="13.5" thickBot="1">
      <c r="A51" s="450"/>
      <c r="B51" s="450"/>
      <c r="C51" s="141">
        <f>SUM(C44:C50)</f>
        <v>1074</v>
      </c>
      <c r="D51" s="451" t="s">
        <v>3</v>
      </c>
      <c r="E51" s="451"/>
      <c r="F51" s="451"/>
      <c r="G51" s="141">
        <f>SUM(G44:G50)</f>
        <v>932</v>
      </c>
      <c r="H51" s="452" t="s">
        <v>3</v>
      </c>
      <c r="I51" s="452"/>
      <c r="J51" s="452"/>
      <c r="K51" s="452"/>
      <c r="L51" s="141">
        <f>SUM(L44:L50)</f>
        <v>1150</v>
      </c>
      <c r="M51" s="20"/>
      <c r="N51" s="20"/>
      <c r="O51"/>
      <c r="P51"/>
    </row>
    <row r="52" spans="1:16" s="1" customFormat="1" ht="13.5" customHeight="1" thickBot="1">
      <c r="A52" s="21"/>
      <c r="B52" s="5"/>
      <c r="C52" s="5"/>
      <c r="D52" s="5"/>
      <c r="E52" s="5"/>
      <c r="F52" s="5"/>
      <c r="G52" s="5"/>
      <c r="H52" s="6"/>
      <c r="I52" s="3"/>
      <c r="J52" s="3"/>
      <c r="K52" s="3"/>
      <c r="L52" s="3"/>
      <c r="M52" s="3"/>
      <c r="N52" s="3"/>
      <c r="O52" s="3"/>
      <c r="P52" s="3"/>
    </row>
    <row r="53" spans="1:16" ht="13.5" thickBot="1">
      <c r="A53" s="453" t="s">
        <v>230</v>
      </c>
      <c r="B53" s="454"/>
      <c r="C53" s="457" t="s">
        <v>39</v>
      </c>
      <c r="D53" s="459" t="s">
        <v>231</v>
      </c>
      <c r="E53" s="459"/>
      <c r="F53" s="459"/>
      <c r="G53" s="460" t="s">
        <v>39</v>
      </c>
      <c r="H53" s="461" t="s">
        <v>232</v>
      </c>
      <c r="I53" s="461"/>
      <c r="J53" s="461"/>
      <c r="K53" s="461"/>
      <c r="L53" s="444" t="s">
        <v>39</v>
      </c>
      <c r="O53"/>
      <c r="P53"/>
    </row>
    <row r="54" spans="1:16" ht="13.5" thickBot="1">
      <c r="A54" s="455"/>
      <c r="B54" s="456"/>
      <c r="C54" s="458"/>
      <c r="D54" s="459"/>
      <c r="E54" s="459"/>
      <c r="F54" s="459"/>
      <c r="G54" s="460"/>
      <c r="H54" s="461"/>
      <c r="I54" s="461"/>
      <c r="J54" s="461"/>
      <c r="K54" s="461"/>
      <c r="L54" s="444"/>
      <c r="O54"/>
      <c r="P54"/>
    </row>
    <row r="55" spans="1:16" ht="12.75">
      <c r="A55" s="445" t="s">
        <v>290</v>
      </c>
      <c r="B55" s="446"/>
      <c r="C55" s="233">
        <v>89</v>
      </c>
      <c r="D55" s="447" t="s">
        <v>291</v>
      </c>
      <c r="E55" s="447"/>
      <c r="F55" s="447"/>
      <c r="G55" s="142">
        <v>147</v>
      </c>
      <c r="H55" s="467" t="s">
        <v>292</v>
      </c>
      <c r="I55" s="467"/>
      <c r="J55" s="467"/>
      <c r="K55" s="467"/>
      <c r="L55" s="136">
        <v>170</v>
      </c>
      <c r="O55"/>
      <c r="P55"/>
    </row>
    <row r="56" spans="1:16" ht="13.5" customHeight="1">
      <c r="A56" s="418" t="s">
        <v>142</v>
      </c>
      <c r="B56" s="419"/>
      <c r="C56" s="234">
        <v>29</v>
      </c>
      <c r="D56" s="420"/>
      <c r="E56" s="420"/>
      <c r="F56" s="420"/>
      <c r="G56" s="143"/>
      <c r="H56" s="464" t="s">
        <v>116</v>
      </c>
      <c r="I56" s="464"/>
      <c r="J56" s="464"/>
      <c r="K56" s="464"/>
      <c r="L56" s="144">
        <v>100</v>
      </c>
      <c r="O56"/>
      <c r="P56"/>
    </row>
    <row r="57" spans="1:16" ht="13.5" customHeight="1">
      <c r="A57" s="418" t="s">
        <v>119</v>
      </c>
      <c r="B57" s="419"/>
      <c r="C57" s="234">
        <v>146</v>
      </c>
      <c r="D57" s="420"/>
      <c r="E57" s="420"/>
      <c r="F57" s="420"/>
      <c r="G57" s="143"/>
      <c r="H57" s="464" t="s">
        <v>293</v>
      </c>
      <c r="I57" s="464"/>
      <c r="J57" s="464"/>
      <c r="K57" s="464"/>
      <c r="L57" s="144">
        <v>100</v>
      </c>
      <c r="O57"/>
      <c r="P57"/>
    </row>
    <row r="58" spans="1:16" ht="13.5" customHeight="1">
      <c r="A58" s="418"/>
      <c r="B58" s="419"/>
      <c r="C58" s="234"/>
      <c r="D58" s="420"/>
      <c r="E58" s="420"/>
      <c r="F58" s="420"/>
      <c r="G58" s="143"/>
      <c r="H58" s="464" t="s">
        <v>294</v>
      </c>
      <c r="I58" s="464"/>
      <c r="J58" s="464"/>
      <c r="K58" s="464"/>
      <c r="L58" s="144">
        <v>30</v>
      </c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 t="s">
        <v>295</v>
      </c>
      <c r="I59" s="464"/>
      <c r="J59" s="464"/>
      <c r="K59" s="464"/>
      <c r="L59" s="146">
        <v>100</v>
      </c>
      <c r="O59"/>
      <c r="P59"/>
    </row>
    <row r="60" spans="1:16" ht="13.5" customHeight="1">
      <c r="A60" s="418"/>
      <c r="B60" s="419"/>
      <c r="C60" s="235"/>
      <c r="D60" s="420"/>
      <c r="E60" s="420"/>
      <c r="F60" s="420"/>
      <c r="G60" s="145"/>
      <c r="H60" s="464"/>
      <c r="I60" s="464"/>
      <c r="J60" s="464"/>
      <c r="K60" s="464"/>
      <c r="L60" s="146"/>
      <c r="O60"/>
      <c r="P60"/>
    </row>
    <row r="61" spans="1:16" ht="13.5" customHeight="1">
      <c r="A61" s="418"/>
      <c r="B61" s="518"/>
      <c r="C61" s="234"/>
      <c r="D61" s="420"/>
      <c r="E61" s="420"/>
      <c r="F61" s="420"/>
      <c r="G61" s="143"/>
      <c r="H61" s="464"/>
      <c r="I61" s="464"/>
      <c r="J61" s="464"/>
      <c r="K61" s="464"/>
      <c r="L61" s="144"/>
      <c r="O61"/>
      <c r="P61"/>
    </row>
    <row r="62" spans="1:16" ht="13.5" thickBot="1">
      <c r="A62" s="511"/>
      <c r="B62" s="512"/>
      <c r="C62" s="236"/>
      <c r="D62" s="513"/>
      <c r="E62" s="513"/>
      <c r="F62" s="513"/>
      <c r="G62" s="147"/>
      <c r="H62" s="514"/>
      <c r="I62" s="514"/>
      <c r="J62" s="514"/>
      <c r="K62" s="514"/>
      <c r="L62" s="148"/>
      <c r="O62"/>
      <c r="P62"/>
    </row>
    <row r="63" spans="1:16" ht="13.5" thickBot="1">
      <c r="A63" s="515" t="s">
        <v>3</v>
      </c>
      <c r="B63" s="516"/>
      <c r="C63" s="237">
        <f>SUM(C55:C62)</f>
        <v>264</v>
      </c>
      <c r="D63" s="517" t="s">
        <v>3</v>
      </c>
      <c r="E63" s="517"/>
      <c r="F63" s="517"/>
      <c r="G63" s="149">
        <f>SUM(G55:G62)</f>
        <v>147</v>
      </c>
      <c r="H63" s="452" t="s">
        <v>3</v>
      </c>
      <c r="I63" s="452"/>
      <c r="J63" s="452"/>
      <c r="K63" s="452"/>
      <c r="L63" s="141">
        <f>SUM(L55:L62)</f>
        <v>500</v>
      </c>
      <c r="M63" s="20"/>
      <c r="N63" s="20"/>
      <c r="O63"/>
      <c r="P63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108</v>
      </c>
      <c r="C67" s="483" t="s">
        <v>511</v>
      </c>
      <c r="D67" s="483"/>
      <c r="E67" s="63">
        <v>38</v>
      </c>
      <c r="F67" s="484" t="s">
        <v>126</v>
      </c>
      <c r="G67" s="485"/>
      <c r="H67" s="56">
        <v>310</v>
      </c>
      <c r="I67" s="483" t="s">
        <v>511</v>
      </c>
      <c r="J67" s="485"/>
      <c r="K67" s="485"/>
      <c r="L67" s="63">
        <v>250</v>
      </c>
      <c r="M67" s="22"/>
      <c r="N67" s="22"/>
    </row>
    <row r="68" spans="1:14" s="1" customFormat="1" ht="12.75">
      <c r="A68" s="64" t="s">
        <v>124</v>
      </c>
      <c r="B68" s="57">
        <v>165</v>
      </c>
      <c r="C68" s="478"/>
      <c r="D68" s="478"/>
      <c r="E68" s="65"/>
      <c r="F68" s="486" t="s">
        <v>127</v>
      </c>
      <c r="G68" s="479"/>
      <c r="H68" s="57">
        <v>0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75</v>
      </c>
      <c r="C69" s="478"/>
      <c r="D69" s="478"/>
      <c r="E69" s="65"/>
      <c r="F69" s="478"/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348</v>
      </c>
      <c r="C71" s="473" t="s">
        <v>3</v>
      </c>
      <c r="D71" s="473"/>
      <c r="E71" s="70">
        <f>SUM(E67:E70)</f>
        <v>38</v>
      </c>
      <c r="F71" s="474" t="s">
        <v>3</v>
      </c>
      <c r="G71" s="475"/>
      <c r="H71" s="66">
        <f>SUM(H67:H70)</f>
        <v>310</v>
      </c>
      <c r="I71" s="473" t="s">
        <v>3</v>
      </c>
      <c r="J71" s="475"/>
      <c r="K71" s="475"/>
      <c r="L71" s="70">
        <f>SUM(L67:L70)</f>
        <v>250</v>
      </c>
      <c r="M71" s="22"/>
      <c r="N71" s="22"/>
    </row>
    <row r="72" spans="1:14" s="1" customFormat="1" ht="13.5" thickBot="1">
      <c r="A72" s="78" t="s">
        <v>212</v>
      </c>
      <c r="B72" s="79">
        <f>B71-E71</f>
        <v>310</v>
      </c>
      <c r="C72" s="22"/>
      <c r="D72" s="22"/>
      <c r="E72" s="22"/>
      <c r="F72" s="476" t="s">
        <v>212</v>
      </c>
      <c r="G72" s="477"/>
      <c r="H72" s="80">
        <f>H71-L71</f>
        <v>60</v>
      </c>
      <c r="I72" s="22"/>
      <c r="J72" s="22"/>
      <c r="K72" s="22"/>
      <c r="L72" s="22"/>
      <c r="M72" s="22"/>
      <c r="N72" s="22"/>
    </row>
    <row r="73" spans="1:14" s="1" customFormat="1" ht="12.75">
      <c r="A73" s="239"/>
      <c r="B73" s="239"/>
      <c r="C73" s="22"/>
      <c r="D73" s="22"/>
      <c r="E73" s="22"/>
      <c r="F73" s="239"/>
      <c r="G73" s="239"/>
      <c r="H73" s="239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2" s="1" customFormat="1" ht="12.75">
      <c r="A76" s="23"/>
      <c r="B76" s="24"/>
      <c r="C76" s="24"/>
      <c r="D76" s="24"/>
      <c r="E76" s="2"/>
      <c r="F76" s="4"/>
      <c r="G76" s="4"/>
      <c r="H76" s="23"/>
      <c r="I76" s="24"/>
      <c r="J76" s="24"/>
      <c r="K76" s="24"/>
      <c r="L76" s="2"/>
    </row>
    <row r="77" spans="1:12" s="1" customFormat="1" ht="13.5" thickBot="1">
      <c r="A77" s="23"/>
      <c r="B77" s="24"/>
      <c r="C77" s="24"/>
      <c r="D77" s="24"/>
      <c r="E77" s="2"/>
      <c r="F77" s="4"/>
      <c r="G77" s="4"/>
      <c r="H77" s="23"/>
      <c r="I77" s="24"/>
      <c r="J77" s="24" t="s">
        <v>215</v>
      </c>
      <c r="K77" s="24"/>
      <c r="L77" s="2"/>
    </row>
    <row r="78" spans="1:15" s="1" customFormat="1" ht="12.75">
      <c r="A78" s="519" t="s">
        <v>64</v>
      </c>
      <c r="B78" s="522" t="s">
        <v>245</v>
      </c>
      <c r="C78" s="525" t="s">
        <v>246</v>
      </c>
      <c r="D78" s="526"/>
      <c r="E78" s="526"/>
      <c r="F78" s="526"/>
      <c r="G78" s="526"/>
      <c r="H78" s="526"/>
      <c r="I78" s="527"/>
      <c r="J78" s="528" t="s">
        <v>247</v>
      </c>
      <c r="K78" s="7"/>
      <c r="L78" s="531" t="s">
        <v>41</v>
      </c>
      <c r="M78" s="532"/>
      <c r="N78" s="83">
        <v>2005</v>
      </c>
      <c r="O78" s="84">
        <v>2006</v>
      </c>
    </row>
    <row r="79" spans="1:15" s="1" customFormat="1" ht="12.75">
      <c r="A79" s="520"/>
      <c r="B79" s="523"/>
      <c r="C79" s="533" t="s">
        <v>65</v>
      </c>
      <c r="D79" s="535" t="s">
        <v>66</v>
      </c>
      <c r="E79" s="536"/>
      <c r="F79" s="536"/>
      <c r="G79" s="536"/>
      <c r="H79" s="536"/>
      <c r="I79" s="537"/>
      <c r="J79" s="529"/>
      <c r="K79" s="7"/>
      <c r="L79" s="87" t="s">
        <v>128</v>
      </c>
      <c r="M79" s="86"/>
      <c r="N79" s="82"/>
      <c r="O79" s="85"/>
    </row>
    <row r="80" spans="1:15" s="1" customFormat="1" ht="13.5" thickBot="1">
      <c r="A80" s="521"/>
      <c r="B80" s="524"/>
      <c r="C80" s="534"/>
      <c r="D80" s="28">
        <v>1</v>
      </c>
      <c r="E80" s="28">
        <v>2</v>
      </c>
      <c r="F80" s="28">
        <v>3</v>
      </c>
      <c r="G80" s="28">
        <v>4</v>
      </c>
      <c r="H80" s="28">
        <v>5</v>
      </c>
      <c r="I80" s="75">
        <v>6</v>
      </c>
      <c r="J80" s="530"/>
      <c r="K80" s="7"/>
      <c r="L80" s="86" t="s">
        <v>42</v>
      </c>
      <c r="M80" s="87"/>
      <c r="N80" s="25">
        <v>0</v>
      </c>
      <c r="O80" s="26">
        <v>0</v>
      </c>
    </row>
    <row r="81" spans="1:15" s="1" customFormat="1" ht="13.5" thickBot="1">
      <c r="A81" s="29">
        <v>43961</v>
      </c>
      <c r="B81" s="30">
        <v>14588</v>
      </c>
      <c r="C81" s="73">
        <f>SUM(D81:I81)</f>
        <v>930</v>
      </c>
      <c r="D81" s="74">
        <v>18</v>
      </c>
      <c r="E81" s="74">
        <v>547</v>
      </c>
      <c r="F81" s="74">
        <v>0</v>
      </c>
      <c r="G81" s="74">
        <v>4</v>
      </c>
      <c r="H81" s="73">
        <v>361</v>
      </c>
      <c r="I81" s="81">
        <v>0</v>
      </c>
      <c r="J81" s="31">
        <f>SUM(A81-B81-C81)</f>
        <v>28443</v>
      </c>
      <c r="K81" s="7"/>
      <c r="L81" s="88" t="s">
        <v>43</v>
      </c>
      <c r="M81" s="89"/>
      <c r="N81" s="71">
        <v>0</v>
      </c>
      <c r="O81" s="72">
        <v>0</v>
      </c>
    </row>
    <row r="82" spans="1:12" s="1" customFormat="1" ht="12.75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"/>
    </row>
    <row r="83" spans="1:12" s="1" customFormat="1" ht="13.5" thickBot="1">
      <c r="A83" s="23"/>
      <c r="B83" s="24"/>
      <c r="C83" s="24"/>
      <c r="D83" s="24"/>
      <c r="E83" s="2"/>
      <c r="F83" s="227"/>
      <c r="G83" s="4"/>
      <c r="H83" s="23"/>
      <c r="I83" s="24"/>
      <c r="J83" s="24"/>
      <c r="K83" s="24"/>
      <c r="L83" s="24" t="s">
        <v>215</v>
      </c>
    </row>
    <row r="84" spans="1:12" s="1" customFormat="1" ht="12.75">
      <c r="A84" s="543" t="s">
        <v>95</v>
      </c>
      <c r="B84" s="545" t="s">
        <v>248</v>
      </c>
      <c r="C84" s="547" t="s">
        <v>249</v>
      </c>
      <c r="D84" s="548"/>
      <c r="E84" s="548"/>
      <c r="F84" s="549"/>
      <c r="G84" s="550" t="s">
        <v>250</v>
      </c>
      <c r="H84" s="538" t="s">
        <v>67</v>
      </c>
      <c r="I84" s="540" t="s">
        <v>251</v>
      </c>
      <c r="J84" s="541"/>
      <c r="K84" s="541"/>
      <c r="L84" s="542"/>
    </row>
    <row r="85" spans="1:12" s="1" customFormat="1" ht="18.75" thickBot="1">
      <c r="A85" s="544"/>
      <c r="B85" s="546"/>
      <c r="C85" s="32" t="s">
        <v>204</v>
      </c>
      <c r="D85" s="33" t="s">
        <v>68</v>
      </c>
      <c r="E85" s="33" t="s">
        <v>69</v>
      </c>
      <c r="F85" s="34" t="s">
        <v>205</v>
      </c>
      <c r="G85" s="551"/>
      <c r="H85" s="539"/>
      <c r="I85" s="200" t="s">
        <v>252</v>
      </c>
      <c r="J85" s="201" t="s">
        <v>68</v>
      </c>
      <c r="K85" s="201" t="s">
        <v>69</v>
      </c>
      <c r="L85" s="202" t="s">
        <v>253</v>
      </c>
    </row>
    <row r="86" spans="1:12" s="1" customFormat="1" ht="12.75">
      <c r="A86" s="35" t="s">
        <v>70</v>
      </c>
      <c r="B86" s="36">
        <v>2597</v>
      </c>
      <c r="C86" s="37" t="s">
        <v>71</v>
      </c>
      <c r="D86" s="38" t="s">
        <v>71</v>
      </c>
      <c r="E86" s="38" t="s">
        <v>71</v>
      </c>
      <c r="F86" s="39" t="s">
        <v>71</v>
      </c>
      <c r="G86" s="40">
        <v>2694</v>
      </c>
      <c r="H86" s="197" t="s">
        <v>71</v>
      </c>
      <c r="I86" s="203" t="s">
        <v>71</v>
      </c>
      <c r="J86" s="204" t="s">
        <v>71</v>
      </c>
      <c r="K86" s="204" t="s">
        <v>71</v>
      </c>
      <c r="L86" s="205" t="s">
        <v>71</v>
      </c>
    </row>
    <row r="87" spans="1:12" s="1" customFormat="1" ht="12.75">
      <c r="A87" s="41" t="s">
        <v>72</v>
      </c>
      <c r="B87" s="42">
        <v>0</v>
      </c>
      <c r="C87" s="43">
        <v>0</v>
      </c>
      <c r="D87" s="44">
        <v>41</v>
      </c>
      <c r="E87" s="44">
        <v>0</v>
      </c>
      <c r="F87" s="45">
        <f>C87+D87-E87</f>
        <v>41</v>
      </c>
      <c r="G87" s="46">
        <v>41</v>
      </c>
      <c r="H87" s="198">
        <f>+G87-F87</f>
        <v>0</v>
      </c>
      <c r="I87" s="43">
        <v>41</v>
      </c>
      <c r="J87" s="44">
        <v>0</v>
      </c>
      <c r="K87" s="44">
        <v>0</v>
      </c>
      <c r="L87" s="45">
        <f>I87+J87-K87</f>
        <v>41</v>
      </c>
    </row>
    <row r="88" spans="1:12" s="1" customFormat="1" ht="12.75">
      <c r="A88" s="41" t="s">
        <v>73</v>
      </c>
      <c r="B88" s="42">
        <v>108</v>
      </c>
      <c r="C88" s="43">
        <v>108</v>
      </c>
      <c r="D88" s="44">
        <v>240</v>
      </c>
      <c r="E88" s="44">
        <v>38</v>
      </c>
      <c r="F88" s="45">
        <f>C88+D88-E88</f>
        <v>310</v>
      </c>
      <c r="G88" s="46">
        <v>280</v>
      </c>
      <c r="H88" s="198">
        <f>+G88-F88</f>
        <v>-30</v>
      </c>
      <c r="I88" s="43">
        <v>310</v>
      </c>
      <c r="J88" s="44">
        <v>0</v>
      </c>
      <c r="K88" s="44">
        <v>250</v>
      </c>
      <c r="L88" s="45">
        <f>I88+J88-K88</f>
        <v>60</v>
      </c>
    </row>
    <row r="89" spans="1:12" s="1" customFormat="1" ht="12.75">
      <c r="A89" s="41" t="s">
        <v>96</v>
      </c>
      <c r="B89" s="42">
        <v>342</v>
      </c>
      <c r="C89" s="43">
        <v>342</v>
      </c>
      <c r="D89" s="44">
        <v>949</v>
      </c>
      <c r="E89" s="44">
        <v>932</v>
      </c>
      <c r="F89" s="45">
        <f>C89+D89-E89</f>
        <v>359</v>
      </c>
      <c r="G89" s="46">
        <v>359</v>
      </c>
      <c r="H89" s="198">
        <f>+G89-F89</f>
        <v>0</v>
      </c>
      <c r="I89" s="206">
        <v>359</v>
      </c>
      <c r="J89" s="196">
        <v>930</v>
      </c>
      <c r="K89" s="196">
        <f>L51</f>
        <v>1150</v>
      </c>
      <c r="L89" s="45">
        <f>I89+J89-K89</f>
        <v>139</v>
      </c>
    </row>
    <row r="90" spans="1:12" s="1" customFormat="1" ht="12.75">
      <c r="A90" s="41" t="s">
        <v>74</v>
      </c>
      <c r="B90" s="42">
        <v>2147</v>
      </c>
      <c r="C90" s="53" t="s">
        <v>71</v>
      </c>
      <c r="D90" s="38" t="s">
        <v>71</v>
      </c>
      <c r="E90" s="54" t="s">
        <v>71</v>
      </c>
      <c r="F90" s="55" t="s">
        <v>71</v>
      </c>
      <c r="G90" s="46">
        <v>2014</v>
      </c>
      <c r="H90" s="53" t="s">
        <v>71</v>
      </c>
      <c r="I90" s="37" t="s">
        <v>71</v>
      </c>
      <c r="J90" s="38" t="s">
        <v>71</v>
      </c>
      <c r="K90" s="38" t="s">
        <v>71</v>
      </c>
      <c r="L90" s="207">
        <v>0</v>
      </c>
    </row>
    <row r="91" spans="1:12" s="1" customFormat="1" ht="13.5" thickBot="1">
      <c r="A91" s="47" t="s">
        <v>75</v>
      </c>
      <c r="B91" s="48">
        <v>163</v>
      </c>
      <c r="C91" s="49">
        <v>183</v>
      </c>
      <c r="D91" s="50">
        <v>255</v>
      </c>
      <c r="E91" s="50">
        <v>234</v>
      </c>
      <c r="F91" s="51">
        <f>C91+D91-E91</f>
        <v>204</v>
      </c>
      <c r="G91" s="52">
        <v>187</v>
      </c>
      <c r="H91" s="199">
        <f>+G91-F91</f>
        <v>-17</v>
      </c>
      <c r="I91" s="49">
        <v>204</v>
      </c>
      <c r="J91" s="50">
        <v>303</v>
      </c>
      <c r="K91" s="50">
        <v>350</v>
      </c>
      <c r="L91" s="51">
        <f>I91+J91-K91</f>
        <v>157</v>
      </c>
    </row>
    <row r="92" spans="1:12" s="1" customFormat="1" ht="12.75">
      <c r="A92" s="23"/>
      <c r="B92" s="24"/>
      <c r="C92" s="24"/>
      <c r="D92" s="24"/>
      <c r="E92" s="2"/>
      <c r="F92" s="227"/>
      <c r="G92" s="4"/>
      <c r="H92" s="23"/>
      <c r="I92" s="24"/>
      <c r="J92" s="24"/>
      <c r="K92" s="24"/>
      <c r="L92" s="2"/>
    </row>
    <row r="93" spans="1:12" s="1" customFormat="1" ht="12.75">
      <c r="A93" s="23"/>
      <c r="B93" s="24"/>
      <c r="C93" s="24"/>
      <c r="D93" s="24"/>
      <c r="E93" s="2"/>
      <c r="F93" s="4"/>
      <c r="G93" s="4"/>
      <c r="H93" s="23"/>
      <c r="I93" s="24"/>
      <c r="J93" s="24"/>
      <c r="K93" s="24"/>
      <c r="L93" s="2"/>
    </row>
    <row r="94" spans="8:12" ht="13.5" thickBot="1">
      <c r="H94" s="24" t="s">
        <v>215</v>
      </c>
      <c r="L94" s="24" t="s">
        <v>215</v>
      </c>
    </row>
    <row r="95" spans="1:12" ht="13.5" thickBot="1">
      <c r="A95" s="421" t="s">
        <v>254</v>
      </c>
      <c r="B95" s="412" t="s">
        <v>3</v>
      </c>
      <c r="C95" s="429" t="s">
        <v>76</v>
      </c>
      <c r="D95" s="429"/>
      <c r="E95" s="429"/>
      <c r="F95" s="429"/>
      <c r="G95" s="429"/>
      <c r="H95" s="429"/>
      <c r="I95" s="27"/>
      <c r="J95" s="431" t="s">
        <v>44</v>
      </c>
      <c r="K95" s="431"/>
      <c r="L95" s="431"/>
    </row>
    <row r="96" spans="1:12" ht="13.5" thickBot="1">
      <c r="A96" s="421"/>
      <c r="B96" s="412"/>
      <c r="C96" s="150" t="s">
        <v>77</v>
      </c>
      <c r="D96" s="151" t="s">
        <v>78</v>
      </c>
      <c r="E96" s="151" t="s">
        <v>79</v>
      </c>
      <c r="F96" s="151" t="s">
        <v>80</v>
      </c>
      <c r="G96" s="152" t="s">
        <v>81</v>
      </c>
      <c r="H96" s="153" t="s">
        <v>65</v>
      </c>
      <c r="I96" s="27"/>
      <c r="J96" s="154"/>
      <c r="K96" s="155" t="s">
        <v>45</v>
      </c>
      <c r="L96" s="156" t="s">
        <v>46</v>
      </c>
    </row>
    <row r="97" spans="1:12" ht="12.75">
      <c r="A97" s="157" t="s">
        <v>82</v>
      </c>
      <c r="B97" s="158">
        <v>193</v>
      </c>
      <c r="C97" s="159"/>
      <c r="D97" s="159"/>
      <c r="E97" s="159"/>
      <c r="F97" s="159"/>
      <c r="G97" s="158"/>
      <c r="H97" s="160">
        <f>SUM(C97:G97)</f>
        <v>0</v>
      </c>
      <c r="I97" s="27"/>
      <c r="J97" s="161">
        <v>2006</v>
      </c>
      <c r="K97" s="162">
        <v>12787</v>
      </c>
      <c r="L97" s="163">
        <f>+G30</f>
        <v>13139</v>
      </c>
    </row>
    <row r="98" spans="1:12" ht="13.5" thickBot="1">
      <c r="A98" s="164" t="s">
        <v>83</v>
      </c>
      <c r="B98" s="165">
        <v>1907</v>
      </c>
      <c r="C98" s="166"/>
      <c r="D98" s="166"/>
      <c r="E98" s="166"/>
      <c r="F98" s="166"/>
      <c r="G98" s="165"/>
      <c r="H98" s="167">
        <f>SUM(C98:G98)</f>
        <v>0</v>
      </c>
      <c r="I98" s="27"/>
      <c r="J98" s="168">
        <v>2007</v>
      </c>
      <c r="K98" s="169">
        <f>L30</f>
        <v>15127</v>
      </c>
      <c r="L98" s="170"/>
    </row>
    <row r="99" ht="12.75" customHeight="1"/>
    <row r="100" ht="13.5" thickBot="1">
      <c r="J100" s="242" t="s">
        <v>255</v>
      </c>
    </row>
    <row r="101" spans="1:10" ht="21" customHeight="1" thickBot="1">
      <c r="A101" s="421" t="s">
        <v>47</v>
      </c>
      <c r="B101" s="422" t="s">
        <v>48</v>
      </c>
      <c r="C101" s="422"/>
      <c r="D101" s="422"/>
      <c r="E101" s="423" t="s">
        <v>134</v>
      </c>
      <c r="F101" s="423"/>
      <c r="G101" s="423"/>
      <c r="H101" s="430" t="s">
        <v>49</v>
      </c>
      <c r="I101" s="430"/>
      <c r="J101" s="430"/>
    </row>
    <row r="102" spans="1:10" ht="12.75">
      <c r="A102" s="421"/>
      <c r="B102" s="171">
        <v>2005</v>
      </c>
      <c r="C102" s="171">
        <v>2006</v>
      </c>
      <c r="D102" s="171" t="s">
        <v>50</v>
      </c>
      <c r="E102" s="171">
        <v>2005</v>
      </c>
      <c r="F102" s="171">
        <v>2006</v>
      </c>
      <c r="G102" s="172" t="s">
        <v>50</v>
      </c>
      <c r="H102" s="173">
        <v>2005</v>
      </c>
      <c r="I102" s="171">
        <v>2006</v>
      </c>
      <c r="J102" s="172" t="s">
        <v>50</v>
      </c>
    </row>
    <row r="103" spans="1:10" ht="18.75">
      <c r="A103" s="174" t="s">
        <v>51</v>
      </c>
      <c r="B103" s="175">
        <v>3</v>
      </c>
      <c r="C103" s="175">
        <v>3.33</v>
      </c>
      <c r="D103" s="175">
        <f aca="true" t="shared" si="14" ref="D103:D113">+C103-B103</f>
        <v>0.33000000000000007</v>
      </c>
      <c r="E103" s="175">
        <v>3</v>
      </c>
      <c r="F103" s="175">
        <v>4</v>
      </c>
      <c r="G103" s="176">
        <f aca="true" t="shared" si="15" ref="G103:G113">+F103-E103</f>
        <v>1</v>
      </c>
      <c r="H103" s="177">
        <v>21825</v>
      </c>
      <c r="I103" s="178">
        <v>20237</v>
      </c>
      <c r="J103" s="179">
        <f aca="true" t="shared" si="16" ref="J103:J113">+I103-H103</f>
        <v>-1588</v>
      </c>
    </row>
    <row r="104" spans="1:10" ht="12.75">
      <c r="A104" s="174" t="s">
        <v>85</v>
      </c>
      <c r="B104" s="175">
        <v>12.31</v>
      </c>
      <c r="C104" s="175">
        <v>13.54</v>
      </c>
      <c r="D104" s="175">
        <f t="shared" si="14"/>
        <v>1.2299999999999986</v>
      </c>
      <c r="E104" s="175">
        <v>11.68</v>
      </c>
      <c r="F104" s="175">
        <v>12.67</v>
      </c>
      <c r="G104" s="176">
        <f t="shared" si="15"/>
        <v>0.9900000000000002</v>
      </c>
      <c r="H104" s="177">
        <v>17516</v>
      </c>
      <c r="I104" s="180">
        <v>20368</v>
      </c>
      <c r="J104" s="179">
        <f t="shared" si="16"/>
        <v>2852</v>
      </c>
    </row>
    <row r="105" spans="1:10" ht="12.75">
      <c r="A105" s="174" t="s">
        <v>52</v>
      </c>
      <c r="B105" s="175">
        <v>0.67</v>
      </c>
      <c r="C105" s="175">
        <v>0</v>
      </c>
      <c r="D105" s="175">
        <f t="shared" si="14"/>
        <v>-0.67</v>
      </c>
      <c r="E105" s="175">
        <v>0</v>
      </c>
      <c r="F105" s="175">
        <v>0</v>
      </c>
      <c r="G105" s="176">
        <f t="shared" si="15"/>
        <v>0</v>
      </c>
      <c r="H105" s="177">
        <v>12994</v>
      </c>
      <c r="I105" s="180">
        <v>0</v>
      </c>
      <c r="J105" s="179">
        <f t="shared" si="16"/>
        <v>-12994</v>
      </c>
    </row>
    <row r="106" spans="1:10" ht="12.75">
      <c r="A106" s="174" t="s">
        <v>53</v>
      </c>
      <c r="B106" s="175">
        <v>20.59</v>
      </c>
      <c r="C106" s="175">
        <v>8.62</v>
      </c>
      <c r="D106" s="175">
        <f t="shared" si="14"/>
        <v>-11.97</v>
      </c>
      <c r="E106" s="175">
        <v>19.67</v>
      </c>
      <c r="F106" s="175">
        <v>0</v>
      </c>
      <c r="G106" s="176">
        <f t="shared" si="15"/>
        <v>-19.67</v>
      </c>
      <c r="H106" s="177">
        <v>13137</v>
      </c>
      <c r="I106" s="180">
        <v>13643</v>
      </c>
      <c r="J106" s="179">
        <f t="shared" si="16"/>
        <v>506</v>
      </c>
    </row>
    <row r="107" spans="1:10" ht="12.75">
      <c r="A107" s="174" t="s">
        <v>86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54</v>
      </c>
      <c r="B108" s="175">
        <v>0</v>
      </c>
      <c r="C108" s="175">
        <v>0</v>
      </c>
      <c r="D108" s="175">
        <f t="shared" si="14"/>
        <v>0</v>
      </c>
      <c r="E108" s="175">
        <v>0</v>
      </c>
      <c r="F108" s="175">
        <v>0</v>
      </c>
      <c r="G108" s="176">
        <f t="shared" si="15"/>
        <v>0</v>
      </c>
      <c r="H108" s="177">
        <v>0</v>
      </c>
      <c r="I108" s="180">
        <v>0</v>
      </c>
      <c r="J108" s="179">
        <f t="shared" si="16"/>
        <v>0</v>
      </c>
    </row>
    <row r="109" spans="1:10" ht="12.75">
      <c r="A109" s="174" t="s">
        <v>55</v>
      </c>
      <c r="B109" s="175">
        <v>0</v>
      </c>
      <c r="C109" s="175">
        <v>0</v>
      </c>
      <c r="D109" s="175">
        <f t="shared" si="14"/>
        <v>0</v>
      </c>
      <c r="E109" s="175">
        <v>0</v>
      </c>
      <c r="F109" s="175">
        <v>0</v>
      </c>
      <c r="G109" s="176">
        <f t="shared" si="15"/>
        <v>0</v>
      </c>
      <c r="H109" s="177">
        <v>0</v>
      </c>
      <c r="I109" s="180">
        <v>0</v>
      </c>
      <c r="J109" s="179">
        <f t="shared" si="16"/>
        <v>0</v>
      </c>
    </row>
    <row r="110" spans="1:10" ht="12.75">
      <c r="A110" s="174" t="s">
        <v>56</v>
      </c>
      <c r="B110" s="175">
        <v>10.78</v>
      </c>
      <c r="C110" s="175">
        <v>23</v>
      </c>
      <c r="D110" s="175">
        <f t="shared" si="14"/>
        <v>12.22</v>
      </c>
      <c r="E110" s="175">
        <v>13.9</v>
      </c>
      <c r="F110" s="175">
        <v>36.35</v>
      </c>
      <c r="G110" s="176">
        <f t="shared" si="15"/>
        <v>22.450000000000003</v>
      </c>
      <c r="H110" s="177">
        <v>12390</v>
      </c>
      <c r="I110" s="180">
        <v>13715</v>
      </c>
      <c r="J110" s="179">
        <f t="shared" si="16"/>
        <v>1325</v>
      </c>
    </row>
    <row r="111" spans="1:10" ht="12.75">
      <c r="A111" s="174" t="s">
        <v>57</v>
      </c>
      <c r="B111" s="175">
        <v>1.16</v>
      </c>
      <c r="C111" s="175">
        <v>1</v>
      </c>
      <c r="D111" s="175">
        <f t="shared" si="14"/>
        <v>-0.15999999999999992</v>
      </c>
      <c r="E111" s="175">
        <v>1</v>
      </c>
      <c r="F111" s="175">
        <v>1</v>
      </c>
      <c r="G111" s="176">
        <f t="shared" si="15"/>
        <v>0</v>
      </c>
      <c r="H111" s="177">
        <v>17508</v>
      </c>
      <c r="I111" s="180">
        <v>19250</v>
      </c>
      <c r="J111" s="179">
        <f t="shared" si="16"/>
        <v>1742</v>
      </c>
    </row>
    <row r="112" spans="1:10" ht="12.75">
      <c r="A112" s="174" t="s">
        <v>58</v>
      </c>
      <c r="B112" s="175">
        <v>21.23</v>
      </c>
      <c r="C112" s="175">
        <v>23.37</v>
      </c>
      <c r="D112" s="175">
        <f t="shared" si="14"/>
        <v>2.1400000000000006</v>
      </c>
      <c r="E112" s="175">
        <v>22</v>
      </c>
      <c r="F112" s="175">
        <v>25</v>
      </c>
      <c r="G112" s="176">
        <f t="shared" si="15"/>
        <v>3</v>
      </c>
      <c r="H112" s="177">
        <v>13180</v>
      </c>
      <c r="I112" s="180">
        <v>12458</v>
      </c>
      <c r="J112" s="179">
        <f t="shared" si="16"/>
        <v>-722</v>
      </c>
    </row>
    <row r="113" spans="1:10" ht="13.5" thickBot="1">
      <c r="A113" s="181" t="s">
        <v>3</v>
      </c>
      <c r="B113" s="182">
        <f>SUM(B103:B112)</f>
        <v>69.74</v>
      </c>
      <c r="C113" s="182">
        <f>SUM(C103:C112)</f>
        <v>72.86</v>
      </c>
      <c r="D113" s="182">
        <f t="shared" si="14"/>
        <v>3.1200000000000045</v>
      </c>
      <c r="E113" s="182">
        <f>SUM(E103:E112)</f>
        <v>71.25</v>
      </c>
      <c r="F113" s="182">
        <f>SUM(F103:F112)</f>
        <v>79.02000000000001</v>
      </c>
      <c r="G113" s="183">
        <f t="shared" si="15"/>
        <v>7.77000000000001</v>
      </c>
      <c r="H113" s="184">
        <v>14252</v>
      </c>
      <c r="I113" s="185">
        <v>14971</v>
      </c>
      <c r="J113" s="186">
        <f t="shared" si="16"/>
        <v>719</v>
      </c>
    </row>
    <row r="114" ht="13.5" thickBot="1"/>
    <row r="115" spans="1:16" ht="12.75">
      <c r="A115" s="432" t="s">
        <v>59</v>
      </c>
      <c r="B115" s="432"/>
      <c r="C115" s="432"/>
      <c r="D115" s="27"/>
      <c r="E115" s="432" t="s">
        <v>60</v>
      </c>
      <c r="F115" s="432"/>
      <c r="G115" s="432"/>
      <c r="H115"/>
      <c r="I115"/>
      <c r="J115"/>
      <c r="K115"/>
      <c r="L115"/>
      <c r="M115"/>
      <c r="N115"/>
      <c r="O115"/>
      <c r="P115"/>
    </row>
    <row r="116" spans="1:16" ht="13.5" thickBot="1">
      <c r="A116" s="154" t="s">
        <v>61</v>
      </c>
      <c r="B116" s="155" t="s">
        <v>62</v>
      </c>
      <c r="C116" s="156" t="s">
        <v>46</v>
      </c>
      <c r="D116" s="27"/>
      <c r="E116" s="154"/>
      <c r="F116" s="433" t="s">
        <v>63</v>
      </c>
      <c r="G116" s="433"/>
      <c r="H116"/>
      <c r="I116"/>
      <c r="J116"/>
      <c r="K116"/>
      <c r="L116"/>
      <c r="M116"/>
      <c r="N116"/>
      <c r="O116"/>
      <c r="P116"/>
    </row>
    <row r="117" spans="1:16" ht="12.75">
      <c r="A117" s="161">
        <v>2006</v>
      </c>
      <c r="B117" s="162">
        <v>75</v>
      </c>
      <c r="C117" s="163">
        <v>73.27</v>
      </c>
      <c r="D117" s="27"/>
      <c r="E117" s="161">
        <v>2006</v>
      </c>
      <c r="F117" s="416">
        <v>136</v>
      </c>
      <c r="G117" s="416"/>
      <c r="H117"/>
      <c r="I117"/>
      <c r="J117"/>
      <c r="K117"/>
      <c r="L117"/>
      <c r="M117"/>
      <c r="N117"/>
      <c r="O117"/>
      <c r="P117"/>
    </row>
    <row r="118" spans="1:16" ht="13.5" thickBot="1">
      <c r="A118" s="168">
        <v>2007</v>
      </c>
      <c r="B118" s="169">
        <v>81.4</v>
      </c>
      <c r="C118" s="369" t="s">
        <v>508</v>
      </c>
      <c r="D118" s="27"/>
      <c r="E118" s="168">
        <v>2007</v>
      </c>
      <c r="F118" s="417">
        <v>130</v>
      </c>
      <c r="G118" s="417"/>
      <c r="H118"/>
      <c r="I118"/>
      <c r="J118"/>
      <c r="K118"/>
      <c r="L118"/>
      <c r="M118"/>
      <c r="N118"/>
      <c r="O118"/>
      <c r="P118"/>
    </row>
  </sheetData>
  <mergeCells count="122">
    <mergeCell ref="F118:G118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5:C115"/>
    <mergeCell ref="E115:G115"/>
    <mergeCell ref="F116:G116"/>
    <mergeCell ref="F117:G117"/>
    <mergeCell ref="A101:A102"/>
    <mergeCell ref="B101:D101"/>
    <mergeCell ref="E101:G101"/>
    <mergeCell ref="H101:J101"/>
    <mergeCell ref="H84:H85"/>
    <mergeCell ref="I84:L84"/>
    <mergeCell ref="A95:A96"/>
    <mergeCell ref="B95:B96"/>
    <mergeCell ref="C95:H95"/>
    <mergeCell ref="J95:L95"/>
    <mergeCell ref="A84:A85"/>
    <mergeCell ref="B84:B85"/>
    <mergeCell ref="C84:F84"/>
    <mergeCell ref="G84:G85"/>
    <mergeCell ref="C78:I78"/>
    <mergeCell ref="J78:J80"/>
    <mergeCell ref="C79:C80"/>
    <mergeCell ref="D79:I79"/>
    <mergeCell ref="A51:B51"/>
    <mergeCell ref="D51:F51"/>
    <mergeCell ref="H51:K51"/>
    <mergeCell ref="A53:B54"/>
    <mergeCell ref="C53:C54"/>
    <mergeCell ref="D53:F54"/>
    <mergeCell ref="G53:G54"/>
    <mergeCell ref="H53:K54"/>
    <mergeCell ref="J39:L39"/>
    <mergeCell ref="B40:D40"/>
    <mergeCell ref="E40:G40"/>
    <mergeCell ref="A42:B43"/>
    <mergeCell ref="C42:C43"/>
    <mergeCell ref="D42:F43"/>
    <mergeCell ref="G42:G43"/>
    <mergeCell ref="H42:K43"/>
    <mergeCell ref="L42:L43"/>
    <mergeCell ref="B39:D39"/>
    <mergeCell ref="B4:D4"/>
    <mergeCell ref="E4:G4"/>
    <mergeCell ref="J4:L4"/>
    <mergeCell ref="A3:A6"/>
    <mergeCell ref="B3:N3"/>
    <mergeCell ref="H4:I4"/>
    <mergeCell ref="M4:N4"/>
    <mergeCell ref="H59:K59"/>
    <mergeCell ref="H61:K61"/>
    <mergeCell ref="H57:K57"/>
    <mergeCell ref="H60:K60"/>
    <mergeCell ref="I68:K68"/>
    <mergeCell ref="C69:D69"/>
    <mergeCell ref="F69:G69"/>
    <mergeCell ref="I69:K69"/>
    <mergeCell ref="E39:G39"/>
    <mergeCell ref="F71:G71"/>
    <mergeCell ref="I71:K71"/>
    <mergeCell ref="F72:G72"/>
    <mergeCell ref="H45:K45"/>
    <mergeCell ref="D60:F60"/>
    <mergeCell ref="D62:F62"/>
    <mergeCell ref="D63:F63"/>
    <mergeCell ref="H62:K62"/>
    <mergeCell ref="H58:K58"/>
    <mergeCell ref="A46:B46"/>
    <mergeCell ref="D46:F46"/>
    <mergeCell ref="H44:K44"/>
    <mergeCell ref="A44:B44"/>
    <mergeCell ref="D44:F44"/>
    <mergeCell ref="A45:B45"/>
    <mergeCell ref="D45:F45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L53:L54"/>
    <mergeCell ref="A55:B55"/>
    <mergeCell ref="D55:F55"/>
    <mergeCell ref="A56:B56"/>
    <mergeCell ref="D56:F56"/>
    <mergeCell ref="H55:K55"/>
    <mergeCell ref="H56:K56"/>
    <mergeCell ref="A61:B61"/>
    <mergeCell ref="D61:F61"/>
    <mergeCell ref="A62:B62"/>
    <mergeCell ref="A57:B57"/>
    <mergeCell ref="D57:F57"/>
    <mergeCell ref="A58:B58"/>
    <mergeCell ref="D58:F58"/>
    <mergeCell ref="A59:B59"/>
    <mergeCell ref="D59:F59"/>
    <mergeCell ref="A60:B60"/>
    <mergeCell ref="A63:B63"/>
    <mergeCell ref="H63:K63"/>
    <mergeCell ref="L78:M78"/>
    <mergeCell ref="A78:A80"/>
    <mergeCell ref="B78:B80"/>
    <mergeCell ref="C70:D70"/>
    <mergeCell ref="F70:G70"/>
    <mergeCell ref="I70:K70"/>
    <mergeCell ref="C71:D71"/>
    <mergeCell ref="F68:G6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0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87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484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6">SUM(B7:C7)</f>
        <v>0</v>
      </c>
      <c r="E7" s="187">
        <v>0</v>
      </c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12223</v>
      </c>
      <c r="C8" s="14">
        <v>282</v>
      </c>
      <c r="D8" s="192">
        <f t="shared" si="0"/>
        <v>12505</v>
      </c>
      <c r="E8" s="15">
        <v>13091</v>
      </c>
      <c r="F8" s="14">
        <v>252</v>
      </c>
      <c r="G8" s="192">
        <f t="shared" si="1"/>
        <v>13343</v>
      </c>
      <c r="H8" s="220">
        <f t="shared" si="2"/>
        <v>838</v>
      </c>
      <c r="I8" s="223">
        <f aca="true" t="shared" si="5" ref="I8:I21">+G8/D8</f>
        <v>1.067013194722111</v>
      </c>
      <c r="J8" s="15">
        <f>19607.38+499</f>
        <v>20106.38</v>
      </c>
      <c r="K8" s="14"/>
      <c r="L8" s="192">
        <f t="shared" si="3"/>
        <v>20106.38</v>
      </c>
      <c r="M8" s="220">
        <f t="shared" si="4"/>
        <v>6763.380000000001</v>
      </c>
      <c r="N8" s="221">
        <f aca="true" t="shared" si="6" ref="N8:N21">+L8/G8</f>
        <v>1.506886007644458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>
        <v>122</v>
      </c>
      <c r="F10" s="14"/>
      <c r="G10" s="192">
        <f t="shared" si="1"/>
        <v>122</v>
      </c>
      <c r="H10" s="220">
        <f t="shared" si="2"/>
        <v>122</v>
      </c>
      <c r="I10" s="223"/>
      <c r="J10" s="15"/>
      <c r="K10" s="14"/>
      <c r="L10" s="192">
        <f t="shared" si="3"/>
        <v>0</v>
      </c>
      <c r="M10" s="220">
        <f t="shared" si="4"/>
        <v>-122</v>
      </c>
      <c r="N10" s="221"/>
    </row>
    <row r="11" spans="1:14" ht="13.5" customHeight="1">
      <c r="A11" s="229" t="s">
        <v>12</v>
      </c>
      <c r="B11" s="15">
        <v>581</v>
      </c>
      <c r="C11" s="14"/>
      <c r="D11" s="192">
        <f t="shared" si="0"/>
        <v>581</v>
      </c>
      <c r="E11" s="15">
        <v>233</v>
      </c>
      <c r="F11" s="14"/>
      <c r="G11" s="192">
        <f t="shared" si="1"/>
        <v>233</v>
      </c>
      <c r="H11" s="220">
        <f t="shared" si="2"/>
        <v>-348</v>
      </c>
      <c r="I11" s="223">
        <f t="shared" si="5"/>
        <v>0.4010327022375215</v>
      </c>
      <c r="J11" s="15">
        <v>185</v>
      </c>
      <c r="K11" s="14"/>
      <c r="L11" s="192">
        <f t="shared" si="3"/>
        <v>185</v>
      </c>
      <c r="M11" s="220">
        <f t="shared" si="4"/>
        <v>-48</v>
      </c>
      <c r="N11" s="221">
        <f t="shared" si="6"/>
        <v>0.7939914163090128</v>
      </c>
    </row>
    <row r="12" spans="1:14" ht="13.5" customHeight="1">
      <c r="A12" s="230" t="s">
        <v>13</v>
      </c>
      <c r="B12" s="15">
        <v>187</v>
      </c>
      <c r="C12" s="14"/>
      <c r="D12" s="192">
        <f t="shared" si="0"/>
        <v>187</v>
      </c>
      <c r="E12" s="15"/>
      <c r="F12" s="14">
        <v>6</v>
      </c>
      <c r="G12" s="192">
        <f t="shared" si="1"/>
        <v>6</v>
      </c>
      <c r="H12" s="220">
        <f t="shared" si="2"/>
        <v>-181</v>
      </c>
      <c r="I12" s="223">
        <f t="shared" si="5"/>
        <v>0.03208556149732621</v>
      </c>
      <c r="J12" s="15"/>
      <c r="K12" s="14"/>
      <c r="L12" s="192">
        <f t="shared" si="3"/>
        <v>0</v>
      </c>
      <c r="M12" s="220">
        <f t="shared" si="4"/>
        <v>-6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16436</v>
      </c>
      <c r="C15" s="14">
        <f>SUM(C16:C17)</f>
        <v>0</v>
      </c>
      <c r="D15" s="192">
        <f t="shared" si="0"/>
        <v>16436</v>
      </c>
      <c r="E15" s="15">
        <v>18444</v>
      </c>
      <c r="F15" s="14">
        <f>SUM(F16:F17)</f>
        <v>0</v>
      </c>
      <c r="G15" s="192">
        <f t="shared" si="1"/>
        <v>18444</v>
      </c>
      <c r="H15" s="220">
        <f t="shared" si="2"/>
        <v>2008</v>
      </c>
      <c r="I15" s="223">
        <f t="shared" si="5"/>
        <v>1.1221708444877099</v>
      </c>
      <c r="J15" s="17">
        <f>SUM(J16:J17)</f>
        <v>17586</v>
      </c>
      <c r="K15" s="17">
        <f>SUM(K16:K17)</f>
        <v>0</v>
      </c>
      <c r="L15" s="192">
        <f t="shared" si="3"/>
        <v>17586</v>
      </c>
      <c r="M15" s="220">
        <f t="shared" si="4"/>
        <v>-858</v>
      </c>
      <c r="N15" s="221">
        <f t="shared" si="6"/>
        <v>0.9534808067664281</v>
      </c>
    </row>
    <row r="16" spans="1:14" ht="13.5" customHeight="1">
      <c r="A16" s="231" t="s">
        <v>219</v>
      </c>
      <c r="B16" s="15">
        <v>16436</v>
      </c>
      <c r="C16" s="14"/>
      <c r="D16" s="192">
        <f t="shared" si="0"/>
        <v>16436</v>
      </c>
      <c r="E16" s="15">
        <v>18444</v>
      </c>
      <c r="F16" s="14"/>
      <c r="G16" s="192">
        <f t="shared" si="1"/>
        <v>18444</v>
      </c>
      <c r="H16" s="220">
        <f t="shared" si="2"/>
        <v>2008</v>
      </c>
      <c r="I16" s="223">
        <f t="shared" si="5"/>
        <v>1.1221708444877099</v>
      </c>
      <c r="J16" s="17">
        <f>2145</f>
        <v>2145</v>
      </c>
      <c r="K16" s="14"/>
      <c r="L16" s="192">
        <f t="shared" si="3"/>
        <v>2145</v>
      </c>
      <c r="M16" s="220">
        <f t="shared" si="4"/>
        <v>-16299</v>
      </c>
      <c r="N16" s="221">
        <f t="shared" si="6"/>
        <v>0.11629798308392973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15441</v>
      </c>
      <c r="K17" s="190"/>
      <c r="L17" s="193">
        <f t="shared" si="3"/>
        <v>15441</v>
      </c>
      <c r="M17" s="366">
        <f t="shared" si="4"/>
        <v>15441</v>
      </c>
      <c r="N17" s="367"/>
    </row>
    <row r="18" spans="1:14" ht="13.5" customHeight="1" thickBot="1">
      <c r="A18" s="209" t="s">
        <v>17</v>
      </c>
      <c r="B18" s="213">
        <f>SUM(B7+B8+B9+B10+B11+B13+B15)</f>
        <v>29240</v>
      </c>
      <c r="C18" s="214">
        <f>SUM(C7+C8+C9+C10+C11+C13+C15)</f>
        <v>282</v>
      </c>
      <c r="D18" s="215">
        <f>SUM(D7+D8+D9+D10+D11+D13+D15)</f>
        <v>29522</v>
      </c>
      <c r="E18" s="213">
        <f>SUM(E7+E8+E9+E10+E11+E13+E15)</f>
        <v>31890</v>
      </c>
      <c r="F18" s="214">
        <v>258</v>
      </c>
      <c r="G18" s="215">
        <v>32148</v>
      </c>
      <c r="H18" s="217">
        <f t="shared" si="2"/>
        <v>2626</v>
      </c>
      <c r="I18" s="132">
        <f t="shared" si="5"/>
        <v>1.0889506131020934</v>
      </c>
      <c r="J18" s="225">
        <f>SUM(J7+J8+J9+J10+J11+J13+J15)</f>
        <v>37877.380000000005</v>
      </c>
      <c r="K18" s="214">
        <f>SUM(K7+K8+K9+K10+K11+K13+K15)</f>
        <v>0</v>
      </c>
      <c r="L18" s="215">
        <f>SUM(L7+L8+L9+L10+L11+L13+L15)</f>
        <v>37877.380000000005</v>
      </c>
      <c r="M18" s="217">
        <f t="shared" si="4"/>
        <v>5729.380000000005</v>
      </c>
      <c r="N18" s="226">
        <f t="shared" si="6"/>
        <v>1.1782188627597363</v>
      </c>
    </row>
    <row r="19" spans="1:14" ht="13.5" customHeight="1">
      <c r="A19" s="120" t="s">
        <v>18</v>
      </c>
      <c r="B19" s="95">
        <v>6150</v>
      </c>
      <c r="C19" s="96">
        <v>144</v>
      </c>
      <c r="D19" s="97">
        <f aca="true" t="shared" si="7" ref="D19:D36">SUM(B19:C19)</f>
        <v>6294</v>
      </c>
      <c r="E19" s="95">
        <v>6291</v>
      </c>
      <c r="F19" s="96">
        <v>135</v>
      </c>
      <c r="G19" s="121">
        <f aca="true" t="shared" si="8" ref="G19:G36">SUM(E19:F19)</f>
        <v>6426</v>
      </c>
      <c r="H19" s="122">
        <f t="shared" si="2"/>
        <v>132</v>
      </c>
      <c r="I19" s="123">
        <f t="shared" si="5"/>
        <v>1.0209723546234508</v>
      </c>
      <c r="J19" s="100">
        <f>6280+1372+69</f>
        <v>7721</v>
      </c>
      <c r="K19" s="96"/>
      <c r="L19" s="124">
        <f aca="true" t="shared" si="9" ref="L19:L36">SUM(J19:K19)</f>
        <v>7721</v>
      </c>
      <c r="M19" s="122">
        <f t="shared" si="4"/>
        <v>1295</v>
      </c>
      <c r="N19" s="125">
        <f t="shared" si="6"/>
        <v>1.201525054466231</v>
      </c>
    </row>
    <row r="20" spans="1:14" ht="21" customHeight="1">
      <c r="A20" s="106" t="s">
        <v>19</v>
      </c>
      <c r="B20" s="95">
        <v>1039</v>
      </c>
      <c r="C20" s="96"/>
      <c r="D20" s="97">
        <f t="shared" si="7"/>
        <v>1039</v>
      </c>
      <c r="E20" s="95">
        <v>548</v>
      </c>
      <c r="F20" s="96"/>
      <c r="G20" s="121">
        <f t="shared" si="8"/>
        <v>548</v>
      </c>
      <c r="H20" s="98">
        <f t="shared" si="2"/>
        <v>-491</v>
      </c>
      <c r="I20" s="99">
        <f t="shared" si="5"/>
        <v>0.5274302213666987</v>
      </c>
      <c r="J20" s="100">
        <v>350</v>
      </c>
      <c r="K20" s="96"/>
      <c r="L20" s="124">
        <f t="shared" si="9"/>
        <v>350</v>
      </c>
      <c r="M20" s="98">
        <f t="shared" si="4"/>
        <v>-198</v>
      </c>
      <c r="N20" s="101">
        <f t="shared" si="6"/>
        <v>0.6386861313868614</v>
      </c>
    </row>
    <row r="21" spans="1:14" ht="13.5" customHeight="1">
      <c r="A21" s="102" t="s">
        <v>20</v>
      </c>
      <c r="B21" s="103">
        <v>2163</v>
      </c>
      <c r="C21" s="104">
        <v>12</v>
      </c>
      <c r="D21" s="97">
        <f t="shared" si="7"/>
        <v>2175</v>
      </c>
      <c r="E21" s="103">
        <v>2549</v>
      </c>
      <c r="F21" s="104">
        <v>12</v>
      </c>
      <c r="G21" s="121">
        <f t="shared" si="8"/>
        <v>2561</v>
      </c>
      <c r="H21" s="98">
        <f t="shared" si="2"/>
        <v>386</v>
      </c>
      <c r="I21" s="99">
        <f t="shared" si="5"/>
        <v>1.177471264367816</v>
      </c>
      <c r="J21" s="105">
        <f>2850+300</f>
        <v>3150</v>
      </c>
      <c r="K21" s="104"/>
      <c r="L21" s="124">
        <f t="shared" si="9"/>
        <v>3150</v>
      </c>
      <c r="M21" s="98">
        <f t="shared" si="4"/>
        <v>589</v>
      </c>
      <c r="N21" s="101">
        <f t="shared" si="6"/>
        <v>1.2299882858258493</v>
      </c>
    </row>
    <row r="22" spans="1:14" ht="13.5" customHeight="1">
      <c r="A22" s="106" t="s">
        <v>21</v>
      </c>
      <c r="B22" s="103"/>
      <c r="C22" s="104"/>
      <c r="D22" s="97">
        <f t="shared" si="7"/>
        <v>0</v>
      </c>
      <c r="E22" s="103"/>
      <c r="F22" s="104"/>
      <c r="G22" s="121">
        <f t="shared" si="8"/>
        <v>0</v>
      </c>
      <c r="H22" s="98">
        <f t="shared" si="2"/>
        <v>0</v>
      </c>
      <c r="I22" s="99"/>
      <c r="J22" s="105"/>
      <c r="K22" s="104"/>
      <c r="L22" s="124">
        <f t="shared" si="9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7"/>
        <v>0</v>
      </c>
      <c r="E23" s="103"/>
      <c r="F23" s="104"/>
      <c r="G23" s="121">
        <f t="shared" si="8"/>
        <v>0</v>
      </c>
      <c r="H23" s="98">
        <f t="shared" si="2"/>
        <v>0</v>
      </c>
      <c r="I23" s="99"/>
      <c r="J23" s="105"/>
      <c r="K23" s="104"/>
      <c r="L23" s="124">
        <f t="shared" si="9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1496</v>
      </c>
      <c r="C24" s="104">
        <v>3</v>
      </c>
      <c r="D24" s="97">
        <f t="shared" si="7"/>
        <v>1499</v>
      </c>
      <c r="E24" s="105">
        <v>1402</v>
      </c>
      <c r="F24" s="104">
        <v>2</v>
      </c>
      <c r="G24" s="121">
        <f t="shared" si="8"/>
        <v>1404</v>
      </c>
      <c r="H24" s="98">
        <f t="shared" si="2"/>
        <v>-95</v>
      </c>
      <c r="I24" s="99">
        <f aca="true" t="shared" si="10" ref="I24:I37">+G24/D24</f>
        <v>0.9366244162775184</v>
      </c>
      <c r="J24" s="105">
        <f>SUM(J25:J26)</f>
        <v>1754</v>
      </c>
      <c r="K24" s="104"/>
      <c r="L24" s="124">
        <f t="shared" si="9"/>
        <v>1754</v>
      </c>
      <c r="M24" s="98">
        <f t="shared" si="4"/>
        <v>350</v>
      </c>
      <c r="N24" s="101">
        <f aca="true" t="shared" si="11" ref="N24:N37">+L24/G24</f>
        <v>1.2492877492877492</v>
      </c>
    </row>
    <row r="25" spans="1:14" ht="13.5" customHeight="1">
      <c r="A25" s="106" t="s">
        <v>24</v>
      </c>
      <c r="B25" s="103">
        <v>504</v>
      </c>
      <c r="C25" s="104">
        <v>3</v>
      </c>
      <c r="D25" s="97">
        <f t="shared" si="7"/>
        <v>507</v>
      </c>
      <c r="E25" s="103">
        <v>503</v>
      </c>
      <c r="F25" s="104">
        <v>2</v>
      </c>
      <c r="G25" s="121">
        <f t="shared" si="8"/>
        <v>505</v>
      </c>
      <c r="H25" s="98">
        <f t="shared" si="2"/>
        <v>-2</v>
      </c>
      <c r="I25" s="99">
        <f t="shared" si="10"/>
        <v>0.9960552268244576</v>
      </c>
      <c r="J25" s="126">
        <v>646</v>
      </c>
      <c r="K25" s="104"/>
      <c r="L25" s="124">
        <f t="shared" si="9"/>
        <v>646</v>
      </c>
      <c r="M25" s="98">
        <f t="shared" si="4"/>
        <v>141</v>
      </c>
      <c r="N25" s="101">
        <f t="shared" si="11"/>
        <v>1.2792079207920792</v>
      </c>
    </row>
    <row r="26" spans="1:14" ht="13.5" customHeight="1">
      <c r="A26" s="102" t="s">
        <v>25</v>
      </c>
      <c r="B26" s="103">
        <v>992</v>
      </c>
      <c r="C26" s="104"/>
      <c r="D26" s="97">
        <f t="shared" si="7"/>
        <v>992</v>
      </c>
      <c r="E26" s="103">
        <v>899</v>
      </c>
      <c r="F26" s="104"/>
      <c r="G26" s="121">
        <f t="shared" si="8"/>
        <v>899</v>
      </c>
      <c r="H26" s="98">
        <f t="shared" si="2"/>
        <v>-93</v>
      </c>
      <c r="I26" s="99">
        <f t="shared" si="10"/>
        <v>0.90625</v>
      </c>
      <c r="J26" s="126">
        <f>808+300</f>
        <v>1108</v>
      </c>
      <c r="K26" s="104"/>
      <c r="L26" s="124">
        <f t="shared" si="9"/>
        <v>1108</v>
      </c>
      <c r="M26" s="98">
        <f t="shared" si="4"/>
        <v>209</v>
      </c>
      <c r="N26" s="101">
        <f t="shared" si="11"/>
        <v>1.2324805339265852</v>
      </c>
    </row>
    <row r="27" spans="1:14" ht="13.5" customHeight="1">
      <c r="A27" s="127" t="s">
        <v>26</v>
      </c>
      <c r="B27" s="105">
        <v>18566</v>
      </c>
      <c r="C27" s="104">
        <v>54</v>
      </c>
      <c r="D27" s="97">
        <f t="shared" si="7"/>
        <v>18620</v>
      </c>
      <c r="E27" s="105">
        <v>20893</v>
      </c>
      <c r="F27" s="104">
        <v>50</v>
      </c>
      <c r="G27" s="121">
        <f t="shared" si="8"/>
        <v>20943</v>
      </c>
      <c r="H27" s="98">
        <f t="shared" si="2"/>
        <v>2323</v>
      </c>
      <c r="I27" s="99">
        <f t="shared" si="10"/>
        <v>1.1247583243823844</v>
      </c>
      <c r="J27" s="105">
        <v>24470</v>
      </c>
      <c r="K27" s="104"/>
      <c r="L27" s="124">
        <f t="shared" si="9"/>
        <v>24470</v>
      </c>
      <c r="M27" s="98">
        <f t="shared" si="4"/>
        <v>3527</v>
      </c>
      <c r="N27" s="101">
        <f t="shared" si="11"/>
        <v>1.168409492431839</v>
      </c>
    </row>
    <row r="28" spans="1:14" ht="13.5" customHeight="1">
      <c r="A28" s="106" t="s">
        <v>27</v>
      </c>
      <c r="B28" s="103">
        <v>13515</v>
      </c>
      <c r="C28" s="104">
        <v>40</v>
      </c>
      <c r="D28" s="97">
        <f t="shared" si="7"/>
        <v>13555</v>
      </c>
      <c r="E28" s="103">
        <v>15183</v>
      </c>
      <c r="F28" s="104">
        <v>37</v>
      </c>
      <c r="G28" s="121">
        <f t="shared" si="8"/>
        <v>15220</v>
      </c>
      <c r="H28" s="98">
        <f t="shared" si="2"/>
        <v>1665</v>
      </c>
      <c r="I28" s="99">
        <f t="shared" si="10"/>
        <v>1.1228329029878275</v>
      </c>
      <c r="J28" s="126">
        <v>17789</v>
      </c>
      <c r="K28" s="128"/>
      <c r="L28" s="124">
        <f t="shared" si="9"/>
        <v>17789</v>
      </c>
      <c r="M28" s="98">
        <f t="shared" si="4"/>
        <v>2569</v>
      </c>
      <c r="N28" s="101">
        <f t="shared" si="11"/>
        <v>1.1687910643889619</v>
      </c>
    </row>
    <row r="29" spans="1:14" ht="13.5" customHeight="1">
      <c r="A29" s="127" t="s">
        <v>28</v>
      </c>
      <c r="B29" s="103">
        <v>13448</v>
      </c>
      <c r="C29" s="104">
        <v>40</v>
      </c>
      <c r="D29" s="97">
        <f t="shared" si="7"/>
        <v>13488</v>
      </c>
      <c r="E29" s="103">
        <v>15082</v>
      </c>
      <c r="F29" s="104">
        <v>37</v>
      </c>
      <c r="G29" s="121">
        <f t="shared" si="8"/>
        <v>15119</v>
      </c>
      <c r="H29" s="98">
        <f t="shared" si="2"/>
        <v>1631</v>
      </c>
      <c r="I29" s="99">
        <f t="shared" si="10"/>
        <v>1.1209223013048635</v>
      </c>
      <c r="J29" s="105">
        <v>17707</v>
      </c>
      <c r="K29" s="104"/>
      <c r="L29" s="124">
        <f t="shared" si="9"/>
        <v>17707</v>
      </c>
      <c r="M29" s="98">
        <f t="shared" si="4"/>
        <v>2588</v>
      </c>
      <c r="N29" s="101">
        <f t="shared" si="11"/>
        <v>1.1711753422845426</v>
      </c>
    </row>
    <row r="30" spans="1:14" ht="13.5" customHeight="1">
      <c r="A30" s="106" t="s">
        <v>29</v>
      </c>
      <c r="B30" s="103">
        <v>67</v>
      </c>
      <c r="C30" s="104"/>
      <c r="D30" s="97">
        <f t="shared" si="7"/>
        <v>67</v>
      </c>
      <c r="E30" s="103">
        <v>101</v>
      </c>
      <c r="F30" s="104"/>
      <c r="G30" s="121">
        <f t="shared" si="8"/>
        <v>101</v>
      </c>
      <c r="H30" s="98">
        <f t="shared" si="2"/>
        <v>34</v>
      </c>
      <c r="I30" s="99">
        <f t="shared" si="10"/>
        <v>1.507462686567164</v>
      </c>
      <c r="J30" s="105">
        <v>82</v>
      </c>
      <c r="K30" s="104"/>
      <c r="L30" s="124">
        <f t="shared" si="9"/>
        <v>82</v>
      </c>
      <c r="M30" s="98">
        <f t="shared" si="4"/>
        <v>-19</v>
      </c>
      <c r="N30" s="101">
        <f t="shared" si="11"/>
        <v>0.8118811881188119</v>
      </c>
    </row>
    <row r="31" spans="1:14" ht="13.5" customHeight="1">
      <c r="A31" s="106" t="s">
        <v>30</v>
      </c>
      <c r="B31" s="103">
        <v>5051</v>
      </c>
      <c r="C31" s="104">
        <v>14</v>
      </c>
      <c r="D31" s="97">
        <f t="shared" si="7"/>
        <v>5065</v>
      </c>
      <c r="E31" s="103">
        <v>5710</v>
      </c>
      <c r="F31" s="104">
        <v>13</v>
      </c>
      <c r="G31" s="121">
        <f t="shared" si="8"/>
        <v>5723</v>
      </c>
      <c r="H31" s="98">
        <f t="shared" si="2"/>
        <v>658</v>
      </c>
      <c r="I31" s="99">
        <f t="shared" si="10"/>
        <v>1.1299111549851926</v>
      </c>
      <c r="J31" s="105">
        <v>6681</v>
      </c>
      <c r="K31" s="104"/>
      <c r="L31" s="124">
        <f t="shared" si="9"/>
        <v>6681</v>
      </c>
      <c r="M31" s="98">
        <f t="shared" si="4"/>
        <v>958</v>
      </c>
      <c r="N31" s="101">
        <f t="shared" si="11"/>
        <v>1.1673947230473527</v>
      </c>
    </row>
    <row r="32" spans="1:14" ht="13.5" customHeight="1">
      <c r="A32" s="127" t="s">
        <v>31</v>
      </c>
      <c r="B32" s="103"/>
      <c r="C32" s="104"/>
      <c r="D32" s="97">
        <f t="shared" si="7"/>
        <v>0</v>
      </c>
      <c r="E32" s="103">
        <v>0</v>
      </c>
      <c r="F32" s="104"/>
      <c r="G32" s="121">
        <f t="shared" si="8"/>
        <v>0</v>
      </c>
      <c r="H32" s="98">
        <f t="shared" si="2"/>
        <v>0</v>
      </c>
      <c r="I32" s="99"/>
      <c r="J32" s="105"/>
      <c r="K32" s="104"/>
      <c r="L32" s="124">
        <f t="shared" si="9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172</v>
      </c>
      <c r="C33" s="104"/>
      <c r="D33" s="97">
        <f t="shared" si="7"/>
        <v>172</v>
      </c>
      <c r="E33" s="103">
        <v>149</v>
      </c>
      <c r="F33" s="104"/>
      <c r="G33" s="121">
        <f t="shared" si="8"/>
        <v>149</v>
      </c>
      <c r="H33" s="98">
        <f t="shared" si="2"/>
        <v>-23</v>
      </c>
      <c r="I33" s="99">
        <f t="shared" si="10"/>
        <v>0.8662790697674418</v>
      </c>
      <c r="J33" s="105">
        <v>150</v>
      </c>
      <c r="K33" s="104"/>
      <c r="L33" s="124">
        <f t="shared" si="9"/>
        <v>150</v>
      </c>
      <c r="M33" s="98">
        <f t="shared" si="4"/>
        <v>1</v>
      </c>
      <c r="N33" s="101">
        <f t="shared" si="11"/>
        <v>1.0067114093959733</v>
      </c>
    </row>
    <row r="34" spans="1:14" ht="13.5" customHeight="1">
      <c r="A34" s="106" t="s">
        <v>33</v>
      </c>
      <c r="B34" s="103">
        <v>724</v>
      </c>
      <c r="C34" s="104">
        <v>1</v>
      </c>
      <c r="D34" s="97">
        <f t="shared" si="7"/>
        <v>725</v>
      </c>
      <c r="E34" s="103">
        <v>606</v>
      </c>
      <c r="F34" s="104">
        <v>2</v>
      </c>
      <c r="G34" s="121">
        <f t="shared" si="8"/>
        <v>608</v>
      </c>
      <c r="H34" s="98">
        <f t="shared" si="2"/>
        <v>-117</v>
      </c>
      <c r="I34" s="99">
        <f t="shared" si="10"/>
        <v>0.8386206896551724</v>
      </c>
      <c r="J34" s="126">
        <v>632</v>
      </c>
      <c r="K34" s="104"/>
      <c r="L34" s="124">
        <f t="shared" si="9"/>
        <v>632</v>
      </c>
      <c r="M34" s="98">
        <f t="shared" si="4"/>
        <v>24</v>
      </c>
      <c r="N34" s="101">
        <f t="shared" si="11"/>
        <v>1.0394736842105263</v>
      </c>
    </row>
    <row r="35" spans="1:14" ht="22.5" customHeight="1">
      <c r="A35" s="106" t="s">
        <v>34</v>
      </c>
      <c r="B35" s="103">
        <v>724</v>
      </c>
      <c r="C35" s="104">
        <v>1</v>
      </c>
      <c r="D35" s="97">
        <f t="shared" si="7"/>
        <v>725</v>
      </c>
      <c r="E35" s="103">
        <v>606</v>
      </c>
      <c r="F35" s="104">
        <v>2</v>
      </c>
      <c r="G35" s="121">
        <f t="shared" si="8"/>
        <v>608</v>
      </c>
      <c r="H35" s="98">
        <f t="shared" si="2"/>
        <v>-117</v>
      </c>
      <c r="I35" s="99">
        <f t="shared" si="10"/>
        <v>0.8386206896551724</v>
      </c>
      <c r="J35" s="126">
        <v>632</v>
      </c>
      <c r="K35" s="104"/>
      <c r="L35" s="124">
        <f t="shared" si="9"/>
        <v>632</v>
      </c>
      <c r="M35" s="98">
        <f t="shared" si="4"/>
        <v>24</v>
      </c>
      <c r="N35" s="101">
        <f t="shared" si="11"/>
        <v>1.0394736842105263</v>
      </c>
    </row>
    <row r="36" spans="1:14" ht="13.5" customHeight="1" thickBot="1">
      <c r="A36" s="129" t="s">
        <v>35</v>
      </c>
      <c r="B36" s="107"/>
      <c r="C36" s="108"/>
      <c r="D36" s="97">
        <f t="shared" si="7"/>
        <v>0</v>
      </c>
      <c r="E36" s="107"/>
      <c r="F36" s="108"/>
      <c r="G36" s="121">
        <f t="shared" si="8"/>
        <v>0</v>
      </c>
      <c r="H36" s="109">
        <f t="shared" si="2"/>
        <v>0</v>
      </c>
      <c r="I36" s="110"/>
      <c r="J36" s="130"/>
      <c r="K36" s="108"/>
      <c r="L36" s="124">
        <f t="shared" si="9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2" ref="B37:G37">SUM(B19+B21+B22+B23+B24+B27+B32+B33+B34+B36)</f>
        <v>29271</v>
      </c>
      <c r="C37" s="114">
        <f t="shared" si="12"/>
        <v>214</v>
      </c>
      <c r="D37" s="115">
        <f t="shared" si="12"/>
        <v>29485</v>
      </c>
      <c r="E37" s="113">
        <f t="shared" si="12"/>
        <v>31890</v>
      </c>
      <c r="F37" s="114">
        <f t="shared" si="12"/>
        <v>201</v>
      </c>
      <c r="G37" s="115">
        <f t="shared" si="12"/>
        <v>32091</v>
      </c>
      <c r="H37" s="116">
        <f t="shared" si="2"/>
        <v>2606</v>
      </c>
      <c r="I37" s="117">
        <f t="shared" si="10"/>
        <v>1.0883839240291673</v>
      </c>
      <c r="J37" s="118">
        <f>SUM(J19+J21+J22+J23+J24+J27+J32+J33+J34+J36)</f>
        <v>37877</v>
      </c>
      <c r="K37" s="114">
        <f>SUM(K19+K21+K22+K23+K24+K27+K32+K33+K34+K36)</f>
        <v>0</v>
      </c>
      <c r="L37" s="115">
        <f>SUM(L19+L21+L22+L23+L24+L27+L32+L33+L34+L36)</f>
        <v>37877</v>
      </c>
      <c r="M37" s="116">
        <f t="shared" si="4"/>
        <v>5786</v>
      </c>
      <c r="N37" s="119">
        <f t="shared" si="11"/>
        <v>1.1802997725218909</v>
      </c>
    </row>
    <row r="38" spans="1:14" ht="13.5" customHeight="1" thickBot="1">
      <c r="A38" s="112" t="s">
        <v>37</v>
      </c>
      <c r="B38" s="470">
        <f>+D18-D37</f>
        <v>37</v>
      </c>
      <c r="C38" s="470"/>
      <c r="D38" s="470"/>
      <c r="E38" s="471">
        <v>56.91</v>
      </c>
      <c r="F38" s="471"/>
      <c r="G38" s="471">
        <v>-50784</v>
      </c>
      <c r="H38" s="131">
        <f>+E38-B38</f>
        <v>19.909999999999997</v>
      </c>
      <c r="I38" s="132"/>
      <c r="J38" s="472">
        <f>+L18-L37</f>
        <v>0.3800000000046566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485</v>
      </c>
      <c r="B43" s="469"/>
      <c r="C43" s="134">
        <v>166</v>
      </c>
      <c r="D43" s="468" t="s">
        <v>486</v>
      </c>
      <c r="E43" s="468"/>
      <c r="F43" s="468"/>
      <c r="G43" s="135">
        <v>317</v>
      </c>
      <c r="H43" s="467" t="s">
        <v>84</v>
      </c>
      <c r="I43" s="467"/>
      <c r="J43" s="467"/>
      <c r="K43" s="467"/>
      <c r="L43" s="136">
        <v>169</v>
      </c>
      <c r="O43"/>
      <c r="P43"/>
    </row>
    <row r="44" spans="1:16" ht="12.75">
      <c r="A44" s="463" t="s">
        <v>197</v>
      </c>
      <c r="B44" s="463"/>
      <c r="C44" s="137">
        <v>86</v>
      </c>
      <c r="D44" s="468" t="s">
        <v>487</v>
      </c>
      <c r="E44" s="468"/>
      <c r="F44" s="468"/>
      <c r="G44" s="138">
        <v>120</v>
      </c>
      <c r="H44" s="467" t="s">
        <v>488</v>
      </c>
      <c r="I44" s="467"/>
      <c r="J44" s="467"/>
      <c r="K44" s="467"/>
      <c r="L44" s="136">
        <v>310</v>
      </c>
      <c r="O44"/>
      <c r="P44"/>
    </row>
    <row r="45" spans="1:16" ht="12.75">
      <c r="A45" s="463" t="s">
        <v>489</v>
      </c>
      <c r="B45" s="463"/>
      <c r="C45" s="137">
        <v>65</v>
      </c>
      <c r="D45" s="468" t="s">
        <v>490</v>
      </c>
      <c r="E45" s="468"/>
      <c r="F45" s="468"/>
      <c r="G45" s="138">
        <v>56</v>
      </c>
      <c r="H45" s="467" t="s">
        <v>491</v>
      </c>
      <c r="I45" s="467"/>
      <c r="J45" s="467"/>
      <c r="K45" s="467"/>
      <c r="L45" s="136">
        <v>45</v>
      </c>
      <c r="O45"/>
      <c r="P45"/>
    </row>
    <row r="46" spans="1:16" ht="12.75">
      <c r="A46" s="463" t="s">
        <v>492</v>
      </c>
      <c r="B46" s="463"/>
      <c r="C46" s="139">
        <v>139</v>
      </c>
      <c r="D46" s="463" t="s">
        <v>198</v>
      </c>
      <c r="E46" s="463"/>
      <c r="F46" s="463"/>
      <c r="G46" s="140">
        <v>66</v>
      </c>
      <c r="H46" s="464" t="s">
        <v>493</v>
      </c>
      <c r="I46" s="464"/>
      <c r="J46" s="464"/>
      <c r="K46" s="464"/>
      <c r="L46" s="136">
        <v>270</v>
      </c>
      <c r="O46"/>
      <c r="P46"/>
    </row>
    <row r="47" spans="1:16" ht="12.75">
      <c r="A47" s="463" t="s">
        <v>494</v>
      </c>
      <c r="B47" s="463"/>
      <c r="C47" s="139">
        <v>596</v>
      </c>
      <c r="D47" s="463" t="s">
        <v>495</v>
      </c>
      <c r="E47" s="463"/>
      <c r="F47" s="463"/>
      <c r="G47" s="140">
        <v>71</v>
      </c>
      <c r="H47" s="464" t="s">
        <v>493</v>
      </c>
      <c r="I47" s="464"/>
      <c r="J47" s="464"/>
      <c r="K47" s="464"/>
      <c r="L47" s="136">
        <v>140</v>
      </c>
      <c r="O47"/>
      <c r="P47"/>
    </row>
    <row r="48" spans="1:16" ht="12.75">
      <c r="A48" s="463"/>
      <c r="B48" s="463"/>
      <c r="C48" s="139"/>
      <c r="D48" s="463" t="s">
        <v>496</v>
      </c>
      <c r="E48" s="463"/>
      <c r="F48" s="463"/>
      <c r="G48" s="140">
        <v>83</v>
      </c>
      <c r="H48" s="464" t="s">
        <v>548</v>
      </c>
      <c r="I48" s="464"/>
      <c r="J48" s="464"/>
      <c r="K48" s="464"/>
      <c r="L48" s="136">
        <v>70</v>
      </c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1052</v>
      </c>
      <c r="D50" s="451" t="s">
        <v>3</v>
      </c>
      <c r="E50" s="451"/>
      <c r="F50" s="451"/>
      <c r="G50" s="141">
        <f>SUM(G43:G49)</f>
        <v>713</v>
      </c>
      <c r="H50" s="452" t="s">
        <v>3</v>
      </c>
      <c r="I50" s="452"/>
      <c r="J50" s="452"/>
      <c r="K50" s="452"/>
      <c r="L50" s="141">
        <f>SUM(L43:L49)</f>
        <v>1004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116</v>
      </c>
      <c r="B54" s="446"/>
      <c r="C54" s="233">
        <v>179</v>
      </c>
      <c r="D54" s="447" t="s">
        <v>497</v>
      </c>
      <c r="E54" s="447"/>
      <c r="F54" s="447"/>
      <c r="G54" s="142">
        <v>169</v>
      </c>
      <c r="H54" s="467" t="s">
        <v>498</v>
      </c>
      <c r="I54" s="467"/>
      <c r="J54" s="467"/>
      <c r="K54" s="467"/>
      <c r="L54" s="136">
        <v>200</v>
      </c>
      <c r="O54"/>
      <c r="P54"/>
    </row>
    <row r="55" spans="1:16" ht="13.5" customHeight="1">
      <c r="A55" s="418" t="s">
        <v>499</v>
      </c>
      <c r="B55" s="419"/>
      <c r="C55" s="234">
        <v>93</v>
      </c>
      <c r="D55" s="420" t="s">
        <v>500</v>
      </c>
      <c r="E55" s="420"/>
      <c r="F55" s="420"/>
      <c r="G55" s="143">
        <v>199</v>
      </c>
      <c r="H55" s="464" t="s">
        <v>501</v>
      </c>
      <c r="I55" s="464"/>
      <c r="J55" s="464"/>
      <c r="K55" s="464"/>
      <c r="L55" s="144">
        <v>446</v>
      </c>
      <c r="O55"/>
      <c r="P55"/>
    </row>
    <row r="56" spans="1:16" ht="13.5" customHeight="1">
      <c r="A56" s="418" t="s">
        <v>502</v>
      </c>
      <c r="B56" s="419"/>
      <c r="C56" s="234">
        <v>70</v>
      </c>
      <c r="D56" s="420" t="s">
        <v>503</v>
      </c>
      <c r="E56" s="420"/>
      <c r="F56" s="420"/>
      <c r="G56" s="143">
        <v>98</v>
      </c>
      <c r="H56" s="464"/>
      <c r="I56" s="464"/>
      <c r="J56" s="464"/>
      <c r="K56" s="464"/>
      <c r="L56" s="144"/>
      <c r="O56"/>
      <c r="P56"/>
    </row>
    <row r="57" spans="1:16" ht="13.5" customHeight="1">
      <c r="A57" s="418" t="s">
        <v>504</v>
      </c>
      <c r="B57" s="419"/>
      <c r="C57" s="234">
        <v>162</v>
      </c>
      <c r="D57" s="420" t="s">
        <v>505</v>
      </c>
      <c r="E57" s="420"/>
      <c r="F57" s="420"/>
      <c r="G57" s="143">
        <v>39</v>
      </c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504</v>
      </c>
      <c r="D62" s="517" t="s">
        <v>3</v>
      </c>
      <c r="E62" s="517"/>
      <c r="F62" s="517"/>
      <c r="G62" s="149">
        <f>SUM(G54:G61)</f>
        <v>505</v>
      </c>
      <c r="H62" s="452" t="s">
        <v>3</v>
      </c>
      <c r="I62" s="452"/>
      <c r="J62" s="452"/>
      <c r="K62" s="452"/>
      <c r="L62" s="141">
        <f>SUM(L54:L61)</f>
        <v>646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67</v>
      </c>
      <c r="C67" s="483" t="s">
        <v>511</v>
      </c>
      <c r="D67" s="483"/>
      <c r="E67" s="63">
        <v>6</v>
      </c>
      <c r="F67" s="484" t="s">
        <v>126</v>
      </c>
      <c r="G67" s="485"/>
      <c r="H67" s="56">
        <v>170</v>
      </c>
      <c r="I67" s="483" t="s">
        <v>532</v>
      </c>
      <c r="J67" s="485"/>
      <c r="K67" s="485"/>
      <c r="L67" s="63">
        <v>66</v>
      </c>
      <c r="M67" s="22"/>
      <c r="N67" s="22"/>
    </row>
    <row r="68" spans="1:14" s="1" customFormat="1" ht="12.75">
      <c r="A68" s="64" t="s">
        <v>124</v>
      </c>
      <c r="B68" s="57">
        <v>37</v>
      </c>
      <c r="C68" s="478"/>
      <c r="D68" s="478"/>
      <c r="E68" s="65"/>
      <c r="F68" s="486" t="s">
        <v>127</v>
      </c>
      <c r="G68" s="479"/>
      <c r="H68" s="57">
        <v>28.91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72</v>
      </c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176</v>
      </c>
      <c r="C71" s="473" t="s">
        <v>3</v>
      </c>
      <c r="D71" s="473"/>
      <c r="E71" s="70">
        <f>SUM(E67:E70)</f>
        <v>6</v>
      </c>
      <c r="F71" s="474" t="s">
        <v>3</v>
      </c>
      <c r="G71" s="475"/>
      <c r="H71" s="66">
        <f>SUM(H67:H70)</f>
        <v>198.91</v>
      </c>
      <c r="I71" s="473" t="s">
        <v>3</v>
      </c>
      <c r="J71" s="475"/>
      <c r="K71" s="475"/>
      <c r="L71" s="70">
        <f>SUM(L67:L70)</f>
        <v>66</v>
      </c>
      <c r="M71" s="22"/>
      <c r="N71" s="22"/>
    </row>
    <row r="72" spans="1:14" s="1" customFormat="1" ht="13.5" thickBot="1">
      <c r="A72" s="78" t="s">
        <v>212</v>
      </c>
      <c r="B72" s="79">
        <f>B71-E71</f>
        <v>170</v>
      </c>
      <c r="C72" s="22"/>
      <c r="D72" s="22"/>
      <c r="E72" s="22"/>
      <c r="F72" s="476" t="s">
        <v>212</v>
      </c>
      <c r="G72" s="477"/>
      <c r="H72" s="80">
        <f>H71-L71</f>
        <v>132.91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21932</v>
      </c>
      <c r="B80" s="30">
        <v>12237</v>
      </c>
      <c r="C80" s="73">
        <f>SUM(D80:I80)</f>
        <v>632</v>
      </c>
      <c r="D80" s="74">
        <v>125</v>
      </c>
      <c r="E80" s="74">
        <v>336</v>
      </c>
      <c r="F80" s="74">
        <v>2</v>
      </c>
      <c r="G80" s="74">
        <v>0</v>
      </c>
      <c r="H80" s="73">
        <v>169</v>
      </c>
      <c r="I80" s="81">
        <v>0</v>
      </c>
      <c r="J80" s="31">
        <f>SUM(A80-B80-C80)</f>
        <v>9063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3003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2771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12</v>
      </c>
      <c r="C86" s="43">
        <v>12</v>
      </c>
      <c r="D86" s="44">
        <v>0</v>
      </c>
      <c r="E86" s="44">
        <v>0</v>
      </c>
      <c r="F86" s="45">
        <f>C86+D86-E86</f>
        <v>12</v>
      </c>
      <c r="G86" s="46">
        <v>12</v>
      </c>
      <c r="H86" s="198">
        <f>+G86-F86</f>
        <v>0</v>
      </c>
      <c r="I86" s="43">
        <v>12</v>
      </c>
      <c r="J86" s="44">
        <v>28</v>
      </c>
      <c r="K86" s="44">
        <v>0</v>
      </c>
      <c r="L86" s="45">
        <f>I86+J86-K86</f>
        <v>40</v>
      </c>
    </row>
    <row r="87" spans="1:12" s="1" customFormat="1" ht="12.75">
      <c r="A87" s="41" t="s">
        <v>73</v>
      </c>
      <c r="B87" s="42">
        <v>67</v>
      </c>
      <c r="C87" s="43">
        <v>67</v>
      </c>
      <c r="D87" s="44">
        <v>109</v>
      </c>
      <c r="E87" s="44">
        <v>6</v>
      </c>
      <c r="F87" s="45">
        <f>C87+D87-E87</f>
        <v>170</v>
      </c>
      <c r="G87" s="46">
        <v>170</v>
      </c>
      <c r="H87" s="198">
        <f>+G87-F87</f>
        <v>0</v>
      </c>
      <c r="I87" s="395">
        <v>170</v>
      </c>
      <c r="J87" s="396">
        <v>28.91</v>
      </c>
      <c r="K87" s="396">
        <v>66</v>
      </c>
      <c r="L87" s="397">
        <f>I87+J87-K87</f>
        <v>132.91</v>
      </c>
    </row>
    <row r="88" spans="1:12" s="1" customFormat="1" ht="12.75">
      <c r="A88" s="41" t="s">
        <v>96</v>
      </c>
      <c r="B88" s="42">
        <v>595</v>
      </c>
      <c r="C88" s="43">
        <v>595</v>
      </c>
      <c r="D88" s="44">
        <v>608</v>
      </c>
      <c r="E88" s="44">
        <v>713</v>
      </c>
      <c r="F88" s="45">
        <f>C88+D88-E88</f>
        <v>490</v>
      </c>
      <c r="G88" s="46">
        <v>490</v>
      </c>
      <c r="H88" s="198">
        <f>+G88-F88</f>
        <v>0</v>
      </c>
      <c r="I88" s="206">
        <v>490</v>
      </c>
      <c r="J88" s="196">
        <v>632</v>
      </c>
      <c r="K88" s="196">
        <f>L50</f>
        <v>1004</v>
      </c>
      <c r="L88" s="45">
        <f>I88+J88-K88</f>
        <v>118</v>
      </c>
    </row>
    <row r="89" spans="1:12" s="1" customFormat="1" ht="12.75">
      <c r="A89" s="41" t="s">
        <v>74</v>
      </c>
      <c r="B89" s="42">
        <v>2329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2099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49</v>
      </c>
      <c r="C90" s="49">
        <v>38</v>
      </c>
      <c r="D90" s="50">
        <v>305</v>
      </c>
      <c r="E90" s="50">
        <v>254</v>
      </c>
      <c r="F90" s="51">
        <f>C90+D90-E90</f>
        <v>89</v>
      </c>
      <c r="G90" s="52">
        <v>80</v>
      </c>
      <c r="H90" s="199">
        <f>+G90-F90</f>
        <v>-9</v>
      </c>
      <c r="I90" s="49">
        <v>89</v>
      </c>
      <c r="J90" s="50">
        <v>355</v>
      </c>
      <c r="K90" s="50">
        <v>444</v>
      </c>
      <c r="L90" s="51">
        <f>I90+J90-K90</f>
        <v>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5.75">
      <c r="A92" s="317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110</v>
      </c>
      <c r="C96" s="159">
        <v>37</v>
      </c>
      <c r="D96" s="159"/>
      <c r="E96" s="159"/>
      <c r="F96" s="159"/>
      <c r="G96" s="158"/>
      <c r="H96" s="160">
        <f>SUM(C96:G96)</f>
        <v>37</v>
      </c>
      <c r="I96" s="27"/>
      <c r="J96" s="161">
        <v>2006</v>
      </c>
      <c r="K96" s="162">
        <v>15126</v>
      </c>
      <c r="L96" s="163">
        <f>+G29</f>
        <v>15119</v>
      </c>
    </row>
    <row r="97" spans="1:12" ht="13.5" thickBot="1">
      <c r="A97" s="164" t="s">
        <v>83</v>
      </c>
      <c r="B97" s="165">
        <v>2344</v>
      </c>
      <c r="C97" s="166">
        <v>221</v>
      </c>
      <c r="D97" s="166"/>
      <c r="E97" s="166"/>
      <c r="F97" s="166"/>
      <c r="G97" s="165"/>
      <c r="H97" s="167">
        <f>SUM(C97:G97)</f>
        <v>221</v>
      </c>
      <c r="I97" s="27"/>
      <c r="J97" s="168">
        <v>2007</v>
      </c>
      <c r="K97" s="169">
        <f>L29</f>
        <v>17707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4</v>
      </c>
      <c r="D102" s="175">
        <f aca="true" t="shared" si="13" ref="D102:D112">+C102-B102</f>
        <v>0</v>
      </c>
      <c r="E102" s="175">
        <v>4</v>
      </c>
      <c r="F102" s="175">
        <v>4</v>
      </c>
      <c r="G102" s="176">
        <f aca="true" t="shared" si="14" ref="G102:G112">+F102-E102</f>
        <v>0</v>
      </c>
      <c r="H102" s="177">
        <v>20952</v>
      </c>
      <c r="I102" s="178">
        <v>23125</v>
      </c>
      <c r="J102" s="179">
        <f aca="true" t="shared" si="15" ref="J102:J112">+I102-H102</f>
        <v>2173</v>
      </c>
    </row>
    <row r="103" spans="1:10" ht="12.75">
      <c r="A103" s="174" t="s">
        <v>85</v>
      </c>
      <c r="B103" s="175">
        <v>18.902</v>
      </c>
      <c r="C103" s="175">
        <v>19.453</v>
      </c>
      <c r="D103" s="175">
        <f t="shared" si="13"/>
        <v>0.5509999999999984</v>
      </c>
      <c r="E103" s="175">
        <v>18.8</v>
      </c>
      <c r="F103" s="175">
        <v>19.8</v>
      </c>
      <c r="G103" s="176">
        <f t="shared" si="14"/>
        <v>1</v>
      </c>
      <c r="H103" s="177">
        <v>18403</v>
      </c>
      <c r="I103" s="180">
        <v>20529</v>
      </c>
      <c r="J103" s="179">
        <f t="shared" si="15"/>
        <v>2126</v>
      </c>
    </row>
    <row r="104" spans="1:10" ht="12.75">
      <c r="A104" s="174" t="s">
        <v>52</v>
      </c>
      <c r="B104" s="175">
        <v>0</v>
      </c>
      <c r="C104" s="175">
        <v>0</v>
      </c>
      <c r="D104" s="175">
        <f t="shared" si="13"/>
        <v>0</v>
      </c>
      <c r="E104" s="175">
        <v>0</v>
      </c>
      <c r="F104" s="175">
        <v>0</v>
      </c>
      <c r="G104" s="176">
        <f t="shared" si="14"/>
        <v>0</v>
      </c>
      <c r="H104" s="177">
        <v>0</v>
      </c>
      <c r="I104" s="180">
        <v>0</v>
      </c>
      <c r="J104" s="179">
        <f t="shared" si="15"/>
        <v>0</v>
      </c>
    </row>
    <row r="105" spans="1:10" ht="12.75">
      <c r="A105" s="174" t="s">
        <v>53</v>
      </c>
      <c r="B105" s="175">
        <v>19.997</v>
      </c>
      <c r="C105" s="175">
        <v>13.522</v>
      </c>
      <c r="D105" s="175">
        <f t="shared" si="13"/>
        <v>-6.475</v>
      </c>
      <c r="E105" s="175">
        <v>20</v>
      </c>
      <c r="F105" s="175">
        <v>0</v>
      </c>
      <c r="G105" s="176">
        <f t="shared" si="14"/>
        <v>-20</v>
      </c>
      <c r="H105" s="177">
        <v>13150</v>
      </c>
      <c r="I105" s="180">
        <v>14134</v>
      </c>
      <c r="J105" s="179">
        <f t="shared" si="15"/>
        <v>984</v>
      </c>
    </row>
    <row r="106" spans="1:10" ht="12.75">
      <c r="A106" s="174" t="s">
        <v>86</v>
      </c>
      <c r="B106" s="175">
        <v>0</v>
      </c>
      <c r="C106" s="175">
        <v>0</v>
      </c>
      <c r="D106" s="175">
        <f t="shared" si="13"/>
        <v>0</v>
      </c>
      <c r="E106" s="175">
        <v>0</v>
      </c>
      <c r="F106" s="175">
        <v>0</v>
      </c>
      <c r="G106" s="176">
        <f t="shared" si="14"/>
        <v>0</v>
      </c>
      <c r="H106" s="177">
        <v>0</v>
      </c>
      <c r="I106" s="180">
        <v>0</v>
      </c>
      <c r="J106" s="179">
        <f t="shared" si="15"/>
        <v>0</v>
      </c>
    </row>
    <row r="107" spans="1:10" ht="12.75">
      <c r="A107" s="174" t="s">
        <v>54</v>
      </c>
      <c r="B107" s="175">
        <v>0</v>
      </c>
      <c r="C107" s="175">
        <v>0</v>
      </c>
      <c r="D107" s="175">
        <f t="shared" si="13"/>
        <v>0</v>
      </c>
      <c r="E107" s="175">
        <v>0</v>
      </c>
      <c r="F107" s="175">
        <v>0</v>
      </c>
      <c r="G107" s="176">
        <f t="shared" si="14"/>
        <v>0</v>
      </c>
      <c r="H107" s="177">
        <v>0</v>
      </c>
      <c r="I107" s="180">
        <v>0</v>
      </c>
      <c r="J107" s="179">
        <f t="shared" si="15"/>
        <v>0</v>
      </c>
    </row>
    <row r="108" spans="1:10" ht="12.75">
      <c r="A108" s="174" t="s">
        <v>55</v>
      </c>
      <c r="B108" s="175">
        <v>0</v>
      </c>
      <c r="C108" s="175">
        <v>0</v>
      </c>
      <c r="D108" s="175">
        <f t="shared" si="13"/>
        <v>0</v>
      </c>
      <c r="E108" s="175">
        <v>0</v>
      </c>
      <c r="F108" s="175">
        <v>0</v>
      </c>
      <c r="G108" s="176">
        <f t="shared" si="14"/>
        <v>0</v>
      </c>
      <c r="H108" s="177">
        <v>0</v>
      </c>
      <c r="I108" s="180">
        <v>0</v>
      </c>
      <c r="J108" s="179">
        <f t="shared" si="15"/>
        <v>0</v>
      </c>
    </row>
    <row r="109" spans="1:10" ht="12.75">
      <c r="A109" s="174" t="s">
        <v>56</v>
      </c>
      <c r="B109" s="175">
        <v>7.967</v>
      </c>
      <c r="C109" s="175">
        <v>16.608</v>
      </c>
      <c r="D109" s="175">
        <f t="shared" si="13"/>
        <v>8.641000000000002</v>
      </c>
      <c r="E109" s="175">
        <v>7.2</v>
      </c>
      <c r="F109" s="175">
        <v>33.2</v>
      </c>
      <c r="G109" s="176">
        <f t="shared" si="14"/>
        <v>26.000000000000004</v>
      </c>
      <c r="H109" s="177">
        <v>11805</v>
      </c>
      <c r="I109" s="180">
        <v>12730</v>
      </c>
      <c r="J109" s="179">
        <f t="shared" si="15"/>
        <v>925</v>
      </c>
    </row>
    <row r="110" spans="1:10" ht="12.75">
      <c r="A110" s="174" t="s">
        <v>57</v>
      </c>
      <c r="B110" s="175">
        <v>2</v>
      </c>
      <c r="C110" s="175">
        <v>2</v>
      </c>
      <c r="D110" s="175">
        <f t="shared" si="13"/>
        <v>0</v>
      </c>
      <c r="E110" s="175">
        <v>2</v>
      </c>
      <c r="F110" s="175">
        <v>2</v>
      </c>
      <c r="G110" s="176">
        <f t="shared" si="14"/>
        <v>0</v>
      </c>
      <c r="H110" s="177">
        <v>17140</v>
      </c>
      <c r="I110" s="180">
        <v>18402</v>
      </c>
      <c r="J110" s="179">
        <f t="shared" si="15"/>
        <v>1262</v>
      </c>
    </row>
    <row r="111" spans="1:10" ht="12.75">
      <c r="A111" s="174" t="s">
        <v>58</v>
      </c>
      <c r="B111" s="175">
        <v>28.163</v>
      </c>
      <c r="C111" s="175">
        <v>28.453</v>
      </c>
      <c r="D111" s="175">
        <f t="shared" si="13"/>
        <v>0.28999999999999915</v>
      </c>
      <c r="E111" s="175">
        <v>28.314</v>
      </c>
      <c r="F111" s="175">
        <v>28.688</v>
      </c>
      <c r="G111" s="176">
        <f t="shared" si="14"/>
        <v>0.3739999999999988</v>
      </c>
      <c r="H111" s="177">
        <v>10689</v>
      </c>
      <c r="I111" s="180">
        <v>11556</v>
      </c>
      <c r="J111" s="179">
        <f t="shared" si="15"/>
        <v>867</v>
      </c>
    </row>
    <row r="112" spans="1:10" ht="13.5" thickBot="1">
      <c r="A112" s="181" t="s">
        <v>3</v>
      </c>
      <c r="B112" s="182">
        <f>SUM(B102:B111)</f>
        <v>81.029</v>
      </c>
      <c r="C112" s="182">
        <f>SUM(C102:C111)</f>
        <v>84.036</v>
      </c>
      <c r="D112" s="182">
        <f t="shared" si="13"/>
        <v>3.007000000000005</v>
      </c>
      <c r="E112" s="182">
        <f>SUM(E102:E111)</f>
        <v>80.314</v>
      </c>
      <c r="F112" s="182">
        <f>SUM(F102:F111)</f>
        <v>87.688</v>
      </c>
      <c r="G112" s="183">
        <f t="shared" si="14"/>
        <v>7.374000000000009</v>
      </c>
      <c r="H112" s="184">
        <v>13872</v>
      </c>
      <c r="I112" s="185">
        <v>14993</v>
      </c>
      <c r="J112" s="186">
        <f t="shared" si="15"/>
        <v>1121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85</v>
      </c>
      <c r="C116" s="163">
        <v>87.688</v>
      </c>
      <c r="D116" s="27"/>
      <c r="E116" s="161">
        <v>2006</v>
      </c>
      <c r="F116" s="416">
        <v>180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90.7</v>
      </c>
      <c r="C117" s="170" t="s">
        <v>508</v>
      </c>
      <c r="D117" s="27"/>
      <c r="E117" s="168">
        <v>2007</v>
      </c>
      <c r="F117" s="417">
        <v>180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A65:E65"/>
    <mergeCell ref="F65:L65"/>
    <mergeCell ref="C66:D66"/>
    <mergeCell ref="F66:G66"/>
    <mergeCell ref="I66:K66"/>
    <mergeCell ref="F117:G117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H83:H84"/>
    <mergeCell ref="I83:L83"/>
    <mergeCell ref="B94:B95"/>
    <mergeCell ref="C94:H94"/>
    <mergeCell ref="J94:L94"/>
    <mergeCell ref="A3:A6"/>
    <mergeCell ref="A83:A84"/>
    <mergeCell ref="B83:B84"/>
    <mergeCell ref="C83:F83"/>
    <mergeCell ref="A62:B62"/>
    <mergeCell ref="D62:F62"/>
    <mergeCell ref="A60:B60"/>
    <mergeCell ref="C67:D67"/>
    <mergeCell ref="F67:G67"/>
    <mergeCell ref="C68:D68"/>
    <mergeCell ref="I67:K67"/>
    <mergeCell ref="F68:G68"/>
    <mergeCell ref="I68:K68"/>
    <mergeCell ref="C69:D69"/>
    <mergeCell ref="F69:G69"/>
    <mergeCell ref="I69:K69"/>
    <mergeCell ref="H62:K62"/>
    <mergeCell ref="D59:F59"/>
    <mergeCell ref="H59:K59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E39:G39"/>
    <mergeCell ref="B38:D38"/>
    <mergeCell ref="E38:G38"/>
    <mergeCell ref="B39:D39"/>
    <mergeCell ref="J38:L38"/>
    <mergeCell ref="B3:N3"/>
    <mergeCell ref="H4:I4"/>
    <mergeCell ref="M4:N4"/>
    <mergeCell ref="B4:D4"/>
    <mergeCell ref="E4:G4"/>
    <mergeCell ref="J4:L4"/>
    <mergeCell ref="A94:A95"/>
    <mergeCell ref="C70:D70"/>
    <mergeCell ref="F70:G70"/>
    <mergeCell ref="I70:K70"/>
    <mergeCell ref="C71:D71"/>
    <mergeCell ref="F71:G71"/>
    <mergeCell ref="I71:K71"/>
    <mergeCell ref="F72:G72"/>
    <mergeCell ref="J77:J79"/>
    <mergeCell ref="G83:G84"/>
    <mergeCell ref="L77:M77"/>
    <mergeCell ref="A77:A79"/>
    <mergeCell ref="B77:B79"/>
    <mergeCell ref="C77:I77"/>
    <mergeCell ref="C78:C79"/>
    <mergeCell ref="D78:I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Normal="95" zoomScaleSheetLayoutView="100" workbookViewId="0" topLeftCell="A13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404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136</v>
      </c>
      <c r="C7" s="188"/>
      <c r="D7" s="191">
        <f aca="true" t="shared" si="0" ref="D7:D15">SUM(B7:C7)</f>
        <v>136</v>
      </c>
      <c r="E7" s="187">
        <v>146</v>
      </c>
      <c r="F7" s="188"/>
      <c r="G7" s="191">
        <f aca="true" t="shared" si="1" ref="G7:G17">SUM(E7:F7)</f>
        <v>146</v>
      </c>
      <c r="H7" s="218">
        <f aca="true" t="shared" si="2" ref="H7:H37">+G7-D7</f>
        <v>10</v>
      </c>
      <c r="I7" s="222"/>
      <c r="J7" s="187">
        <v>146</v>
      </c>
      <c r="K7" s="188"/>
      <c r="L7" s="191">
        <f aca="true" t="shared" si="3" ref="L7:L17">SUM(J7:K7)</f>
        <v>146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4565</v>
      </c>
      <c r="C8" s="14"/>
      <c r="D8" s="192">
        <f t="shared" si="0"/>
        <v>4565</v>
      </c>
      <c r="E8" s="15">
        <v>5011</v>
      </c>
      <c r="F8" s="14"/>
      <c r="G8" s="192">
        <f t="shared" si="1"/>
        <v>5011</v>
      </c>
      <c r="H8" s="220">
        <f t="shared" si="2"/>
        <v>446</v>
      </c>
      <c r="I8" s="223">
        <f aca="true" t="shared" si="5" ref="I8:I21">+G8/D8</f>
        <v>1.0976998904709747</v>
      </c>
      <c r="J8" s="15">
        <f>9372+975</f>
        <v>10347</v>
      </c>
      <c r="K8" s="14"/>
      <c r="L8" s="192">
        <f t="shared" si="3"/>
        <v>10347</v>
      </c>
      <c r="M8" s="220">
        <f t="shared" si="4"/>
        <v>5336</v>
      </c>
      <c r="N8" s="221">
        <f aca="true" t="shared" si="6" ref="N8:N21">+L8/G8</f>
        <v>2.0648573139093993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8</v>
      </c>
      <c r="C11" s="14"/>
      <c r="D11" s="192">
        <f t="shared" si="0"/>
        <v>8</v>
      </c>
      <c r="E11" s="15">
        <v>22</v>
      </c>
      <c r="F11" s="14"/>
      <c r="G11" s="192">
        <f t="shared" si="1"/>
        <v>22</v>
      </c>
      <c r="H11" s="220">
        <f t="shared" si="2"/>
        <v>14</v>
      </c>
      <c r="I11" s="223">
        <f t="shared" si="5"/>
        <v>2.75</v>
      </c>
      <c r="J11" s="15">
        <v>2</v>
      </c>
      <c r="K11" s="14"/>
      <c r="L11" s="192">
        <f t="shared" si="3"/>
        <v>2</v>
      </c>
      <c r="M11" s="220">
        <f t="shared" si="4"/>
        <v>-20</v>
      </c>
      <c r="N11" s="221">
        <f t="shared" si="6"/>
        <v>0.09090909090909091</v>
      </c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/>
      <c r="F12" s="14"/>
      <c r="G12" s="192">
        <f t="shared" si="1"/>
        <v>0</v>
      </c>
      <c r="H12" s="220">
        <f t="shared" si="2"/>
        <v>0</v>
      </c>
      <c r="I12" s="223"/>
      <c r="J12" s="15"/>
      <c r="K12" s="14"/>
      <c r="L12" s="192">
        <f t="shared" si="3"/>
        <v>0</v>
      </c>
      <c r="M12" s="220">
        <f t="shared" si="4"/>
        <v>0</v>
      </c>
      <c r="N12" s="221"/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9160</v>
      </c>
      <c r="C15" s="14">
        <f>SUM(C16:C17)</f>
        <v>0</v>
      </c>
      <c r="D15" s="192">
        <f t="shared" si="0"/>
        <v>9160</v>
      </c>
      <c r="E15" s="15">
        <f>SUM(E16:E17)</f>
        <v>10148</v>
      </c>
      <c r="F15" s="14">
        <f>SUM(F16:F17)</f>
        <v>0</v>
      </c>
      <c r="G15" s="192">
        <f t="shared" si="1"/>
        <v>10148</v>
      </c>
      <c r="H15" s="220">
        <f t="shared" si="2"/>
        <v>988</v>
      </c>
      <c r="I15" s="223">
        <f t="shared" si="5"/>
        <v>1.1078602620087337</v>
      </c>
      <c r="J15" s="17">
        <f>SUM(J16:J17)</f>
        <v>7918</v>
      </c>
      <c r="K15" s="17">
        <f>SUM(K16:K17)</f>
        <v>0</v>
      </c>
      <c r="L15" s="192">
        <f t="shared" si="3"/>
        <v>7918</v>
      </c>
      <c r="M15" s="220">
        <f t="shared" si="4"/>
        <v>-2230</v>
      </c>
      <c r="N15" s="221">
        <f t="shared" si="6"/>
        <v>0.7802522664564446</v>
      </c>
    </row>
    <row r="16" spans="1:14" ht="13.5" customHeight="1">
      <c r="A16" s="231" t="s">
        <v>219</v>
      </c>
      <c r="B16" s="15">
        <v>9160</v>
      </c>
      <c r="C16" s="14"/>
      <c r="D16" s="192"/>
      <c r="E16" s="15">
        <v>1330</v>
      </c>
      <c r="F16" s="14"/>
      <c r="G16" s="192">
        <f t="shared" si="1"/>
        <v>1330</v>
      </c>
      <c r="H16" s="220">
        <f t="shared" si="2"/>
        <v>1330</v>
      </c>
      <c r="I16" s="223"/>
      <c r="J16" s="17">
        <f>1210-605</f>
        <v>605</v>
      </c>
      <c r="K16" s="14"/>
      <c r="L16" s="192">
        <f t="shared" si="3"/>
        <v>605</v>
      </c>
      <c r="M16" s="220">
        <f t="shared" si="4"/>
        <v>-725</v>
      </c>
      <c r="N16" s="221">
        <f t="shared" si="6"/>
        <v>0.4548872180451128</v>
      </c>
    </row>
    <row r="17" spans="1:14" ht="13.5" customHeight="1" thickBot="1">
      <c r="A17" s="232" t="s">
        <v>220</v>
      </c>
      <c r="B17" s="189"/>
      <c r="C17" s="190"/>
      <c r="D17" s="193"/>
      <c r="E17" s="189">
        <v>8818</v>
      </c>
      <c r="F17" s="190"/>
      <c r="G17" s="192">
        <f t="shared" si="1"/>
        <v>8818</v>
      </c>
      <c r="H17" s="220">
        <f t="shared" si="2"/>
        <v>8818</v>
      </c>
      <c r="I17" s="223"/>
      <c r="J17" s="194">
        <v>7313</v>
      </c>
      <c r="K17" s="190"/>
      <c r="L17" s="192">
        <f t="shared" si="3"/>
        <v>7313</v>
      </c>
      <c r="M17" s="220">
        <f t="shared" si="4"/>
        <v>-1505</v>
      </c>
      <c r="N17" s="221">
        <f t="shared" si="6"/>
        <v>0.8293263778634611</v>
      </c>
    </row>
    <row r="18" spans="1:14" ht="13.5" customHeight="1" thickBot="1">
      <c r="A18" s="209" t="s">
        <v>17</v>
      </c>
      <c r="B18" s="213">
        <f aca="true" t="shared" si="7" ref="B18:G18">SUM(B7+B8+B9+B10+B11+B13+B15)</f>
        <v>13869</v>
      </c>
      <c r="C18" s="214">
        <f t="shared" si="7"/>
        <v>0</v>
      </c>
      <c r="D18" s="215">
        <f t="shared" si="7"/>
        <v>13869</v>
      </c>
      <c r="E18" s="213">
        <f t="shared" si="7"/>
        <v>15327</v>
      </c>
      <c r="F18" s="214">
        <f t="shared" si="7"/>
        <v>0</v>
      </c>
      <c r="G18" s="215">
        <f t="shared" si="7"/>
        <v>15327</v>
      </c>
      <c r="H18" s="217">
        <f t="shared" si="2"/>
        <v>1458</v>
      </c>
      <c r="I18" s="132">
        <f t="shared" si="5"/>
        <v>1.1051265412070084</v>
      </c>
      <c r="J18" s="225">
        <f>SUM(J7+J8+J9+J10+J11+J13+J15)</f>
        <v>18413</v>
      </c>
      <c r="K18" s="214">
        <f>SUM(K7+K8+K9+K10+K11+K13+K15)</f>
        <v>0</v>
      </c>
      <c r="L18" s="215">
        <f>SUM(L7+L8+L9+L10+L11+L13+L15)</f>
        <v>18413</v>
      </c>
      <c r="M18" s="217">
        <f t="shared" si="4"/>
        <v>3086</v>
      </c>
      <c r="N18" s="226">
        <f t="shared" si="6"/>
        <v>1.2013440334051022</v>
      </c>
    </row>
    <row r="19" spans="1:14" ht="13.5" customHeight="1">
      <c r="A19" s="120" t="s">
        <v>18</v>
      </c>
      <c r="B19" s="95">
        <v>3201</v>
      </c>
      <c r="C19" s="96"/>
      <c r="D19" s="97">
        <f aca="true" t="shared" si="8" ref="D19:D36">SUM(B19:C19)</f>
        <v>3201</v>
      </c>
      <c r="E19" s="95">
        <v>2787</v>
      </c>
      <c r="F19" s="96"/>
      <c r="G19" s="121">
        <f aca="true" t="shared" si="9" ref="G19:G36">SUM(E19:F19)</f>
        <v>2787</v>
      </c>
      <c r="H19" s="122">
        <f t="shared" si="2"/>
        <v>-414</v>
      </c>
      <c r="I19" s="123">
        <f t="shared" si="5"/>
        <v>0.8706654170571696</v>
      </c>
      <c r="J19" s="100">
        <f>2729+600</f>
        <v>3329</v>
      </c>
      <c r="K19" s="96"/>
      <c r="L19" s="124">
        <f aca="true" t="shared" si="10" ref="L19:L36">SUM(J19:K19)</f>
        <v>3329</v>
      </c>
      <c r="M19" s="122">
        <f t="shared" si="4"/>
        <v>542</v>
      </c>
      <c r="N19" s="125">
        <f t="shared" si="6"/>
        <v>1.1944743451740223</v>
      </c>
    </row>
    <row r="20" spans="1:14" ht="21" customHeight="1">
      <c r="A20" s="106" t="s">
        <v>19</v>
      </c>
      <c r="B20" s="95">
        <v>993</v>
      </c>
      <c r="C20" s="96"/>
      <c r="D20" s="97">
        <f t="shared" si="8"/>
        <v>993</v>
      </c>
      <c r="E20" s="95">
        <v>231</v>
      </c>
      <c r="F20" s="96"/>
      <c r="G20" s="121">
        <f t="shared" si="9"/>
        <v>231</v>
      </c>
      <c r="H20" s="98">
        <f t="shared" si="2"/>
        <v>-762</v>
      </c>
      <c r="I20" s="99">
        <f t="shared" si="5"/>
        <v>0.2326283987915408</v>
      </c>
      <c r="J20" s="100">
        <v>100</v>
      </c>
      <c r="K20" s="96"/>
      <c r="L20" s="124">
        <f t="shared" si="10"/>
        <v>100</v>
      </c>
      <c r="M20" s="98">
        <f t="shared" si="4"/>
        <v>-131</v>
      </c>
      <c r="N20" s="101">
        <f t="shared" si="6"/>
        <v>0.4329004329004329</v>
      </c>
    </row>
    <row r="21" spans="1:14" ht="13.5" customHeight="1">
      <c r="A21" s="102" t="s">
        <v>20</v>
      </c>
      <c r="B21" s="103">
        <v>625</v>
      </c>
      <c r="C21" s="104"/>
      <c r="D21" s="97">
        <f t="shared" si="8"/>
        <v>625</v>
      </c>
      <c r="E21" s="103">
        <v>948</v>
      </c>
      <c r="F21" s="104"/>
      <c r="G21" s="121">
        <f t="shared" si="9"/>
        <v>948</v>
      </c>
      <c r="H21" s="98">
        <f t="shared" si="2"/>
        <v>323</v>
      </c>
      <c r="I21" s="99">
        <f t="shared" si="5"/>
        <v>1.5168</v>
      </c>
      <c r="J21" s="105">
        <f>932+580-205</f>
        <v>1307</v>
      </c>
      <c r="K21" s="104"/>
      <c r="L21" s="124">
        <f t="shared" si="10"/>
        <v>1307</v>
      </c>
      <c r="M21" s="98">
        <f t="shared" si="4"/>
        <v>359</v>
      </c>
      <c r="N21" s="101">
        <f t="shared" si="6"/>
        <v>1.378691983122363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5">
        <v>1106</v>
      </c>
      <c r="C24" s="104"/>
      <c r="D24" s="97">
        <f t="shared" si="8"/>
        <v>1106</v>
      </c>
      <c r="E24" s="105">
        <v>1176</v>
      </c>
      <c r="F24" s="104"/>
      <c r="G24" s="121">
        <f t="shared" si="9"/>
        <v>1176</v>
      </c>
      <c r="H24" s="98">
        <f t="shared" si="2"/>
        <v>70</v>
      </c>
      <c r="I24" s="99">
        <f aca="true" t="shared" si="11" ref="I24:I37">+G24/D24</f>
        <v>1.0632911392405062</v>
      </c>
      <c r="J24" s="105">
        <f>SUM(J25:J26)</f>
        <v>2310</v>
      </c>
      <c r="K24" s="104"/>
      <c r="L24" s="124">
        <f t="shared" si="10"/>
        <v>2310</v>
      </c>
      <c r="M24" s="98">
        <f t="shared" si="4"/>
        <v>1134</v>
      </c>
      <c r="N24" s="101">
        <f aca="true" t="shared" si="12" ref="N24:N37">+L24/G24</f>
        <v>1.9642857142857142</v>
      </c>
    </row>
    <row r="25" spans="1:14" ht="13.5" customHeight="1">
      <c r="A25" s="106" t="s">
        <v>24</v>
      </c>
      <c r="B25" s="13">
        <v>332</v>
      </c>
      <c r="C25" s="104"/>
      <c r="D25" s="97">
        <f t="shared" si="8"/>
        <v>332</v>
      </c>
      <c r="E25" s="103">
        <v>525</v>
      </c>
      <c r="F25" s="104"/>
      <c r="G25" s="121">
        <f t="shared" si="9"/>
        <v>525</v>
      </c>
      <c r="H25" s="98">
        <f t="shared" si="2"/>
        <v>193</v>
      </c>
      <c r="I25" s="99">
        <f t="shared" si="11"/>
        <v>1.5813253012048192</v>
      </c>
      <c r="J25" s="126">
        <v>710</v>
      </c>
      <c r="K25" s="104"/>
      <c r="L25" s="124">
        <f t="shared" si="10"/>
        <v>710</v>
      </c>
      <c r="M25" s="98">
        <f t="shared" si="4"/>
        <v>185</v>
      </c>
      <c r="N25" s="101">
        <f t="shared" si="12"/>
        <v>1.3523809523809525</v>
      </c>
    </row>
    <row r="26" spans="1:14" ht="13.5" customHeight="1">
      <c r="A26" s="102" t="s">
        <v>25</v>
      </c>
      <c r="B26" s="13">
        <v>774</v>
      </c>
      <c r="C26" s="104"/>
      <c r="D26" s="97">
        <f t="shared" si="8"/>
        <v>774</v>
      </c>
      <c r="E26" s="103">
        <v>651</v>
      </c>
      <c r="F26" s="104"/>
      <c r="G26" s="121">
        <f t="shared" si="9"/>
        <v>651</v>
      </c>
      <c r="H26" s="98">
        <f t="shared" si="2"/>
        <v>-123</v>
      </c>
      <c r="I26" s="99">
        <f t="shared" si="11"/>
        <v>0.8410852713178295</v>
      </c>
      <c r="J26" s="126">
        <f>600+1000</f>
        <v>1600</v>
      </c>
      <c r="K26" s="104"/>
      <c r="L26" s="124">
        <f t="shared" si="10"/>
        <v>1600</v>
      </c>
      <c r="M26" s="98">
        <f t="shared" si="4"/>
        <v>949</v>
      </c>
      <c r="N26" s="101">
        <f t="shared" si="12"/>
        <v>2.457757296466974</v>
      </c>
    </row>
    <row r="27" spans="1:14" ht="13.5" customHeight="1">
      <c r="A27" s="127" t="s">
        <v>26</v>
      </c>
      <c r="B27" s="15">
        <v>8380</v>
      </c>
      <c r="C27" s="104"/>
      <c r="D27" s="97">
        <f t="shared" si="8"/>
        <v>8380</v>
      </c>
      <c r="E27" s="105">
        <v>9813</v>
      </c>
      <c r="F27" s="104"/>
      <c r="G27" s="121">
        <f t="shared" si="9"/>
        <v>9813</v>
      </c>
      <c r="H27" s="98">
        <f t="shared" si="2"/>
        <v>1433</v>
      </c>
      <c r="I27" s="99">
        <f t="shared" si="11"/>
        <v>1.171002386634845</v>
      </c>
      <c r="J27" s="105">
        <v>10830</v>
      </c>
      <c r="K27" s="104"/>
      <c r="L27" s="124">
        <f t="shared" si="10"/>
        <v>10830</v>
      </c>
      <c r="M27" s="98">
        <f t="shared" si="4"/>
        <v>1017</v>
      </c>
      <c r="N27" s="101">
        <f t="shared" si="12"/>
        <v>1.1036380311831244</v>
      </c>
    </row>
    <row r="28" spans="1:14" ht="13.5" customHeight="1">
      <c r="A28" s="106" t="s">
        <v>27</v>
      </c>
      <c r="B28" s="13">
        <v>6118</v>
      </c>
      <c r="C28" s="104"/>
      <c r="D28" s="97">
        <f t="shared" si="8"/>
        <v>6118</v>
      </c>
      <c r="E28" s="103">
        <v>7121</v>
      </c>
      <c r="F28" s="104"/>
      <c r="G28" s="121">
        <f t="shared" si="9"/>
        <v>7121</v>
      </c>
      <c r="H28" s="98">
        <f t="shared" si="2"/>
        <v>1003</v>
      </c>
      <c r="I28" s="99">
        <f t="shared" si="11"/>
        <v>1.1639424648577967</v>
      </c>
      <c r="J28" s="126">
        <v>7905</v>
      </c>
      <c r="K28" s="128"/>
      <c r="L28" s="124">
        <f t="shared" si="10"/>
        <v>7905</v>
      </c>
      <c r="M28" s="98">
        <f t="shared" si="4"/>
        <v>784</v>
      </c>
      <c r="N28" s="101">
        <f t="shared" si="12"/>
        <v>1.1100968965033</v>
      </c>
    </row>
    <row r="29" spans="1:14" ht="13.5" customHeight="1">
      <c r="A29" s="127" t="s">
        <v>28</v>
      </c>
      <c r="B29" s="13">
        <v>5944</v>
      </c>
      <c r="C29" s="104"/>
      <c r="D29" s="97">
        <f t="shared" si="8"/>
        <v>5944</v>
      </c>
      <c r="E29" s="103">
        <v>6876</v>
      </c>
      <c r="F29" s="104"/>
      <c r="G29" s="121">
        <f t="shared" si="9"/>
        <v>6876</v>
      </c>
      <c r="H29" s="98">
        <f t="shared" si="2"/>
        <v>932</v>
      </c>
      <c r="I29" s="99">
        <f t="shared" si="11"/>
        <v>1.1567967698519515</v>
      </c>
      <c r="J29" s="105">
        <v>7650</v>
      </c>
      <c r="K29" s="104"/>
      <c r="L29" s="124">
        <f t="shared" si="10"/>
        <v>7650</v>
      </c>
      <c r="M29" s="98">
        <f t="shared" si="4"/>
        <v>774</v>
      </c>
      <c r="N29" s="101">
        <f t="shared" si="12"/>
        <v>1.112565445026178</v>
      </c>
    </row>
    <row r="30" spans="1:14" ht="13.5" customHeight="1">
      <c r="A30" s="106" t="s">
        <v>29</v>
      </c>
      <c r="B30" s="13">
        <v>174</v>
      </c>
      <c r="C30" s="104"/>
      <c r="D30" s="97">
        <f t="shared" si="8"/>
        <v>174</v>
      </c>
      <c r="E30" s="103">
        <v>245</v>
      </c>
      <c r="F30" s="104"/>
      <c r="G30" s="121">
        <f t="shared" si="9"/>
        <v>245</v>
      </c>
      <c r="H30" s="98">
        <f t="shared" si="2"/>
        <v>71</v>
      </c>
      <c r="I30" s="99">
        <f t="shared" si="11"/>
        <v>1.4080459770114941</v>
      </c>
      <c r="J30" s="105">
        <v>255</v>
      </c>
      <c r="K30" s="104"/>
      <c r="L30" s="124">
        <f t="shared" si="10"/>
        <v>255</v>
      </c>
      <c r="M30" s="98">
        <f t="shared" si="4"/>
        <v>10</v>
      </c>
      <c r="N30" s="101">
        <f t="shared" si="12"/>
        <v>1.0408163265306123</v>
      </c>
    </row>
    <row r="31" spans="1:14" ht="13.5" customHeight="1">
      <c r="A31" s="106" t="s">
        <v>30</v>
      </c>
      <c r="B31" s="13">
        <v>2262</v>
      </c>
      <c r="C31" s="104"/>
      <c r="D31" s="97">
        <f t="shared" si="8"/>
        <v>2262</v>
      </c>
      <c r="E31" s="103">
        <v>2692</v>
      </c>
      <c r="F31" s="104"/>
      <c r="G31" s="121">
        <f t="shared" si="9"/>
        <v>2692</v>
      </c>
      <c r="H31" s="98">
        <f t="shared" si="2"/>
        <v>430</v>
      </c>
      <c r="I31" s="99">
        <f t="shared" si="11"/>
        <v>1.1900972590627763</v>
      </c>
      <c r="J31" s="105">
        <v>2925</v>
      </c>
      <c r="K31" s="104"/>
      <c r="L31" s="124">
        <f t="shared" si="10"/>
        <v>2925</v>
      </c>
      <c r="M31" s="98">
        <f t="shared" si="4"/>
        <v>233</v>
      </c>
      <c r="N31" s="101">
        <f t="shared" si="12"/>
        <v>1.0865527488855868</v>
      </c>
    </row>
    <row r="32" spans="1:14" ht="13.5" customHeight="1">
      <c r="A32" s="127" t="s">
        <v>31</v>
      </c>
      <c r="B32" s="13"/>
      <c r="C32" s="104"/>
      <c r="D32" s="97">
        <f t="shared" si="8"/>
        <v>0</v>
      </c>
      <c r="E32" s="103"/>
      <c r="F32" s="104"/>
      <c r="G32" s="121">
        <f t="shared" si="9"/>
        <v>0</v>
      </c>
      <c r="H32" s="98">
        <f t="shared" si="2"/>
        <v>0</v>
      </c>
      <c r="I32" s="99"/>
      <c r="J32" s="105"/>
      <c r="K32" s="104"/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3">
        <v>108</v>
      </c>
      <c r="C33" s="104"/>
      <c r="D33" s="97">
        <f t="shared" si="8"/>
        <v>108</v>
      </c>
      <c r="E33" s="103">
        <v>100</v>
      </c>
      <c r="F33" s="104"/>
      <c r="G33" s="121">
        <f t="shared" si="9"/>
        <v>100</v>
      </c>
      <c r="H33" s="98">
        <f t="shared" si="2"/>
        <v>-8</v>
      </c>
      <c r="I33" s="99">
        <f t="shared" si="11"/>
        <v>0.9259259259259259</v>
      </c>
      <c r="J33" s="105">
        <v>129</v>
      </c>
      <c r="K33" s="104"/>
      <c r="L33" s="124">
        <f t="shared" si="10"/>
        <v>129</v>
      </c>
      <c r="M33" s="98">
        <f t="shared" si="4"/>
        <v>29</v>
      </c>
      <c r="N33" s="101">
        <f t="shared" si="12"/>
        <v>1.29</v>
      </c>
    </row>
    <row r="34" spans="1:14" ht="13.5" customHeight="1">
      <c r="A34" s="106" t="s">
        <v>33</v>
      </c>
      <c r="B34" s="13">
        <v>423</v>
      </c>
      <c r="C34" s="104"/>
      <c r="D34" s="97">
        <f t="shared" si="8"/>
        <v>423</v>
      </c>
      <c r="E34" s="103">
        <v>464</v>
      </c>
      <c r="F34" s="104"/>
      <c r="G34" s="121">
        <f t="shared" si="9"/>
        <v>464</v>
      </c>
      <c r="H34" s="98">
        <f t="shared" si="2"/>
        <v>41</v>
      </c>
      <c r="I34" s="99">
        <f t="shared" si="11"/>
        <v>1.0969267139479906</v>
      </c>
      <c r="J34" s="126">
        <v>508</v>
      </c>
      <c r="K34" s="104"/>
      <c r="L34" s="124">
        <f t="shared" si="10"/>
        <v>508</v>
      </c>
      <c r="M34" s="98">
        <f t="shared" si="4"/>
        <v>44</v>
      </c>
      <c r="N34" s="101">
        <f t="shared" si="12"/>
        <v>1.0948275862068966</v>
      </c>
    </row>
    <row r="35" spans="1:14" ht="22.5" customHeight="1">
      <c r="A35" s="106" t="s">
        <v>34</v>
      </c>
      <c r="B35" s="13">
        <v>423</v>
      </c>
      <c r="C35" s="104"/>
      <c r="D35" s="97">
        <f t="shared" si="8"/>
        <v>423</v>
      </c>
      <c r="E35" s="103">
        <v>464</v>
      </c>
      <c r="F35" s="104"/>
      <c r="G35" s="121">
        <f t="shared" si="9"/>
        <v>464</v>
      </c>
      <c r="H35" s="98">
        <f t="shared" si="2"/>
        <v>41</v>
      </c>
      <c r="I35" s="99">
        <f t="shared" si="11"/>
        <v>1.0969267139479906</v>
      </c>
      <c r="J35" s="126">
        <v>508</v>
      </c>
      <c r="K35" s="104"/>
      <c r="L35" s="124">
        <f t="shared" si="10"/>
        <v>508</v>
      </c>
      <c r="M35" s="98">
        <f t="shared" si="4"/>
        <v>44</v>
      </c>
      <c r="N35" s="101">
        <f t="shared" si="12"/>
        <v>1.0948275862068966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13843</v>
      </c>
      <c r="C37" s="114">
        <f t="shared" si="13"/>
        <v>0</v>
      </c>
      <c r="D37" s="115">
        <f t="shared" si="13"/>
        <v>13843</v>
      </c>
      <c r="E37" s="113">
        <f t="shared" si="13"/>
        <v>15288</v>
      </c>
      <c r="F37" s="114">
        <f t="shared" si="13"/>
        <v>0</v>
      </c>
      <c r="G37" s="115">
        <f t="shared" si="13"/>
        <v>15288</v>
      </c>
      <c r="H37" s="116">
        <f t="shared" si="2"/>
        <v>1445</v>
      </c>
      <c r="I37" s="117">
        <f t="shared" si="11"/>
        <v>1.104384887668858</v>
      </c>
      <c r="J37" s="118">
        <f>SUM(J19+J21+J22+J23+J24+J27+J32+J33+J34+J36)</f>
        <v>18413</v>
      </c>
      <c r="K37" s="114">
        <f>SUM(K19+K21+K22+K23+K24+K27+K32+K33+K34+K36)</f>
        <v>0</v>
      </c>
      <c r="L37" s="115">
        <f>SUM(L19+L21+L22+L23+L24+L27+L32+L33+L34+L36)</f>
        <v>18413</v>
      </c>
      <c r="M37" s="116">
        <f t="shared" si="4"/>
        <v>3125</v>
      </c>
      <c r="N37" s="119">
        <f t="shared" si="12"/>
        <v>1.2044086865515438</v>
      </c>
    </row>
    <row r="38" spans="1:14" ht="13.5" customHeight="1" thickBot="1">
      <c r="A38" s="112" t="s">
        <v>37</v>
      </c>
      <c r="B38" s="470">
        <f>+D18-D37</f>
        <v>26</v>
      </c>
      <c r="C38" s="470"/>
      <c r="D38" s="470"/>
      <c r="E38" s="471">
        <v>39.3</v>
      </c>
      <c r="F38" s="471"/>
      <c r="G38" s="471">
        <v>-50784</v>
      </c>
      <c r="H38" s="131">
        <f>+E38-B38</f>
        <v>13.299999999999997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405</v>
      </c>
      <c r="B43" s="469"/>
      <c r="C43" s="134">
        <v>199</v>
      </c>
      <c r="D43" s="468" t="s">
        <v>111</v>
      </c>
      <c r="E43" s="468"/>
      <c r="F43" s="468"/>
      <c r="G43" s="135">
        <v>104</v>
      </c>
      <c r="H43" s="467" t="s">
        <v>84</v>
      </c>
      <c r="I43" s="467"/>
      <c r="J43" s="467"/>
      <c r="K43" s="467"/>
      <c r="L43" s="136">
        <v>177</v>
      </c>
      <c r="O43"/>
      <c r="P43"/>
    </row>
    <row r="44" spans="1:16" ht="12.75">
      <c r="A44" s="463"/>
      <c r="B44" s="463"/>
      <c r="C44" s="137"/>
      <c r="D44" s="468" t="s">
        <v>214</v>
      </c>
      <c r="E44" s="468"/>
      <c r="F44" s="468"/>
      <c r="G44" s="138">
        <v>109</v>
      </c>
      <c r="H44" s="467"/>
      <c r="I44" s="467"/>
      <c r="J44" s="467"/>
      <c r="K44" s="467"/>
      <c r="L44" s="136"/>
      <c r="O44"/>
      <c r="P44"/>
    </row>
    <row r="45" spans="1:16" ht="12.75">
      <c r="A45" s="463"/>
      <c r="B45" s="463"/>
      <c r="C45" s="137"/>
      <c r="D45" s="468" t="s">
        <v>84</v>
      </c>
      <c r="E45" s="468"/>
      <c r="F45" s="468"/>
      <c r="G45" s="138">
        <v>157</v>
      </c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19" t="s">
        <v>406</v>
      </c>
      <c r="E46" s="599"/>
      <c r="F46" s="420"/>
      <c r="G46" s="140">
        <v>132</v>
      </c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 t="s">
        <v>407</v>
      </c>
      <c r="E47" s="463"/>
      <c r="F47" s="463"/>
      <c r="G47" s="140">
        <v>599</v>
      </c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199</v>
      </c>
      <c r="D50" s="451" t="s">
        <v>3</v>
      </c>
      <c r="E50" s="451"/>
      <c r="F50" s="451"/>
      <c r="G50" s="141">
        <f>SUM(G43:G49)</f>
        <v>1101</v>
      </c>
      <c r="H50" s="452" t="s">
        <v>3</v>
      </c>
      <c r="I50" s="452"/>
      <c r="J50" s="452"/>
      <c r="K50" s="452"/>
      <c r="L50" s="141">
        <f>SUM(L43:L49)</f>
        <v>177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597" t="s">
        <v>408</v>
      </c>
      <c r="B54" s="598"/>
      <c r="C54" s="233">
        <v>129</v>
      </c>
      <c r="D54" s="447" t="s">
        <v>409</v>
      </c>
      <c r="E54" s="447"/>
      <c r="F54" s="447"/>
      <c r="G54" s="142">
        <v>121</v>
      </c>
      <c r="H54" s="467" t="s">
        <v>410</v>
      </c>
      <c r="I54" s="467"/>
      <c r="J54" s="467"/>
      <c r="K54" s="467"/>
      <c r="L54" s="136">
        <v>180</v>
      </c>
      <c r="O54"/>
      <c r="P54"/>
    </row>
    <row r="55" spans="1:16" ht="13.5" customHeight="1">
      <c r="A55" s="418" t="s">
        <v>133</v>
      </c>
      <c r="B55" s="420"/>
      <c r="C55" s="234">
        <v>203</v>
      </c>
      <c r="D55" s="420" t="s">
        <v>411</v>
      </c>
      <c r="E55" s="420"/>
      <c r="F55" s="420"/>
      <c r="G55" s="143">
        <v>89</v>
      </c>
      <c r="H55" s="464" t="s">
        <v>412</v>
      </c>
      <c r="I55" s="464"/>
      <c r="J55" s="464"/>
      <c r="K55" s="464"/>
      <c r="L55" s="144">
        <v>170</v>
      </c>
      <c r="O55"/>
      <c r="P55"/>
    </row>
    <row r="56" spans="1:16" ht="13.5" customHeight="1">
      <c r="A56" s="418"/>
      <c r="B56" s="419"/>
      <c r="C56" s="234"/>
      <c r="D56" s="420" t="s">
        <v>413</v>
      </c>
      <c r="E56" s="420"/>
      <c r="F56" s="420"/>
      <c r="G56" s="143">
        <v>28</v>
      </c>
      <c r="H56" s="464" t="s">
        <v>94</v>
      </c>
      <c r="I56" s="464"/>
      <c r="J56" s="464"/>
      <c r="K56" s="464"/>
      <c r="L56" s="144">
        <v>200</v>
      </c>
      <c r="O56"/>
      <c r="P56"/>
    </row>
    <row r="57" spans="1:16" ht="13.5" customHeight="1">
      <c r="A57" s="418"/>
      <c r="B57" s="419"/>
      <c r="C57" s="234"/>
      <c r="D57" s="420" t="s">
        <v>414</v>
      </c>
      <c r="E57" s="420"/>
      <c r="F57" s="420"/>
      <c r="G57" s="143">
        <v>80</v>
      </c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 t="s">
        <v>415</v>
      </c>
      <c r="E58" s="420"/>
      <c r="F58" s="420"/>
      <c r="G58" s="145">
        <v>40</v>
      </c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 t="s">
        <v>416</v>
      </c>
      <c r="E59" s="420"/>
      <c r="F59" s="420"/>
      <c r="G59" s="145">
        <v>167</v>
      </c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332</v>
      </c>
      <c r="D62" s="517" t="s">
        <v>3</v>
      </c>
      <c r="E62" s="517"/>
      <c r="F62" s="517"/>
      <c r="G62" s="149">
        <f>SUM(G54:G61)</f>
        <v>525</v>
      </c>
      <c r="H62" s="452" t="s">
        <v>3</v>
      </c>
      <c r="I62" s="452"/>
      <c r="J62" s="452"/>
      <c r="K62" s="452"/>
      <c r="L62" s="141">
        <f>SUM(L54:L61)</f>
        <v>550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117</v>
      </c>
      <c r="C67" s="483" t="s">
        <v>129</v>
      </c>
      <c r="D67" s="483"/>
      <c r="E67" s="63"/>
      <c r="F67" s="484" t="s">
        <v>126</v>
      </c>
      <c r="G67" s="485"/>
      <c r="H67" s="56">
        <v>138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21</v>
      </c>
      <c r="C68" s="478"/>
      <c r="D68" s="478"/>
      <c r="E68" s="65"/>
      <c r="F68" s="486" t="s">
        <v>127</v>
      </c>
      <c r="G68" s="479"/>
      <c r="H68" s="57">
        <v>32.3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138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170.3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138</v>
      </c>
      <c r="C72" s="22"/>
      <c r="D72" s="22"/>
      <c r="E72" s="22"/>
      <c r="F72" s="476" t="s">
        <v>212</v>
      </c>
      <c r="G72" s="477"/>
      <c r="H72" s="80">
        <f>H71-L71</f>
        <v>170.3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21539</v>
      </c>
      <c r="B80" s="30">
        <v>3844</v>
      </c>
      <c r="C80" s="73">
        <v>508</v>
      </c>
      <c r="D80" s="74">
        <v>169</v>
      </c>
      <c r="E80" s="74">
        <v>161</v>
      </c>
      <c r="F80" s="74"/>
      <c r="G80" s="74"/>
      <c r="H80" s="73">
        <v>178</v>
      </c>
      <c r="I80" s="81"/>
      <c r="J80" s="31">
        <f>SUM(A80-B80-C80)</f>
        <v>17187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1125</v>
      </c>
      <c r="C85" s="37">
        <v>1125</v>
      </c>
      <c r="D85" s="38">
        <v>17320</v>
      </c>
      <c r="E85" s="38">
        <v>17227</v>
      </c>
      <c r="F85" s="39">
        <v>1218</v>
      </c>
      <c r="G85" s="40">
        <v>1218</v>
      </c>
      <c r="H85" s="197" t="s">
        <v>71</v>
      </c>
      <c r="I85" s="203">
        <v>1218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13</v>
      </c>
      <c r="C86" s="43">
        <v>13</v>
      </c>
      <c r="D86" s="44">
        <v>5</v>
      </c>
      <c r="E86" s="44">
        <v>0</v>
      </c>
      <c r="F86" s="45">
        <f>C86+D86-E86</f>
        <v>18</v>
      </c>
      <c r="G86" s="46">
        <v>18</v>
      </c>
      <c r="H86" s="198">
        <f>+G86-F86</f>
        <v>0</v>
      </c>
      <c r="I86" s="43">
        <v>18</v>
      </c>
      <c r="J86" s="44">
        <v>7</v>
      </c>
      <c r="K86" s="44">
        <v>0</v>
      </c>
      <c r="L86" s="45">
        <f>I86+J86-K86</f>
        <v>25</v>
      </c>
    </row>
    <row r="87" spans="1:12" s="1" customFormat="1" ht="12.75">
      <c r="A87" s="41" t="s">
        <v>73</v>
      </c>
      <c r="B87" s="42">
        <v>117</v>
      </c>
      <c r="C87" s="43">
        <v>117</v>
      </c>
      <c r="D87" s="44">
        <v>21</v>
      </c>
      <c r="E87" s="44">
        <v>0</v>
      </c>
      <c r="F87" s="45">
        <f>C87+D87-E87</f>
        <v>138</v>
      </c>
      <c r="G87" s="46">
        <v>138</v>
      </c>
      <c r="H87" s="198">
        <f>+G87-F87</f>
        <v>0</v>
      </c>
      <c r="I87" s="395">
        <v>138</v>
      </c>
      <c r="J87" s="396">
        <v>32.3</v>
      </c>
      <c r="K87" s="396">
        <v>0</v>
      </c>
      <c r="L87" s="397">
        <f>I87+J87-K87</f>
        <v>170.3</v>
      </c>
    </row>
    <row r="88" spans="1:12" s="1" customFormat="1" ht="12.75">
      <c r="A88" s="41" t="s">
        <v>96</v>
      </c>
      <c r="B88" s="42">
        <v>111</v>
      </c>
      <c r="C88" s="43">
        <v>111</v>
      </c>
      <c r="D88" s="44">
        <v>1064</v>
      </c>
      <c r="E88" s="44">
        <v>1101</v>
      </c>
      <c r="F88" s="45">
        <f>C88+D88-E88</f>
        <v>74</v>
      </c>
      <c r="G88" s="46">
        <v>74</v>
      </c>
      <c r="H88" s="198">
        <f>+G88-F88</f>
        <v>0</v>
      </c>
      <c r="I88" s="206">
        <v>74</v>
      </c>
      <c r="J88" s="196">
        <v>508</v>
      </c>
      <c r="K88" s="196">
        <v>177</v>
      </c>
      <c r="L88" s="45">
        <f>I88+J88-K88</f>
        <v>405</v>
      </c>
    </row>
    <row r="89" spans="1:12" s="1" customFormat="1" ht="12.75">
      <c r="A89" s="41" t="s">
        <v>74</v>
      </c>
      <c r="B89" s="42">
        <v>884</v>
      </c>
      <c r="C89" s="38" t="s">
        <v>71</v>
      </c>
      <c r="D89" s="38" t="s">
        <v>71</v>
      </c>
      <c r="E89" s="38" t="s">
        <v>71</v>
      </c>
      <c r="F89" s="38" t="s">
        <v>71</v>
      </c>
      <c r="G89" s="46">
        <v>988</v>
      </c>
      <c r="H89" s="53" t="s">
        <v>71</v>
      </c>
      <c r="I89" s="38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34</v>
      </c>
      <c r="C90" s="49">
        <v>40</v>
      </c>
      <c r="D90" s="50">
        <v>138</v>
      </c>
      <c r="E90" s="50">
        <v>150</v>
      </c>
      <c r="F90" s="51">
        <f>C90+D90-E90</f>
        <v>28</v>
      </c>
      <c r="G90" s="52">
        <v>26</v>
      </c>
      <c r="H90" s="199">
        <f>+G90-F90</f>
        <v>-2</v>
      </c>
      <c r="I90" s="49">
        <v>28</v>
      </c>
      <c r="J90" s="50">
        <v>148</v>
      </c>
      <c r="K90" s="50">
        <v>156</v>
      </c>
      <c r="L90" s="51">
        <f>I90+J90-K90</f>
        <v>20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24</v>
      </c>
      <c r="C96" s="159"/>
      <c r="D96" s="159"/>
      <c r="E96" s="159"/>
      <c r="F96" s="159"/>
      <c r="G96" s="158"/>
      <c r="H96" s="160">
        <f>SUM(C96:G96)</f>
        <v>0</v>
      </c>
      <c r="I96" s="27"/>
      <c r="J96" s="161">
        <v>2006</v>
      </c>
      <c r="K96" s="162">
        <v>6877</v>
      </c>
      <c r="L96" s="163">
        <f>+G29</f>
        <v>6876</v>
      </c>
    </row>
    <row r="97" spans="1:12" ht="13.5" thickBot="1">
      <c r="A97" s="164" t="s">
        <v>83</v>
      </c>
      <c r="B97" s="165">
        <v>1203</v>
      </c>
      <c r="C97" s="166">
        <v>0</v>
      </c>
      <c r="D97" s="166">
        <v>0</v>
      </c>
      <c r="E97" s="166">
        <v>0</v>
      </c>
      <c r="F97" s="166">
        <v>0</v>
      </c>
      <c r="G97" s="165">
        <v>0</v>
      </c>
      <c r="H97" s="167">
        <f>SUM(C97:G97)</f>
        <v>0</v>
      </c>
      <c r="I97" s="27"/>
      <c r="J97" s="168">
        <v>2007</v>
      </c>
      <c r="K97" s="169">
        <f>L29</f>
        <v>7650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3</v>
      </c>
      <c r="C102" s="175">
        <v>3.08</v>
      </c>
      <c r="D102" s="175">
        <f aca="true" t="shared" si="14" ref="D102:D112">+C102-B102</f>
        <v>0.08000000000000007</v>
      </c>
      <c r="E102" s="175">
        <v>3</v>
      </c>
      <c r="F102" s="175">
        <v>3.5</v>
      </c>
      <c r="G102" s="176">
        <f aca="true" t="shared" si="15" ref="G102:G112">+F102-E102</f>
        <v>0.5</v>
      </c>
      <c r="H102" s="177">
        <v>18556</v>
      </c>
      <c r="I102" s="178">
        <v>21404</v>
      </c>
      <c r="J102" s="179">
        <f aca="true" t="shared" si="16" ref="J102:J112">+I102-H102</f>
        <v>2848</v>
      </c>
    </row>
    <row r="103" spans="1:10" ht="12.75">
      <c r="A103" s="174" t="s">
        <v>85</v>
      </c>
      <c r="B103" s="175">
        <v>14</v>
      </c>
      <c r="C103" s="175">
        <v>12.08</v>
      </c>
      <c r="D103" s="175">
        <f t="shared" si="14"/>
        <v>-1.92</v>
      </c>
      <c r="E103" s="175">
        <v>14</v>
      </c>
      <c r="F103" s="175">
        <v>12</v>
      </c>
      <c r="G103" s="176">
        <f t="shared" si="15"/>
        <v>-2</v>
      </c>
      <c r="H103" s="177">
        <v>18953</v>
      </c>
      <c r="I103" s="180">
        <v>20622</v>
      </c>
      <c r="J103" s="179">
        <f t="shared" si="16"/>
        <v>1669</v>
      </c>
    </row>
    <row r="104" spans="1:10" ht="12.75">
      <c r="A104" s="174" t="s">
        <v>52</v>
      </c>
      <c r="B104" s="175">
        <v>0</v>
      </c>
      <c r="C104" s="175">
        <v>0</v>
      </c>
      <c r="D104" s="175">
        <f t="shared" si="14"/>
        <v>0</v>
      </c>
      <c r="E104" s="175">
        <v>0</v>
      </c>
      <c r="F104" s="175">
        <v>0</v>
      </c>
      <c r="G104" s="176">
        <f t="shared" si="15"/>
        <v>0</v>
      </c>
      <c r="H104" s="177">
        <v>0</v>
      </c>
      <c r="I104" s="180">
        <v>0</v>
      </c>
      <c r="J104" s="179">
        <f t="shared" si="16"/>
        <v>0</v>
      </c>
    </row>
    <row r="105" spans="1:10" ht="12.75">
      <c r="A105" s="174" t="s">
        <v>53</v>
      </c>
      <c r="B105" s="175">
        <v>0</v>
      </c>
      <c r="C105" s="175">
        <v>0</v>
      </c>
      <c r="D105" s="175">
        <f t="shared" si="14"/>
        <v>0</v>
      </c>
      <c r="E105" s="175">
        <v>0</v>
      </c>
      <c r="F105" s="175">
        <v>0</v>
      </c>
      <c r="G105" s="176">
        <f t="shared" si="15"/>
        <v>0</v>
      </c>
      <c r="H105" s="177">
        <v>0</v>
      </c>
      <c r="I105" s="180">
        <v>0</v>
      </c>
      <c r="J105" s="179">
        <f t="shared" si="16"/>
        <v>0</v>
      </c>
    </row>
    <row r="106" spans="1:10" ht="12.75">
      <c r="A106" s="174" t="s">
        <v>86</v>
      </c>
      <c r="B106" s="175">
        <v>0</v>
      </c>
      <c r="C106" s="175">
        <v>0</v>
      </c>
      <c r="D106" s="175">
        <f t="shared" si="14"/>
        <v>0</v>
      </c>
      <c r="E106" s="175">
        <v>0</v>
      </c>
      <c r="F106" s="175">
        <v>0</v>
      </c>
      <c r="G106" s="176">
        <f t="shared" si="15"/>
        <v>0</v>
      </c>
      <c r="H106" s="177">
        <v>0</v>
      </c>
      <c r="I106" s="180">
        <v>0</v>
      </c>
      <c r="J106" s="179">
        <f t="shared" si="16"/>
        <v>0</v>
      </c>
    </row>
    <row r="107" spans="1:10" ht="12.75">
      <c r="A107" s="174" t="s">
        <v>54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417</v>
      </c>
      <c r="B108" s="175">
        <v>0.75</v>
      </c>
      <c r="C108" s="175">
        <v>1.31</v>
      </c>
      <c r="D108" s="175">
        <f t="shared" si="14"/>
        <v>0.56</v>
      </c>
      <c r="E108" s="175">
        <v>0.75</v>
      </c>
      <c r="F108" s="175">
        <v>1.5</v>
      </c>
      <c r="G108" s="176">
        <f t="shared" si="15"/>
        <v>0.75</v>
      </c>
      <c r="H108" s="177">
        <v>11841</v>
      </c>
      <c r="I108" s="180">
        <v>12756</v>
      </c>
      <c r="J108" s="179">
        <f t="shared" si="16"/>
        <v>915</v>
      </c>
    </row>
    <row r="109" spans="1:10" ht="12.75">
      <c r="A109" s="174" t="s">
        <v>56</v>
      </c>
      <c r="B109" s="175">
        <v>6.63</v>
      </c>
      <c r="C109" s="175">
        <v>8.36</v>
      </c>
      <c r="D109" s="175">
        <f t="shared" si="14"/>
        <v>1.7299999999999995</v>
      </c>
      <c r="E109" s="175">
        <v>7</v>
      </c>
      <c r="F109" s="175">
        <v>9.11</v>
      </c>
      <c r="G109" s="176">
        <f t="shared" si="15"/>
        <v>2.1099999999999994</v>
      </c>
      <c r="H109" s="177">
        <v>12488</v>
      </c>
      <c r="I109" s="180">
        <v>13076</v>
      </c>
      <c r="J109" s="179">
        <f t="shared" si="16"/>
        <v>588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4"/>
        <v>0</v>
      </c>
      <c r="E110" s="175">
        <v>1</v>
      </c>
      <c r="F110" s="175">
        <v>1</v>
      </c>
      <c r="G110" s="176">
        <f t="shared" si="15"/>
        <v>0</v>
      </c>
      <c r="H110" s="177">
        <v>14523</v>
      </c>
      <c r="I110" s="180">
        <v>16882</v>
      </c>
      <c r="J110" s="179">
        <f t="shared" si="16"/>
        <v>2359</v>
      </c>
    </row>
    <row r="111" spans="1:10" ht="12.75">
      <c r="A111" s="174" t="s">
        <v>58</v>
      </c>
      <c r="B111" s="175">
        <v>11.27</v>
      </c>
      <c r="C111" s="175">
        <v>11.4</v>
      </c>
      <c r="D111" s="175">
        <f t="shared" si="14"/>
        <v>0.13000000000000078</v>
      </c>
      <c r="E111" s="175">
        <v>11.85</v>
      </c>
      <c r="F111" s="175">
        <v>12</v>
      </c>
      <c r="G111" s="176">
        <f t="shared" si="15"/>
        <v>0.15000000000000036</v>
      </c>
      <c r="H111" s="177">
        <v>10371</v>
      </c>
      <c r="I111" s="180">
        <v>11139</v>
      </c>
      <c r="J111" s="179">
        <f t="shared" si="16"/>
        <v>768</v>
      </c>
    </row>
    <row r="112" spans="1:10" ht="13.5" thickBot="1">
      <c r="A112" s="181" t="s">
        <v>3</v>
      </c>
      <c r="B112" s="182">
        <f>SUM(B102:B111)</f>
        <v>36.65</v>
      </c>
      <c r="C112" s="182">
        <f>SUM(C102:C111)</f>
        <v>37.23</v>
      </c>
      <c r="D112" s="182">
        <f t="shared" si="14"/>
        <v>0.5799999999999983</v>
      </c>
      <c r="E112" s="182">
        <f>SUM(E102:E111)</f>
        <v>37.6</v>
      </c>
      <c r="F112" s="182">
        <f>SUM(F102:F111)</f>
        <v>39.11</v>
      </c>
      <c r="G112" s="183">
        <f t="shared" si="15"/>
        <v>1.509999999999998</v>
      </c>
      <c r="H112" s="184">
        <v>14866</v>
      </c>
      <c r="I112" s="185">
        <v>16508</v>
      </c>
      <c r="J112" s="186">
        <f t="shared" si="16"/>
        <v>1642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36</v>
      </c>
      <c r="C116" s="163">
        <v>36.5</v>
      </c>
      <c r="D116" s="27"/>
      <c r="E116" s="161">
        <v>2006</v>
      </c>
      <c r="F116" s="416">
        <v>68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37.5</v>
      </c>
      <c r="C117" s="369" t="s">
        <v>508</v>
      </c>
      <c r="D117" s="27"/>
      <c r="E117" s="168">
        <v>2007</v>
      </c>
      <c r="F117" s="417">
        <v>68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B4:D4"/>
    <mergeCell ref="E4:G4"/>
    <mergeCell ref="J4:L4"/>
    <mergeCell ref="F68:G68"/>
    <mergeCell ref="I68:K68"/>
    <mergeCell ref="H41:K42"/>
    <mergeCell ref="L41:L42"/>
    <mergeCell ref="A43:B43"/>
    <mergeCell ref="D43:F43"/>
    <mergeCell ref="H43:K43"/>
    <mergeCell ref="C69:D69"/>
    <mergeCell ref="F69:G69"/>
    <mergeCell ref="I69:K69"/>
    <mergeCell ref="I70:K70"/>
    <mergeCell ref="C71:D71"/>
    <mergeCell ref="F71:G71"/>
    <mergeCell ref="I71:K71"/>
    <mergeCell ref="C70:D70"/>
    <mergeCell ref="F70:G70"/>
    <mergeCell ref="A94:A95"/>
    <mergeCell ref="B94:B95"/>
    <mergeCell ref="C94:H94"/>
    <mergeCell ref="H83:H84"/>
    <mergeCell ref="A83:A84"/>
    <mergeCell ref="B83:B84"/>
    <mergeCell ref="C83:F83"/>
    <mergeCell ref="G83:G84"/>
    <mergeCell ref="J94:L9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H61:K61"/>
    <mergeCell ref="A62:B62"/>
    <mergeCell ref="D62:F62"/>
    <mergeCell ref="H62:K62"/>
    <mergeCell ref="A61:B61"/>
    <mergeCell ref="D61:F61"/>
    <mergeCell ref="I83:L83"/>
    <mergeCell ref="F72:G72"/>
    <mergeCell ref="A77:A79"/>
    <mergeCell ref="B77:B79"/>
    <mergeCell ref="C77:I77"/>
    <mergeCell ref="J77:J79"/>
    <mergeCell ref="L77:M77"/>
    <mergeCell ref="C78:C79"/>
    <mergeCell ref="D78:I78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457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14754</v>
      </c>
      <c r="C8" s="14">
        <v>615</v>
      </c>
      <c r="D8" s="192">
        <f t="shared" si="0"/>
        <v>15369</v>
      </c>
      <c r="E8" s="15">
        <v>15716</v>
      </c>
      <c r="F8" s="14">
        <v>659</v>
      </c>
      <c r="G8" s="192">
        <f t="shared" si="1"/>
        <v>16375</v>
      </c>
      <c r="H8" s="220">
        <f t="shared" si="2"/>
        <v>1006</v>
      </c>
      <c r="I8" s="223">
        <f aca="true" t="shared" si="5" ref="I8:I21">+G8/D8</f>
        <v>1.065456438284859</v>
      </c>
      <c r="J8" s="15">
        <f>22374+750-660</f>
        <v>22464</v>
      </c>
      <c r="K8" s="14">
        <v>660</v>
      </c>
      <c r="L8" s="192">
        <f t="shared" si="3"/>
        <v>23124</v>
      </c>
      <c r="M8" s="220">
        <f t="shared" si="4"/>
        <v>6749</v>
      </c>
      <c r="N8" s="221">
        <f aca="true" t="shared" si="6" ref="N8:N21">+L8/G8</f>
        <v>1.4121526717557251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33</v>
      </c>
      <c r="C11" s="14"/>
      <c r="D11" s="192">
        <f t="shared" si="0"/>
        <v>33</v>
      </c>
      <c r="E11" s="15">
        <v>72</v>
      </c>
      <c r="F11" s="14"/>
      <c r="G11" s="192">
        <f t="shared" si="1"/>
        <v>72</v>
      </c>
      <c r="H11" s="220">
        <f t="shared" si="2"/>
        <v>39</v>
      </c>
      <c r="I11" s="223">
        <f t="shared" si="5"/>
        <v>2.1818181818181817</v>
      </c>
      <c r="J11" s="15">
        <v>33</v>
      </c>
      <c r="K11" s="14"/>
      <c r="L11" s="192">
        <f t="shared" si="3"/>
        <v>33</v>
      </c>
      <c r="M11" s="220">
        <f t="shared" si="4"/>
        <v>-39</v>
      </c>
      <c r="N11" s="221">
        <f t="shared" si="6"/>
        <v>0.4583333333333333</v>
      </c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>
        <v>36</v>
      </c>
      <c r="F12" s="14"/>
      <c r="G12" s="192">
        <f t="shared" si="1"/>
        <v>36</v>
      </c>
      <c r="H12" s="220">
        <f t="shared" si="2"/>
        <v>36</v>
      </c>
      <c r="I12" s="223"/>
      <c r="J12" s="15"/>
      <c r="K12" s="14"/>
      <c r="L12" s="192">
        <f t="shared" si="3"/>
        <v>0</v>
      </c>
      <c r="M12" s="220">
        <f t="shared" si="4"/>
        <v>-36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19295</v>
      </c>
      <c r="C15" s="14">
        <f>SUM(C16:C17)</f>
        <v>0</v>
      </c>
      <c r="D15" s="192">
        <f t="shared" si="0"/>
        <v>19295</v>
      </c>
      <c r="E15" s="15">
        <f>SUM(E16:E17)</f>
        <v>20891</v>
      </c>
      <c r="F15" s="14">
        <f>SUM(F16:F17)</f>
        <v>0</v>
      </c>
      <c r="G15" s="192">
        <f t="shared" si="1"/>
        <v>20891</v>
      </c>
      <c r="H15" s="220">
        <f t="shared" si="2"/>
        <v>1596</v>
      </c>
      <c r="I15" s="223">
        <f t="shared" si="5"/>
        <v>1.0827157294635916</v>
      </c>
      <c r="J15" s="17">
        <f>SUM(J16:J17)</f>
        <v>17735</v>
      </c>
      <c r="K15" s="17">
        <f>SUM(K16:K17)</f>
        <v>0</v>
      </c>
      <c r="L15" s="192">
        <f t="shared" si="3"/>
        <v>17735</v>
      </c>
      <c r="M15" s="220">
        <f t="shared" si="4"/>
        <v>-3156</v>
      </c>
      <c r="N15" s="221">
        <f t="shared" si="6"/>
        <v>0.8489301613134843</v>
      </c>
    </row>
    <row r="16" spans="1:14" ht="13.5" customHeight="1">
      <c r="A16" s="231" t="s">
        <v>219</v>
      </c>
      <c r="B16" s="15">
        <v>19295</v>
      </c>
      <c r="C16" s="14"/>
      <c r="D16" s="192">
        <v>19295</v>
      </c>
      <c r="E16" s="15">
        <v>20891</v>
      </c>
      <c r="F16" s="14"/>
      <c r="G16" s="192">
        <f t="shared" si="1"/>
        <v>20891</v>
      </c>
      <c r="H16" s="220">
        <f t="shared" si="2"/>
        <v>1596</v>
      </c>
      <c r="I16" s="223">
        <f t="shared" si="5"/>
        <v>1.0827157294635916</v>
      </c>
      <c r="J16" s="17">
        <f>2459+1200</f>
        <v>3659</v>
      </c>
      <c r="K16" s="14"/>
      <c r="L16" s="192">
        <f t="shared" si="3"/>
        <v>3659</v>
      </c>
      <c r="M16" s="220">
        <f t="shared" si="4"/>
        <v>-17232</v>
      </c>
      <c r="N16" s="221">
        <f t="shared" si="6"/>
        <v>0.17514719257096356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14076</v>
      </c>
      <c r="K17" s="190"/>
      <c r="L17" s="193">
        <f t="shared" si="3"/>
        <v>14076</v>
      </c>
      <c r="M17" s="366">
        <f t="shared" si="4"/>
        <v>14076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34082</v>
      </c>
      <c r="C18" s="214">
        <f t="shared" si="7"/>
        <v>615</v>
      </c>
      <c r="D18" s="215">
        <f t="shared" si="7"/>
        <v>34697</v>
      </c>
      <c r="E18" s="213">
        <f t="shared" si="7"/>
        <v>36679</v>
      </c>
      <c r="F18" s="214">
        <f t="shared" si="7"/>
        <v>659</v>
      </c>
      <c r="G18" s="215">
        <f t="shared" si="7"/>
        <v>37338</v>
      </c>
      <c r="H18" s="217">
        <f t="shared" si="2"/>
        <v>2641</v>
      </c>
      <c r="I18" s="132">
        <f t="shared" si="5"/>
        <v>1.076116090728305</v>
      </c>
      <c r="J18" s="225">
        <f>SUM(J7+J8+J9+J10+J11+J13+J15)</f>
        <v>40232</v>
      </c>
      <c r="K18" s="214">
        <f>SUM(K7+K8+K9+K10+K11+K13+K15)</f>
        <v>660</v>
      </c>
      <c r="L18" s="215">
        <f>SUM(L7+L8+L9+L10+L11+L13+L15)</f>
        <v>40892</v>
      </c>
      <c r="M18" s="217">
        <f t="shared" si="4"/>
        <v>3554</v>
      </c>
      <c r="N18" s="226">
        <f t="shared" si="6"/>
        <v>1.0951845305051153</v>
      </c>
    </row>
    <row r="19" spans="1:14" ht="13.5" customHeight="1">
      <c r="A19" s="120" t="s">
        <v>18</v>
      </c>
      <c r="B19" s="95">
        <v>6968</v>
      </c>
      <c r="C19" s="96">
        <v>400</v>
      </c>
      <c r="D19" s="97">
        <f aca="true" t="shared" si="8" ref="D19:D36">SUM(B19:C19)</f>
        <v>7368</v>
      </c>
      <c r="E19" s="95">
        <v>6397</v>
      </c>
      <c r="F19" s="96">
        <v>418</v>
      </c>
      <c r="G19" s="121">
        <f aca="true" t="shared" si="9" ref="G19:G36">SUM(E19:F19)</f>
        <v>6815</v>
      </c>
      <c r="H19" s="122">
        <f t="shared" si="2"/>
        <v>-553</v>
      </c>
      <c r="I19" s="123">
        <f t="shared" si="5"/>
        <v>0.9249457111834962</v>
      </c>
      <c r="J19" s="100">
        <f>6259+900</f>
        <v>7159</v>
      </c>
      <c r="K19" s="96">
        <v>426</v>
      </c>
      <c r="L19" s="124">
        <f aca="true" t="shared" si="10" ref="L19:L36">SUM(J19:K19)</f>
        <v>7585</v>
      </c>
      <c r="M19" s="122">
        <f t="shared" si="4"/>
        <v>770</v>
      </c>
      <c r="N19" s="125">
        <f t="shared" si="6"/>
        <v>1.1129860601614086</v>
      </c>
    </row>
    <row r="20" spans="1:14" ht="21" customHeight="1">
      <c r="A20" s="106" t="s">
        <v>19</v>
      </c>
      <c r="B20" s="95">
        <v>1530</v>
      </c>
      <c r="C20" s="96">
        <v>5</v>
      </c>
      <c r="D20" s="97">
        <f t="shared" si="8"/>
        <v>1535</v>
      </c>
      <c r="E20" s="95">
        <v>628</v>
      </c>
      <c r="F20" s="96">
        <v>3</v>
      </c>
      <c r="G20" s="121">
        <f t="shared" si="9"/>
        <v>631</v>
      </c>
      <c r="H20" s="98">
        <f t="shared" si="2"/>
        <v>-904</v>
      </c>
      <c r="I20" s="99">
        <f t="shared" si="5"/>
        <v>0.41107491856677525</v>
      </c>
      <c r="J20" s="100">
        <v>457</v>
      </c>
      <c r="K20" s="96">
        <v>3</v>
      </c>
      <c r="L20" s="124">
        <f t="shared" si="10"/>
        <v>460</v>
      </c>
      <c r="M20" s="98">
        <f t="shared" si="4"/>
        <v>-171</v>
      </c>
      <c r="N20" s="101">
        <f t="shared" si="6"/>
        <v>0.7290015847860539</v>
      </c>
    </row>
    <row r="21" spans="1:14" ht="13.5" customHeight="1">
      <c r="A21" s="102" t="s">
        <v>20</v>
      </c>
      <c r="B21" s="103">
        <v>2523</v>
      </c>
      <c r="C21" s="104">
        <v>30</v>
      </c>
      <c r="D21" s="97">
        <f t="shared" si="8"/>
        <v>2553</v>
      </c>
      <c r="E21" s="103">
        <v>2968</v>
      </c>
      <c r="F21" s="104">
        <v>34</v>
      </c>
      <c r="G21" s="121">
        <f t="shared" si="9"/>
        <v>3002</v>
      </c>
      <c r="H21" s="98">
        <f t="shared" si="2"/>
        <v>449</v>
      </c>
      <c r="I21" s="99">
        <f t="shared" si="5"/>
        <v>1.1758715236976107</v>
      </c>
      <c r="J21" s="105">
        <f>3124+500-98</f>
        <v>3526</v>
      </c>
      <c r="K21" s="104">
        <v>36</v>
      </c>
      <c r="L21" s="124">
        <f t="shared" si="10"/>
        <v>3562</v>
      </c>
      <c r="M21" s="98">
        <f t="shared" si="4"/>
        <v>560</v>
      </c>
      <c r="N21" s="101">
        <f t="shared" si="6"/>
        <v>1.1865423051299133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2447</v>
      </c>
      <c r="C24" s="104">
        <v>6</v>
      </c>
      <c r="D24" s="97">
        <f t="shared" si="8"/>
        <v>2453</v>
      </c>
      <c r="E24" s="105">
        <v>2720</v>
      </c>
      <c r="F24" s="104">
        <v>9</v>
      </c>
      <c r="G24" s="121">
        <f t="shared" si="9"/>
        <v>2729</v>
      </c>
      <c r="H24" s="98">
        <f t="shared" si="2"/>
        <v>276</v>
      </c>
      <c r="I24" s="99">
        <f aca="true" t="shared" si="11" ref="I24:I37">+G24/D24</f>
        <v>1.1125152874031798</v>
      </c>
      <c r="J24" s="105">
        <f>SUM(J25:J26)</f>
        <v>3131</v>
      </c>
      <c r="K24" s="104">
        <v>9</v>
      </c>
      <c r="L24" s="124">
        <f t="shared" si="10"/>
        <v>3140</v>
      </c>
      <c r="M24" s="98">
        <f t="shared" si="4"/>
        <v>411</v>
      </c>
      <c r="N24" s="101">
        <f aca="true" t="shared" si="12" ref="N24:N37">+L24/G24</f>
        <v>1.150604617075852</v>
      </c>
    </row>
    <row r="25" spans="1:14" ht="13.5" customHeight="1">
      <c r="A25" s="106" t="s">
        <v>24</v>
      </c>
      <c r="B25" s="103">
        <v>864</v>
      </c>
      <c r="C25" s="104">
        <v>1</v>
      </c>
      <c r="D25" s="97">
        <f t="shared" si="8"/>
        <v>865</v>
      </c>
      <c r="E25" s="103">
        <v>828</v>
      </c>
      <c r="F25" s="104">
        <v>2</v>
      </c>
      <c r="G25" s="121">
        <f t="shared" si="9"/>
        <v>830</v>
      </c>
      <c r="H25" s="98">
        <f t="shared" si="2"/>
        <v>-35</v>
      </c>
      <c r="I25" s="99">
        <f t="shared" si="11"/>
        <v>0.9595375722543352</v>
      </c>
      <c r="J25" s="126">
        <f>648+200</f>
        <v>848</v>
      </c>
      <c r="K25" s="104">
        <v>2</v>
      </c>
      <c r="L25" s="124">
        <f t="shared" si="10"/>
        <v>850</v>
      </c>
      <c r="M25" s="98">
        <f t="shared" si="4"/>
        <v>20</v>
      </c>
      <c r="N25" s="101">
        <f t="shared" si="12"/>
        <v>1.0240963855421688</v>
      </c>
    </row>
    <row r="26" spans="1:14" ht="13.5" customHeight="1">
      <c r="A26" s="102" t="s">
        <v>25</v>
      </c>
      <c r="B26" s="103">
        <v>1555</v>
      </c>
      <c r="C26" s="104">
        <v>5</v>
      </c>
      <c r="D26" s="97">
        <f t="shared" si="8"/>
        <v>1560</v>
      </c>
      <c r="E26" s="103">
        <v>1866</v>
      </c>
      <c r="F26" s="104">
        <v>7</v>
      </c>
      <c r="G26" s="121">
        <f t="shared" si="9"/>
        <v>1873</v>
      </c>
      <c r="H26" s="98">
        <f t="shared" si="2"/>
        <v>313</v>
      </c>
      <c r="I26" s="99">
        <f t="shared" si="11"/>
        <v>1.2006410256410256</v>
      </c>
      <c r="J26" s="126">
        <f>2065+218</f>
        <v>2283</v>
      </c>
      <c r="K26" s="104">
        <v>7</v>
      </c>
      <c r="L26" s="124">
        <f t="shared" si="10"/>
        <v>2290</v>
      </c>
      <c r="M26" s="98">
        <f t="shared" si="4"/>
        <v>417</v>
      </c>
      <c r="N26" s="101">
        <f t="shared" si="12"/>
        <v>1.222637479978644</v>
      </c>
    </row>
    <row r="27" spans="1:14" ht="13.5" customHeight="1">
      <c r="A27" s="127" t="s">
        <v>26</v>
      </c>
      <c r="B27" s="105">
        <v>20497</v>
      </c>
      <c r="C27" s="104">
        <v>140</v>
      </c>
      <c r="D27" s="97">
        <f t="shared" si="8"/>
        <v>20637</v>
      </c>
      <c r="E27" s="105">
        <v>22539</v>
      </c>
      <c r="F27" s="104">
        <v>160</v>
      </c>
      <c r="G27" s="121">
        <f t="shared" si="9"/>
        <v>22699</v>
      </c>
      <c r="H27" s="98">
        <f t="shared" si="2"/>
        <v>2062</v>
      </c>
      <c r="I27" s="99">
        <f t="shared" si="11"/>
        <v>1.0999176236856132</v>
      </c>
      <c r="J27" s="105">
        <f>J28+J31</f>
        <v>24740</v>
      </c>
      <c r="K27" s="104">
        <v>175</v>
      </c>
      <c r="L27" s="124">
        <f t="shared" si="10"/>
        <v>24915</v>
      </c>
      <c r="M27" s="98">
        <f t="shared" si="4"/>
        <v>2216</v>
      </c>
      <c r="N27" s="101">
        <f t="shared" si="12"/>
        <v>1.0976254460548922</v>
      </c>
    </row>
    <row r="28" spans="1:14" ht="13.5" customHeight="1">
      <c r="A28" s="106" t="s">
        <v>27</v>
      </c>
      <c r="B28" s="103">
        <v>14973</v>
      </c>
      <c r="C28" s="104">
        <v>104</v>
      </c>
      <c r="D28" s="97">
        <f t="shared" si="8"/>
        <v>15077</v>
      </c>
      <c r="E28" s="103">
        <v>16477</v>
      </c>
      <c r="F28" s="104">
        <v>118</v>
      </c>
      <c r="G28" s="121">
        <f t="shared" si="9"/>
        <v>16595</v>
      </c>
      <c r="H28" s="98">
        <f t="shared" si="2"/>
        <v>1518</v>
      </c>
      <c r="I28" s="99">
        <f t="shared" si="11"/>
        <v>1.100683159779797</v>
      </c>
      <c r="J28" s="126">
        <f>J29+J30</f>
        <v>18120</v>
      </c>
      <c r="K28" s="128">
        <v>130</v>
      </c>
      <c r="L28" s="124">
        <f t="shared" si="10"/>
        <v>18250</v>
      </c>
      <c r="M28" s="98">
        <f t="shared" si="4"/>
        <v>1655</v>
      </c>
      <c r="N28" s="101">
        <f t="shared" si="12"/>
        <v>1.0997288339861404</v>
      </c>
    </row>
    <row r="29" spans="1:14" ht="13.5" customHeight="1">
      <c r="A29" s="127" t="s">
        <v>28</v>
      </c>
      <c r="B29" s="103">
        <v>14917</v>
      </c>
      <c r="C29" s="104">
        <v>104</v>
      </c>
      <c r="D29" s="97">
        <f t="shared" si="8"/>
        <v>15021</v>
      </c>
      <c r="E29" s="103">
        <v>16380</v>
      </c>
      <c r="F29" s="104">
        <v>118</v>
      </c>
      <c r="G29" s="121">
        <f t="shared" si="9"/>
        <v>16498</v>
      </c>
      <c r="H29" s="98">
        <f t="shared" si="2"/>
        <v>1477</v>
      </c>
      <c r="I29" s="99">
        <f t="shared" si="11"/>
        <v>1.0983290060581852</v>
      </c>
      <c r="J29" s="105">
        <v>18040</v>
      </c>
      <c r="K29" s="104">
        <v>130</v>
      </c>
      <c r="L29" s="124">
        <f t="shared" si="10"/>
        <v>18170</v>
      </c>
      <c r="M29" s="98">
        <f t="shared" si="4"/>
        <v>1672</v>
      </c>
      <c r="N29" s="101">
        <f t="shared" si="12"/>
        <v>1.1013456176506242</v>
      </c>
    </row>
    <row r="30" spans="1:14" ht="13.5" customHeight="1">
      <c r="A30" s="106" t="s">
        <v>29</v>
      </c>
      <c r="B30" s="103">
        <v>56</v>
      </c>
      <c r="C30" s="104"/>
      <c r="D30" s="97">
        <f t="shared" si="8"/>
        <v>56</v>
      </c>
      <c r="E30" s="103">
        <v>97</v>
      </c>
      <c r="F30" s="104"/>
      <c r="G30" s="121">
        <f t="shared" si="9"/>
        <v>97</v>
      </c>
      <c r="H30" s="98">
        <f t="shared" si="2"/>
        <v>41</v>
      </c>
      <c r="I30" s="99">
        <f t="shared" si="11"/>
        <v>1.7321428571428572</v>
      </c>
      <c r="J30" s="105">
        <v>80</v>
      </c>
      <c r="K30" s="104"/>
      <c r="L30" s="124">
        <f t="shared" si="10"/>
        <v>80</v>
      </c>
      <c r="M30" s="98">
        <f t="shared" si="4"/>
        <v>-17</v>
      </c>
      <c r="N30" s="101">
        <f t="shared" si="12"/>
        <v>0.8247422680412371</v>
      </c>
    </row>
    <row r="31" spans="1:14" ht="13.5" customHeight="1">
      <c r="A31" s="106" t="s">
        <v>30</v>
      </c>
      <c r="B31" s="103">
        <v>5524</v>
      </c>
      <c r="C31" s="104">
        <v>36</v>
      </c>
      <c r="D31" s="97">
        <f t="shared" si="8"/>
        <v>5560</v>
      </c>
      <c r="E31" s="103">
        <v>6062</v>
      </c>
      <c r="F31" s="104">
        <v>42</v>
      </c>
      <c r="G31" s="121">
        <f t="shared" si="9"/>
        <v>6104</v>
      </c>
      <c r="H31" s="98">
        <f t="shared" si="2"/>
        <v>544</v>
      </c>
      <c r="I31" s="99">
        <f t="shared" si="11"/>
        <v>1.097841726618705</v>
      </c>
      <c r="J31" s="105">
        <f>6455+210-45</f>
        <v>6620</v>
      </c>
      <c r="K31" s="104">
        <v>45</v>
      </c>
      <c r="L31" s="124">
        <f t="shared" si="10"/>
        <v>6665</v>
      </c>
      <c r="M31" s="98">
        <f t="shared" si="4"/>
        <v>561</v>
      </c>
      <c r="N31" s="101">
        <f t="shared" si="12"/>
        <v>1.0919069462647444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>
        <v>12</v>
      </c>
      <c r="F32" s="104"/>
      <c r="G32" s="121">
        <f t="shared" si="9"/>
        <v>12</v>
      </c>
      <c r="H32" s="98">
        <f t="shared" si="2"/>
        <v>12</v>
      </c>
      <c r="I32" s="99"/>
      <c r="J32" s="105">
        <v>10</v>
      </c>
      <c r="K32" s="104"/>
      <c r="L32" s="124">
        <f t="shared" si="10"/>
        <v>10</v>
      </c>
      <c r="M32" s="98">
        <f t="shared" si="4"/>
        <v>-2</v>
      </c>
      <c r="N32" s="101">
        <f t="shared" si="12"/>
        <v>0.8333333333333334</v>
      </c>
    </row>
    <row r="33" spans="1:14" ht="13.5" customHeight="1">
      <c r="A33" s="127" t="s">
        <v>32</v>
      </c>
      <c r="B33" s="103">
        <v>951</v>
      </c>
      <c r="C33" s="104"/>
      <c r="D33" s="97">
        <f t="shared" si="8"/>
        <v>951</v>
      </c>
      <c r="E33" s="103">
        <v>1313</v>
      </c>
      <c r="F33" s="104">
        <v>1</v>
      </c>
      <c r="G33" s="121">
        <f t="shared" si="9"/>
        <v>1314</v>
      </c>
      <c r="H33" s="98">
        <f t="shared" si="2"/>
        <v>363</v>
      </c>
      <c r="I33" s="99">
        <f t="shared" si="11"/>
        <v>1.3817034700315458</v>
      </c>
      <c r="J33" s="105">
        <v>911</v>
      </c>
      <c r="K33" s="104">
        <v>1</v>
      </c>
      <c r="L33" s="124">
        <f t="shared" si="10"/>
        <v>912</v>
      </c>
      <c r="M33" s="98">
        <f t="shared" si="4"/>
        <v>-402</v>
      </c>
      <c r="N33" s="101">
        <f t="shared" si="12"/>
        <v>0.6940639269406392</v>
      </c>
    </row>
    <row r="34" spans="1:14" ht="13.5" customHeight="1">
      <c r="A34" s="106" t="s">
        <v>33</v>
      </c>
      <c r="B34" s="103">
        <v>659</v>
      </c>
      <c r="C34" s="104">
        <v>9</v>
      </c>
      <c r="D34" s="97">
        <f t="shared" si="8"/>
        <v>668</v>
      </c>
      <c r="E34" s="103">
        <v>686</v>
      </c>
      <c r="F34" s="104">
        <v>13</v>
      </c>
      <c r="G34" s="121">
        <f t="shared" si="9"/>
        <v>699</v>
      </c>
      <c r="H34" s="98">
        <f t="shared" si="2"/>
        <v>31</v>
      </c>
      <c r="I34" s="99">
        <f t="shared" si="11"/>
        <v>1.0464071856287425</v>
      </c>
      <c r="J34" s="126">
        <v>755</v>
      </c>
      <c r="K34" s="104">
        <v>13</v>
      </c>
      <c r="L34" s="124">
        <f t="shared" si="10"/>
        <v>768</v>
      </c>
      <c r="M34" s="98">
        <f t="shared" si="4"/>
        <v>69</v>
      </c>
      <c r="N34" s="101">
        <f t="shared" si="12"/>
        <v>1.0987124463519313</v>
      </c>
    </row>
    <row r="35" spans="1:14" ht="22.5" customHeight="1">
      <c r="A35" s="106" t="s">
        <v>34</v>
      </c>
      <c r="B35" s="103">
        <v>659</v>
      </c>
      <c r="C35" s="104">
        <v>9</v>
      </c>
      <c r="D35" s="97">
        <f t="shared" si="8"/>
        <v>668</v>
      </c>
      <c r="E35" s="103">
        <v>686</v>
      </c>
      <c r="F35" s="104">
        <v>13</v>
      </c>
      <c r="G35" s="121">
        <f t="shared" si="9"/>
        <v>699</v>
      </c>
      <c r="H35" s="98">
        <f t="shared" si="2"/>
        <v>31</v>
      </c>
      <c r="I35" s="99">
        <f t="shared" si="11"/>
        <v>1.0464071856287425</v>
      </c>
      <c r="J35" s="126">
        <v>755</v>
      </c>
      <c r="K35" s="104">
        <v>13</v>
      </c>
      <c r="L35" s="124">
        <f t="shared" si="10"/>
        <v>768</v>
      </c>
      <c r="M35" s="98">
        <f t="shared" si="4"/>
        <v>69</v>
      </c>
      <c r="N35" s="101">
        <f t="shared" si="12"/>
        <v>1.0987124463519313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>
        <v>2</v>
      </c>
      <c r="F36" s="108"/>
      <c r="G36" s="121">
        <f t="shared" si="9"/>
        <v>2</v>
      </c>
      <c r="H36" s="109">
        <f t="shared" si="2"/>
        <v>2</v>
      </c>
      <c r="I36" s="110"/>
      <c r="J36" s="130"/>
      <c r="K36" s="108"/>
      <c r="L36" s="124">
        <f t="shared" si="10"/>
        <v>0</v>
      </c>
      <c r="M36" s="109">
        <f t="shared" si="4"/>
        <v>-2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34045</v>
      </c>
      <c r="C37" s="114">
        <f t="shared" si="13"/>
        <v>585</v>
      </c>
      <c r="D37" s="115">
        <f t="shared" si="13"/>
        <v>34630</v>
      </c>
      <c r="E37" s="113">
        <f t="shared" si="13"/>
        <v>36637</v>
      </c>
      <c r="F37" s="114">
        <f t="shared" si="13"/>
        <v>635</v>
      </c>
      <c r="G37" s="115">
        <f t="shared" si="13"/>
        <v>37272</v>
      </c>
      <c r="H37" s="116">
        <f t="shared" si="2"/>
        <v>2642</v>
      </c>
      <c r="I37" s="117">
        <f t="shared" si="11"/>
        <v>1.07629223216864</v>
      </c>
      <c r="J37" s="118">
        <f>SUM(J19+J21+J22+J23+J24+J27+J32+J33+J34+J36)</f>
        <v>40232</v>
      </c>
      <c r="K37" s="114">
        <f>SUM(K19+K21+K22+K23+K24+K27+K32+K33+K34+K36)</f>
        <v>660</v>
      </c>
      <c r="L37" s="115">
        <f>SUM(L19+L21+L22+L23+L24+L27+L32+L33+L34+L36)</f>
        <v>40892</v>
      </c>
      <c r="M37" s="116">
        <f t="shared" si="4"/>
        <v>3620</v>
      </c>
      <c r="N37" s="119">
        <f t="shared" si="12"/>
        <v>1.0971238463189525</v>
      </c>
    </row>
    <row r="38" spans="1:14" ht="13.5" customHeight="1" thickBot="1">
      <c r="A38" s="112" t="s">
        <v>37</v>
      </c>
      <c r="B38" s="470">
        <f>+D18-D37</f>
        <v>67</v>
      </c>
      <c r="C38" s="470"/>
      <c r="D38" s="470"/>
      <c r="E38" s="471">
        <v>66.19</v>
      </c>
      <c r="F38" s="471"/>
      <c r="G38" s="471">
        <v>-50784</v>
      </c>
      <c r="H38" s="131">
        <f>+E38-B38</f>
        <v>-0.8100000000000023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104</v>
      </c>
      <c r="B43" s="469"/>
      <c r="C43" s="134">
        <v>163</v>
      </c>
      <c r="D43" s="468" t="s">
        <v>458</v>
      </c>
      <c r="E43" s="468"/>
      <c r="F43" s="468"/>
      <c r="G43" s="135">
        <v>646</v>
      </c>
      <c r="H43" s="467" t="s">
        <v>209</v>
      </c>
      <c r="I43" s="467"/>
      <c r="J43" s="467"/>
      <c r="K43" s="467"/>
      <c r="L43" s="136">
        <v>675</v>
      </c>
      <c r="O43"/>
      <c r="P43"/>
    </row>
    <row r="44" spans="1:16" ht="12.75">
      <c r="A44" s="463" t="s">
        <v>104</v>
      </c>
      <c r="B44" s="463"/>
      <c r="C44" s="137">
        <v>163</v>
      </c>
      <c r="D44" s="468" t="s">
        <v>191</v>
      </c>
      <c r="E44" s="468"/>
      <c r="F44" s="468"/>
      <c r="G44" s="138">
        <v>163</v>
      </c>
      <c r="H44" s="467" t="s">
        <v>459</v>
      </c>
      <c r="I44" s="467"/>
      <c r="J44" s="467"/>
      <c r="K44" s="467"/>
      <c r="L44" s="136">
        <v>100</v>
      </c>
      <c r="O44"/>
      <c r="P44"/>
    </row>
    <row r="45" spans="1:16" ht="12.75">
      <c r="A45" s="463"/>
      <c r="B45" s="463"/>
      <c r="C45" s="137"/>
      <c r="D45" s="468" t="s">
        <v>460</v>
      </c>
      <c r="E45" s="468"/>
      <c r="F45" s="468"/>
      <c r="G45" s="138">
        <v>60</v>
      </c>
      <c r="H45" s="467" t="s">
        <v>461</v>
      </c>
      <c r="I45" s="467"/>
      <c r="J45" s="467"/>
      <c r="K45" s="467"/>
      <c r="L45" s="136">
        <v>140</v>
      </c>
      <c r="O45"/>
      <c r="P45"/>
    </row>
    <row r="46" spans="1:16" ht="12.75">
      <c r="A46" s="463"/>
      <c r="B46" s="463"/>
      <c r="C46" s="139"/>
      <c r="D46" s="463" t="s">
        <v>40</v>
      </c>
      <c r="E46" s="463"/>
      <c r="F46" s="463"/>
      <c r="G46" s="140">
        <v>432</v>
      </c>
      <c r="H46" s="464" t="s">
        <v>462</v>
      </c>
      <c r="I46" s="464"/>
      <c r="J46" s="464"/>
      <c r="K46" s="464"/>
      <c r="L46" s="136">
        <v>100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 t="s">
        <v>463</v>
      </c>
      <c r="I47" s="464"/>
      <c r="J47" s="464"/>
      <c r="K47" s="464"/>
      <c r="L47" s="136">
        <v>95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 t="s">
        <v>40</v>
      </c>
      <c r="I48" s="464"/>
      <c r="J48" s="464"/>
      <c r="K48" s="464"/>
      <c r="L48" s="136">
        <v>213</v>
      </c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326</v>
      </c>
      <c r="D50" s="451" t="s">
        <v>3</v>
      </c>
      <c r="E50" s="451"/>
      <c r="F50" s="451"/>
      <c r="G50" s="141">
        <f>SUM(G43:G49)</f>
        <v>1301</v>
      </c>
      <c r="H50" s="452" t="s">
        <v>3</v>
      </c>
      <c r="I50" s="452"/>
      <c r="J50" s="452"/>
      <c r="K50" s="452"/>
      <c r="L50" s="141">
        <f>SUM(L43:L49)</f>
        <v>1323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606"/>
      <c r="B53" s="581"/>
      <c r="C53" s="607"/>
      <c r="D53" s="608"/>
      <c r="E53" s="608"/>
      <c r="F53" s="608"/>
      <c r="G53" s="609"/>
      <c r="H53" s="462"/>
      <c r="I53" s="462"/>
      <c r="J53" s="462"/>
      <c r="K53" s="462"/>
      <c r="L53" s="429"/>
      <c r="O53"/>
      <c r="P53"/>
    </row>
    <row r="54" spans="1:16" ht="12.75">
      <c r="A54" s="604" t="s">
        <v>107</v>
      </c>
      <c r="B54" s="605"/>
      <c r="C54" s="408">
        <v>217</v>
      </c>
      <c r="D54" s="604" t="s">
        <v>107</v>
      </c>
      <c r="E54" s="605"/>
      <c r="F54" s="605"/>
      <c r="G54" s="411">
        <v>147</v>
      </c>
      <c r="H54" s="448" t="s">
        <v>464</v>
      </c>
      <c r="I54" s="449"/>
      <c r="J54" s="449"/>
      <c r="K54" s="449"/>
      <c r="L54" s="335">
        <v>90</v>
      </c>
      <c r="O54"/>
      <c r="P54"/>
    </row>
    <row r="55" spans="1:16" ht="13.5" customHeight="1">
      <c r="A55" s="508" t="s">
        <v>106</v>
      </c>
      <c r="B55" s="428"/>
      <c r="C55" s="409">
        <v>433</v>
      </c>
      <c r="D55" s="508" t="s">
        <v>106</v>
      </c>
      <c r="E55" s="428"/>
      <c r="F55" s="428"/>
      <c r="G55" s="334">
        <v>243</v>
      </c>
      <c r="H55" s="439" t="s">
        <v>557</v>
      </c>
      <c r="I55" s="440"/>
      <c r="J55" s="440"/>
      <c r="K55" s="440"/>
      <c r="L55" s="336">
        <v>10</v>
      </c>
      <c r="O55"/>
      <c r="P55"/>
    </row>
    <row r="56" spans="1:16" ht="13.5" customHeight="1">
      <c r="A56" s="508" t="s">
        <v>465</v>
      </c>
      <c r="B56" s="428"/>
      <c r="C56" s="409">
        <v>147</v>
      </c>
      <c r="D56" s="508" t="s">
        <v>465</v>
      </c>
      <c r="E56" s="428"/>
      <c r="F56" s="428"/>
      <c r="G56" s="334">
        <v>166</v>
      </c>
      <c r="H56" s="439" t="s">
        <v>466</v>
      </c>
      <c r="I56" s="440"/>
      <c r="J56" s="440"/>
      <c r="K56" s="440"/>
      <c r="L56" s="336">
        <v>160</v>
      </c>
      <c r="O56"/>
      <c r="P56"/>
    </row>
    <row r="57" spans="1:16" ht="13.5" customHeight="1">
      <c r="A57" s="508" t="s">
        <v>108</v>
      </c>
      <c r="B57" s="428"/>
      <c r="C57" s="409">
        <v>33</v>
      </c>
      <c r="D57" s="508" t="s">
        <v>108</v>
      </c>
      <c r="E57" s="428"/>
      <c r="F57" s="428"/>
      <c r="G57" s="334">
        <v>34</v>
      </c>
      <c r="H57" s="439" t="s">
        <v>98</v>
      </c>
      <c r="I57" s="440"/>
      <c r="J57" s="440"/>
      <c r="K57" s="440"/>
      <c r="L57" s="336">
        <v>75</v>
      </c>
      <c r="O57"/>
      <c r="P57"/>
    </row>
    <row r="58" spans="1:16" ht="13.5" customHeight="1">
      <c r="A58" s="508" t="s">
        <v>467</v>
      </c>
      <c r="B58" s="428"/>
      <c r="C58" s="409">
        <v>35</v>
      </c>
      <c r="D58" s="508" t="s">
        <v>105</v>
      </c>
      <c r="E58" s="428"/>
      <c r="F58" s="428"/>
      <c r="G58" s="334">
        <v>99</v>
      </c>
      <c r="H58" s="439" t="s">
        <v>108</v>
      </c>
      <c r="I58" s="440"/>
      <c r="J58" s="440"/>
      <c r="K58" s="440"/>
      <c r="L58" s="336">
        <v>30</v>
      </c>
      <c r="O58"/>
      <c r="P58"/>
    </row>
    <row r="59" spans="1:16" ht="13.5" customHeight="1">
      <c r="A59" s="508"/>
      <c r="B59" s="428"/>
      <c r="C59" s="409"/>
      <c r="D59" s="508" t="s">
        <v>468</v>
      </c>
      <c r="E59" s="428"/>
      <c r="F59" s="428"/>
      <c r="G59" s="334">
        <v>80</v>
      </c>
      <c r="H59" s="439" t="s">
        <v>558</v>
      </c>
      <c r="I59" s="440"/>
      <c r="J59" s="440"/>
      <c r="K59" s="440"/>
      <c r="L59" s="336">
        <v>180</v>
      </c>
      <c r="O59"/>
      <c r="P59"/>
    </row>
    <row r="60" spans="1:16" ht="13.5" customHeight="1">
      <c r="A60" s="508"/>
      <c r="B60" s="428"/>
      <c r="C60" s="409"/>
      <c r="D60" s="508" t="s">
        <v>469</v>
      </c>
      <c r="E60" s="428"/>
      <c r="F60" s="428"/>
      <c r="G60" s="334">
        <v>61</v>
      </c>
      <c r="H60" s="439" t="s">
        <v>105</v>
      </c>
      <c r="I60" s="440"/>
      <c r="J60" s="440"/>
      <c r="K60" s="440"/>
      <c r="L60" s="336">
        <v>40</v>
      </c>
      <c r="O60"/>
      <c r="P60"/>
    </row>
    <row r="61" spans="1:16" ht="12.75">
      <c r="A61" s="508"/>
      <c r="B61" s="428"/>
      <c r="C61" s="409"/>
      <c r="D61" s="508"/>
      <c r="E61" s="428"/>
      <c r="F61" s="428"/>
      <c r="G61" s="334"/>
      <c r="H61" s="439" t="s">
        <v>109</v>
      </c>
      <c r="I61" s="440"/>
      <c r="J61" s="440"/>
      <c r="K61" s="440"/>
      <c r="L61" s="336">
        <v>65</v>
      </c>
      <c r="O61"/>
      <c r="P61"/>
    </row>
    <row r="62" spans="1:16" ht="12.75">
      <c r="A62" s="508"/>
      <c r="B62" s="428"/>
      <c r="C62" s="409"/>
      <c r="D62" s="508"/>
      <c r="E62" s="428"/>
      <c r="F62" s="428"/>
      <c r="G62" s="334"/>
      <c r="H62" s="439" t="s">
        <v>545</v>
      </c>
      <c r="I62" s="440"/>
      <c r="J62" s="440"/>
      <c r="K62" s="440"/>
      <c r="L62" s="336">
        <v>200</v>
      </c>
      <c r="O62"/>
      <c r="P62"/>
    </row>
    <row r="63" spans="1:16" ht="13.5" thickBot="1">
      <c r="A63" s="600" t="s">
        <v>3</v>
      </c>
      <c r="B63" s="601"/>
      <c r="C63" s="410">
        <f>SUM(C54:C61)</f>
        <v>865</v>
      </c>
      <c r="D63" s="600" t="s">
        <v>3</v>
      </c>
      <c r="E63" s="601"/>
      <c r="F63" s="601"/>
      <c r="G63" s="410">
        <f>SUM(G54:G61)</f>
        <v>830</v>
      </c>
      <c r="H63" s="602" t="s">
        <v>3</v>
      </c>
      <c r="I63" s="603"/>
      <c r="J63" s="603"/>
      <c r="K63" s="603"/>
      <c r="L63" s="407">
        <f>SUM(L54:L62)</f>
        <v>850</v>
      </c>
      <c r="M63" s="20"/>
      <c r="N63" s="20"/>
      <c r="O63"/>
      <c r="P63"/>
    </row>
    <row r="64" spans="1:14" s="1" customFormat="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13.5" thickBo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s="1" customFormat="1" ht="26.25" customHeight="1" thickBot="1">
      <c r="A66" s="499" t="s">
        <v>509</v>
      </c>
      <c r="B66" s="500"/>
      <c r="C66" s="500"/>
      <c r="D66" s="500"/>
      <c r="E66" s="501"/>
      <c r="F66" s="502" t="s">
        <v>510</v>
      </c>
      <c r="G66" s="503"/>
      <c r="H66" s="503"/>
      <c r="I66" s="503"/>
      <c r="J66" s="503"/>
      <c r="K66" s="503"/>
      <c r="L66" s="504"/>
      <c r="M66" s="22"/>
      <c r="N66" s="22"/>
    </row>
    <row r="67" spans="1:14" s="1" customFormat="1" ht="14.25" customHeight="1" thickBot="1">
      <c r="A67" s="58" t="s">
        <v>68</v>
      </c>
      <c r="B67" s="59" t="s">
        <v>122</v>
      </c>
      <c r="C67" s="505" t="s">
        <v>69</v>
      </c>
      <c r="D67" s="505"/>
      <c r="E67" s="60" t="s">
        <v>123</v>
      </c>
      <c r="F67" s="506" t="s">
        <v>68</v>
      </c>
      <c r="G67" s="507"/>
      <c r="H67" s="59" t="s">
        <v>122</v>
      </c>
      <c r="I67" s="505" t="s">
        <v>69</v>
      </c>
      <c r="J67" s="505"/>
      <c r="K67" s="505"/>
      <c r="L67" s="61" t="s">
        <v>123</v>
      </c>
      <c r="M67" s="22"/>
      <c r="N67" s="22"/>
    </row>
    <row r="68" spans="1:14" s="1" customFormat="1" ht="12.75">
      <c r="A68" s="62" t="s">
        <v>126</v>
      </c>
      <c r="B68" s="56">
        <v>231</v>
      </c>
      <c r="C68" s="483" t="s">
        <v>129</v>
      </c>
      <c r="D68" s="483"/>
      <c r="E68" s="63">
        <v>285</v>
      </c>
      <c r="F68" s="484" t="s">
        <v>126</v>
      </c>
      <c r="G68" s="485"/>
      <c r="H68" s="56">
        <v>16</v>
      </c>
      <c r="I68" s="483" t="s">
        <v>129</v>
      </c>
      <c r="J68" s="485"/>
      <c r="K68" s="485"/>
      <c r="L68" s="63">
        <v>0</v>
      </c>
      <c r="M68" s="22"/>
      <c r="N68" s="22"/>
    </row>
    <row r="69" spans="1:14" s="1" customFormat="1" ht="12.75">
      <c r="A69" s="64" t="s">
        <v>124</v>
      </c>
      <c r="B69" s="57">
        <v>54</v>
      </c>
      <c r="C69" s="478" t="s">
        <v>511</v>
      </c>
      <c r="D69" s="478"/>
      <c r="E69" s="65">
        <v>5</v>
      </c>
      <c r="F69" s="486" t="s">
        <v>127</v>
      </c>
      <c r="G69" s="479"/>
      <c r="H69" s="57">
        <v>46.19</v>
      </c>
      <c r="I69" s="478"/>
      <c r="J69" s="479"/>
      <c r="K69" s="479"/>
      <c r="L69" s="65"/>
      <c r="M69" s="22"/>
      <c r="N69" s="22"/>
    </row>
    <row r="70" spans="1:14" s="1" customFormat="1" ht="12.75">
      <c r="A70" s="64" t="s">
        <v>125</v>
      </c>
      <c r="B70" s="57">
        <v>21</v>
      </c>
      <c r="C70" s="478"/>
      <c r="D70" s="478"/>
      <c r="E70" s="65"/>
      <c r="F70" s="478" t="s">
        <v>125</v>
      </c>
      <c r="G70" s="478"/>
      <c r="H70" s="57"/>
      <c r="I70" s="478"/>
      <c r="J70" s="479"/>
      <c r="K70" s="479"/>
      <c r="L70" s="65"/>
      <c r="M70" s="22"/>
      <c r="N70" s="22"/>
    </row>
    <row r="71" spans="1:14" s="1" customFormat="1" ht="13.5" thickBot="1">
      <c r="A71" s="68"/>
      <c r="B71" s="67"/>
      <c r="C71" s="480"/>
      <c r="D71" s="480"/>
      <c r="E71" s="69"/>
      <c r="F71" s="481"/>
      <c r="G71" s="482"/>
      <c r="H71" s="67"/>
      <c r="I71" s="480"/>
      <c r="J71" s="482"/>
      <c r="K71" s="482"/>
      <c r="L71" s="69"/>
      <c r="M71" s="22"/>
      <c r="N71" s="22"/>
    </row>
    <row r="72" spans="1:14" s="1" customFormat="1" ht="13.5" thickBot="1">
      <c r="A72" s="76" t="s">
        <v>3</v>
      </c>
      <c r="B72" s="77">
        <f>SUM(B68:B71)</f>
        <v>306</v>
      </c>
      <c r="C72" s="473" t="s">
        <v>3</v>
      </c>
      <c r="D72" s="473"/>
      <c r="E72" s="70">
        <f>SUM(E68:E71)</f>
        <v>290</v>
      </c>
      <c r="F72" s="474" t="s">
        <v>3</v>
      </c>
      <c r="G72" s="475"/>
      <c r="H72" s="66">
        <f>SUM(H68:H71)</f>
        <v>62.19</v>
      </c>
      <c r="I72" s="473" t="s">
        <v>3</v>
      </c>
      <c r="J72" s="475"/>
      <c r="K72" s="475"/>
      <c r="L72" s="70">
        <f>SUM(L68:L71)</f>
        <v>0</v>
      </c>
      <c r="M72" s="22"/>
      <c r="N72" s="22"/>
    </row>
    <row r="73" spans="1:14" s="1" customFormat="1" ht="13.5" thickBot="1">
      <c r="A73" s="78" t="s">
        <v>212</v>
      </c>
      <c r="B73" s="79">
        <f>B72-E72</f>
        <v>16</v>
      </c>
      <c r="C73" s="22"/>
      <c r="D73" s="22"/>
      <c r="E73" s="22"/>
      <c r="F73" s="476" t="s">
        <v>212</v>
      </c>
      <c r="G73" s="477"/>
      <c r="H73" s="80">
        <f>H72-L72</f>
        <v>62.19</v>
      </c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2" s="1" customFormat="1" ht="12.75">
      <c r="A76" s="23"/>
      <c r="B76" s="24"/>
      <c r="C76" s="24"/>
      <c r="D76" s="24"/>
      <c r="E76" s="2"/>
      <c r="F76" s="4"/>
      <c r="G76" s="4"/>
      <c r="H76" s="23"/>
      <c r="I76" s="24"/>
      <c r="J76" s="24"/>
      <c r="K76" s="24"/>
      <c r="L76" s="2"/>
    </row>
    <row r="77" spans="1:12" s="1" customFormat="1" ht="13.5" thickBot="1">
      <c r="A77" s="23"/>
      <c r="B77" s="24"/>
      <c r="C77" s="24"/>
      <c r="D77" s="24"/>
      <c r="E77" s="2"/>
      <c r="F77" s="4"/>
      <c r="G77" s="4"/>
      <c r="H77" s="23"/>
      <c r="I77" s="24"/>
      <c r="J77" s="24" t="s">
        <v>215</v>
      </c>
      <c r="K77" s="24"/>
      <c r="L77" s="2"/>
    </row>
    <row r="78" spans="1:15" s="1" customFormat="1" ht="12.75">
      <c r="A78" s="519" t="s">
        <v>64</v>
      </c>
      <c r="B78" s="522" t="s">
        <v>245</v>
      </c>
      <c r="C78" s="525" t="s">
        <v>246</v>
      </c>
      <c r="D78" s="526"/>
      <c r="E78" s="526"/>
      <c r="F78" s="526"/>
      <c r="G78" s="526"/>
      <c r="H78" s="526"/>
      <c r="I78" s="527"/>
      <c r="J78" s="528" t="s">
        <v>247</v>
      </c>
      <c r="K78" s="7"/>
      <c r="L78" s="531" t="s">
        <v>41</v>
      </c>
      <c r="M78" s="532"/>
      <c r="N78" s="83">
        <v>2005</v>
      </c>
      <c r="O78" s="84">
        <v>2006</v>
      </c>
    </row>
    <row r="79" spans="1:15" s="1" customFormat="1" ht="12.75">
      <c r="A79" s="520"/>
      <c r="B79" s="523"/>
      <c r="C79" s="533" t="s">
        <v>65</v>
      </c>
      <c r="D79" s="535" t="s">
        <v>66</v>
      </c>
      <c r="E79" s="536"/>
      <c r="F79" s="536"/>
      <c r="G79" s="536"/>
      <c r="H79" s="536"/>
      <c r="I79" s="537"/>
      <c r="J79" s="529"/>
      <c r="K79" s="7"/>
      <c r="L79" s="87" t="s">
        <v>128</v>
      </c>
      <c r="M79" s="86"/>
      <c r="N79" s="82"/>
      <c r="O79" s="85"/>
    </row>
    <row r="80" spans="1:15" s="1" customFormat="1" ht="13.5" thickBot="1">
      <c r="A80" s="521"/>
      <c r="B80" s="524"/>
      <c r="C80" s="534"/>
      <c r="D80" s="28">
        <v>1</v>
      </c>
      <c r="E80" s="28">
        <v>2</v>
      </c>
      <c r="F80" s="28">
        <v>3</v>
      </c>
      <c r="G80" s="28">
        <v>4</v>
      </c>
      <c r="H80" s="28">
        <v>5</v>
      </c>
      <c r="I80" s="75">
        <v>6</v>
      </c>
      <c r="J80" s="530"/>
      <c r="K80" s="7"/>
      <c r="L80" s="86" t="s">
        <v>42</v>
      </c>
      <c r="M80" s="87"/>
      <c r="N80" s="25">
        <v>0</v>
      </c>
      <c r="O80" s="26">
        <v>0</v>
      </c>
    </row>
    <row r="81" spans="1:15" s="1" customFormat="1" ht="13.5" thickBot="1">
      <c r="A81" s="29">
        <v>28260</v>
      </c>
      <c r="B81" s="30">
        <v>10407</v>
      </c>
      <c r="C81" s="73">
        <f>SUM(D81:I81)</f>
        <v>768</v>
      </c>
      <c r="D81" s="74">
        <v>204</v>
      </c>
      <c r="E81" s="74">
        <v>192</v>
      </c>
      <c r="F81" s="74">
        <v>159</v>
      </c>
      <c r="G81" s="74"/>
      <c r="H81" s="73">
        <v>213</v>
      </c>
      <c r="I81" s="81"/>
      <c r="J81" s="31">
        <f>SUM(A81-B81-C81)</f>
        <v>17085</v>
      </c>
      <c r="K81" s="7"/>
      <c r="L81" s="88" t="s">
        <v>43</v>
      </c>
      <c r="M81" s="89"/>
      <c r="N81" s="71">
        <v>0</v>
      </c>
      <c r="O81" s="72">
        <v>0</v>
      </c>
    </row>
    <row r="82" spans="1:12" s="1" customFormat="1" ht="12.75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"/>
    </row>
    <row r="83" spans="1:12" s="1" customFormat="1" ht="13.5" thickBot="1">
      <c r="A83" s="23"/>
      <c r="B83" s="24"/>
      <c r="C83" s="24"/>
      <c r="D83" s="24"/>
      <c r="E83" s="2"/>
      <c r="F83" s="227"/>
      <c r="G83" s="4"/>
      <c r="H83" s="23"/>
      <c r="I83" s="24"/>
      <c r="J83" s="24"/>
      <c r="K83" s="24"/>
      <c r="L83" s="24" t="s">
        <v>215</v>
      </c>
    </row>
    <row r="84" spans="1:12" s="1" customFormat="1" ht="12.75">
      <c r="A84" s="543" t="s">
        <v>95</v>
      </c>
      <c r="B84" s="545" t="s">
        <v>248</v>
      </c>
      <c r="C84" s="547" t="s">
        <v>249</v>
      </c>
      <c r="D84" s="548"/>
      <c r="E84" s="548"/>
      <c r="F84" s="549"/>
      <c r="G84" s="550" t="s">
        <v>250</v>
      </c>
      <c r="H84" s="538" t="s">
        <v>67</v>
      </c>
      <c r="I84" s="540" t="s">
        <v>251</v>
      </c>
      <c r="J84" s="541"/>
      <c r="K84" s="541"/>
      <c r="L84" s="542"/>
    </row>
    <row r="85" spans="1:12" s="1" customFormat="1" ht="18.75" thickBot="1">
      <c r="A85" s="544"/>
      <c r="B85" s="546"/>
      <c r="C85" s="32" t="s">
        <v>204</v>
      </c>
      <c r="D85" s="33" t="s">
        <v>68</v>
      </c>
      <c r="E85" s="33" t="s">
        <v>69</v>
      </c>
      <c r="F85" s="34" t="s">
        <v>205</v>
      </c>
      <c r="G85" s="551"/>
      <c r="H85" s="539"/>
      <c r="I85" s="200" t="s">
        <v>252</v>
      </c>
      <c r="J85" s="201" t="s">
        <v>68</v>
      </c>
      <c r="K85" s="201" t="s">
        <v>69</v>
      </c>
      <c r="L85" s="202" t="s">
        <v>253</v>
      </c>
    </row>
    <row r="86" spans="1:12" s="1" customFormat="1" ht="12.75">
      <c r="A86" s="35" t="s">
        <v>70</v>
      </c>
      <c r="B86" s="36">
        <v>2394</v>
      </c>
      <c r="C86" s="37" t="s">
        <v>71</v>
      </c>
      <c r="D86" s="38" t="s">
        <v>71</v>
      </c>
      <c r="E86" s="38" t="s">
        <v>71</v>
      </c>
      <c r="F86" s="39" t="s">
        <v>71</v>
      </c>
      <c r="G86" s="40">
        <v>3174</v>
      </c>
      <c r="H86" s="197" t="s">
        <v>71</v>
      </c>
      <c r="I86" s="203" t="s">
        <v>71</v>
      </c>
      <c r="J86" s="204" t="s">
        <v>71</v>
      </c>
      <c r="K86" s="204" t="s">
        <v>71</v>
      </c>
      <c r="L86" s="205" t="s">
        <v>71</v>
      </c>
    </row>
    <row r="87" spans="1:12" s="1" customFormat="1" ht="12.75">
      <c r="A87" s="41" t="s">
        <v>72</v>
      </c>
      <c r="B87" s="42">
        <v>31</v>
      </c>
      <c r="C87" s="43">
        <v>31</v>
      </c>
      <c r="D87" s="44">
        <v>13</v>
      </c>
      <c r="E87" s="44">
        <v>31</v>
      </c>
      <c r="F87" s="45">
        <f>C87+D87-E87</f>
        <v>13</v>
      </c>
      <c r="G87" s="46">
        <v>13</v>
      </c>
      <c r="H87" s="198">
        <f>+G87-F87</f>
        <v>0</v>
      </c>
      <c r="I87" s="43">
        <v>13</v>
      </c>
      <c r="J87" s="44">
        <v>20</v>
      </c>
      <c r="K87" s="44">
        <v>0</v>
      </c>
      <c r="L87" s="45">
        <f>I87+J87-K87</f>
        <v>33</v>
      </c>
    </row>
    <row r="88" spans="1:12" s="1" customFormat="1" ht="12.75">
      <c r="A88" s="41" t="s">
        <v>73</v>
      </c>
      <c r="B88" s="42">
        <v>231</v>
      </c>
      <c r="C88" s="43">
        <v>231</v>
      </c>
      <c r="D88" s="44">
        <v>75</v>
      </c>
      <c r="E88" s="44">
        <v>290</v>
      </c>
      <c r="F88" s="45">
        <f>C88+D88-E88</f>
        <v>16</v>
      </c>
      <c r="G88" s="46">
        <v>16</v>
      </c>
      <c r="H88" s="198">
        <f>+G88-F88</f>
        <v>0</v>
      </c>
      <c r="I88" s="395">
        <v>16</v>
      </c>
      <c r="J88" s="396">
        <v>46.19</v>
      </c>
      <c r="K88" s="396">
        <v>0</v>
      </c>
      <c r="L88" s="397">
        <f>I88+J88-K88</f>
        <v>62.19</v>
      </c>
    </row>
    <row r="89" spans="1:12" s="1" customFormat="1" ht="12.75">
      <c r="A89" s="41" t="s">
        <v>96</v>
      </c>
      <c r="B89" s="42">
        <v>160</v>
      </c>
      <c r="C89" s="43">
        <v>160</v>
      </c>
      <c r="D89" s="44">
        <v>1850</v>
      </c>
      <c r="E89" s="44">
        <v>1301</v>
      </c>
      <c r="F89" s="45">
        <f>C89+D89-E89</f>
        <v>709</v>
      </c>
      <c r="G89" s="46">
        <v>709</v>
      </c>
      <c r="H89" s="198">
        <f>+G89-F89</f>
        <v>0</v>
      </c>
      <c r="I89" s="206">
        <v>709</v>
      </c>
      <c r="J89" s="196">
        <v>768</v>
      </c>
      <c r="K89" s="196">
        <v>1323</v>
      </c>
      <c r="L89" s="45">
        <f>I89+J89-K89</f>
        <v>154</v>
      </c>
    </row>
    <row r="90" spans="1:12" s="1" customFormat="1" ht="12.75">
      <c r="A90" s="41" t="s">
        <v>74</v>
      </c>
      <c r="B90" s="42">
        <v>1972</v>
      </c>
      <c r="C90" s="53" t="s">
        <v>71</v>
      </c>
      <c r="D90" s="38" t="s">
        <v>71</v>
      </c>
      <c r="E90" s="54" t="s">
        <v>71</v>
      </c>
      <c r="F90" s="55" t="s">
        <v>71</v>
      </c>
      <c r="G90" s="46">
        <v>2436</v>
      </c>
      <c r="H90" s="53" t="s">
        <v>71</v>
      </c>
      <c r="I90" s="37" t="s">
        <v>71</v>
      </c>
      <c r="J90" s="38" t="s">
        <v>71</v>
      </c>
      <c r="K90" s="38" t="s">
        <v>71</v>
      </c>
      <c r="L90" s="207">
        <v>0</v>
      </c>
    </row>
    <row r="91" spans="1:12" s="1" customFormat="1" ht="13.5" thickBot="1">
      <c r="A91" s="47" t="s">
        <v>75</v>
      </c>
      <c r="B91" s="48">
        <v>108</v>
      </c>
      <c r="C91" s="49">
        <v>133</v>
      </c>
      <c r="D91" s="50">
        <v>330</v>
      </c>
      <c r="E91" s="50">
        <v>311</v>
      </c>
      <c r="F91" s="51">
        <f>C91+D91-E91</f>
        <v>152</v>
      </c>
      <c r="G91" s="52">
        <v>156</v>
      </c>
      <c r="H91" s="199">
        <f>+G91-F91</f>
        <v>4</v>
      </c>
      <c r="I91" s="49">
        <v>152</v>
      </c>
      <c r="J91" s="50">
        <v>350</v>
      </c>
      <c r="K91" s="50">
        <v>350</v>
      </c>
      <c r="L91" s="51">
        <f>I91+J91-K91</f>
        <v>152</v>
      </c>
    </row>
    <row r="92" spans="1:12" s="1" customFormat="1" ht="12.75">
      <c r="A92" s="23"/>
      <c r="B92" s="24"/>
      <c r="C92" s="24"/>
      <c r="D92" s="24"/>
      <c r="E92" s="2"/>
      <c r="F92" s="227"/>
      <c r="G92" s="4"/>
      <c r="H92" s="23"/>
      <c r="I92" s="24"/>
      <c r="J92" s="24"/>
      <c r="K92" s="24"/>
      <c r="L92" s="2"/>
    </row>
    <row r="93" spans="1:12" s="1" customFormat="1" ht="12.75">
      <c r="A93" s="23"/>
      <c r="B93" s="24"/>
      <c r="C93" s="24"/>
      <c r="D93" s="24"/>
      <c r="E93" s="2"/>
      <c r="F93" s="4"/>
      <c r="G93" s="4"/>
      <c r="H93" s="23"/>
      <c r="I93" s="24"/>
      <c r="J93" s="24"/>
      <c r="K93" s="24"/>
      <c r="L93" s="2"/>
    </row>
    <row r="94" spans="8:12" ht="13.5" thickBot="1">
      <c r="H94" s="24" t="s">
        <v>215</v>
      </c>
      <c r="L94" s="24" t="s">
        <v>215</v>
      </c>
    </row>
    <row r="95" spans="1:12" ht="13.5" thickBot="1">
      <c r="A95" s="421" t="s">
        <v>254</v>
      </c>
      <c r="B95" s="412" t="s">
        <v>3</v>
      </c>
      <c r="C95" s="429" t="s">
        <v>76</v>
      </c>
      <c r="D95" s="429"/>
      <c r="E95" s="429"/>
      <c r="F95" s="429"/>
      <c r="G95" s="429"/>
      <c r="H95" s="429"/>
      <c r="I95" s="27"/>
      <c r="J95" s="431" t="s">
        <v>44</v>
      </c>
      <c r="K95" s="431"/>
      <c r="L95" s="431"/>
    </row>
    <row r="96" spans="1:12" ht="13.5" thickBot="1">
      <c r="A96" s="421"/>
      <c r="B96" s="412"/>
      <c r="C96" s="150" t="s">
        <v>77</v>
      </c>
      <c r="D96" s="151" t="s">
        <v>78</v>
      </c>
      <c r="E96" s="151" t="s">
        <v>79</v>
      </c>
      <c r="F96" s="151" t="s">
        <v>80</v>
      </c>
      <c r="G96" s="152" t="s">
        <v>81</v>
      </c>
      <c r="H96" s="153" t="s">
        <v>65</v>
      </c>
      <c r="I96" s="27"/>
      <c r="J96" s="154"/>
      <c r="K96" s="155" t="s">
        <v>45</v>
      </c>
      <c r="L96" s="156" t="s">
        <v>46</v>
      </c>
    </row>
    <row r="97" spans="1:12" ht="12.75">
      <c r="A97" s="157" t="s">
        <v>82</v>
      </c>
      <c r="B97" s="158">
        <v>839</v>
      </c>
      <c r="C97" s="159"/>
      <c r="D97" s="159"/>
      <c r="E97" s="159"/>
      <c r="F97" s="159"/>
      <c r="G97" s="158"/>
      <c r="H97" s="160">
        <f>SUM(C97:G97)</f>
        <v>0</v>
      </c>
      <c r="I97" s="27"/>
      <c r="J97" s="161">
        <v>2006</v>
      </c>
      <c r="K97" s="162">
        <v>16467</v>
      </c>
      <c r="L97" s="163">
        <f>+G29</f>
        <v>16498</v>
      </c>
    </row>
    <row r="98" spans="1:12" ht="13.5" thickBot="1">
      <c r="A98" s="164" t="s">
        <v>83</v>
      </c>
      <c r="B98" s="165">
        <v>2660</v>
      </c>
      <c r="C98" s="166"/>
      <c r="D98" s="166"/>
      <c r="E98" s="166"/>
      <c r="F98" s="166"/>
      <c r="G98" s="165"/>
      <c r="H98" s="167">
        <f>SUM(C98:G98)</f>
        <v>0</v>
      </c>
      <c r="I98" s="27"/>
      <c r="J98" s="168">
        <v>2007</v>
      </c>
      <c r="K98" s="169">
        <f>L29</f>
        <v>18170</v>
      </c>
      <c r="L98" s="170"/>
    </row>
    <row r="99" ht="12.75" customHeight="1"/>
    <row r="100" ht="13.5" thickBot="1">
      <c r="J100" s="242" t="s">
        <v>255</v>
      </c>
    </row>
    <row r="101" spans="1:10" ht="21" customHeight="1" thickBot="1">
      <c r="A101" s="421" t="s">
        <v>47</v>
      </c>
      <c r="B101" s="422" t="s">
        <v>48</v>
      </c>
      <c r="C101" s="422"/>
      <c r="D101" s="422"/>
      <c r="E101" s="423" t="s">
        <v>134</v>
      </c>
      <c r="F101" s="423"/>
      <c r="G101" s="423"/>
      <c r="H101" s="430" t="s">
        <v>49</v>
      </c>
      <c r="I101" s="430"/>
      <c r="J101" s="430"/>
    </row>
    <row r="102" spans="1:10" ht="12.75">
      <c r="A102" s="421"/>
      <c r="B102" s="171">
        <v>2005</v>
      </c>
      <c r="C102" s="171">
        <v>2006</v>
      </c>
      <c r="D102" s="171" t="s">
        <v>50</v>
      </c>
      <c r="E102" s="171">
        <v>2005</v>
      </c>
      <c r="F102" s="171">
        <v>2006</v>
      </c>
      <c r="G102" s="172" t="s">
        <v>50</v>
      </c>
      <c r="H102" s="173">
        <v>2005</v>
      </c>
      <c r="I102" s="171">
        <v>2006</v>
      </c>
      <c r="J102" s="172" t="s">
        <v>50</v>
      </c>
    </row>
    <row r="103" spans="1:10" ht="18.75">
      <c r="A103" s="174" t="s">
        <v>51</v>
      </c>
      <c r="B103" s="175">
        <v>5</v>
      </c>
      <c r="C103" s="175">
        <v>5</v>
      </c>
      <c r="D103" s="175">
        <f aca="true" t="shared" si="14" ref="D103:D113">+C103-B103</f>
        <v>0</v>
      </c>
      <c r="E103" s="175">
        <v>5</v>
      </c>
      <c r="F103" s="175">
        <v>5</v>
      </c>
      <c r="G103" s="176">
        <f aca="true" t="shared" si="15" ref="G103:G113">+F103-E103</f>
        <v>0</v>
      </c>
      <c r="H103" s="177">
        <v>19696</v>
      </c>
      <c r="I103" s="178">
        <v>20619</v>
      </c>
      <c r="J103" s="179">
        <f aca="true" t="shared" si="16" ref="J103:J113">+I103-H103</f>
        <v>923</v>
      </c>
    </row>
    <row r="104" spans="1:10" ht="12.75">
      <c r="A104" s="174" t="s">
        <v>85</v>
      </c>
      <c r="B104" s="175">
        <v>27.35</v>
      </c>
      <c r="C104" s="175">
        <v>28.53</v>
      </c>
      <c r="D104" s="175">
        <f t="shared" si="14"/>
        <v>1.1799999999999997</v>
      </c>
      <c r="E104" s="175">
        <v>29</v>
      </c>
      <c r="F104" s="175">
        <v>29</v>
      </c>
      <c r="G104" s="176">
        <f t="shared" si="15"/>
        <v>0</v>
      </c>
      <c r="H104" s="177">
        <v>17694</v>
      </c>
      <c r="I104" s="180">
        <v>18094</v>
      </c>
      <c r="J104" s="179">
        <f t="shared" si="16"/>
        <v>400</v>
      </c>
    </row>
    <row r="105" spans="1:10" ht="12.75">
      <c r="A105" s="174" t="s">
        <v>52</v>
      </c>
      <c r="B105" s="175">
        <v>3</v>
      </c>
      <c r="C105" s="175">
        <v>3</v>
      </c>
      <c r="D105" s="175">
        <f t="shared" si="14"/>
        <v>0</v>
      </c>
      <c r="E105" s="175">
        <v>3</v>
      </c>
      <c r="F105" s="175">
        <v>3</v>
      </c>
      <c r="G105" s="176">
        <f t="shared" si="15"/>
        <v>0</v>
      </c>
      <c r="H105" s="177">
        <v>17106</v>
      </c>
      <c r="I105" s="180">
        <v>18800</v>
      </c>
      <c r="J105" s="179">
        <f t="shared" si="16"/>
        <v>1694</v>
      </c>
    </row>
    <row r="106" spans="1:10" ht="12.75">
      <c r="A106" s="174" t="s">
        <v>53</v>
      </c>
      <c r="B106" s="175">
        <v>8</v>
      </c>
      <c r="C106" s="175">
        <v>7.28</v>
      </c>
      <c r="D106" s="175">
        <f t="shared" si="14"/>
        <v>-0.7199999999999998</v>
      </c>
      <c r="E106" s="175">
        <v>8</v>
      </c>
      <c r="F106" s="175">
        <v>8</v>
      </c>
      <c r="G106" s="176">
        <f t="shared" si="15"/>
        <v>0</v>
      </c>
      <c r="H106" s="177">
        <v>12441</v>
      </c>
      <c r="I106" s="180">
        <v>13933</v>
      </c>
      <c r="J106" s="179">
        <f t="shared" si="16"/>
        <v>1492</v>
      </c>
    </row>
    <row r="107" spans="1:10" ht="12.75">
      <c r="A107" s="174" t="s">
        <v>86</v>
      </c>
      <c r="B107" s="175">
        <v>0.5</v>
      </c>
      <c r="C107" s="175">
        <v>0.5</v>
      </c>
      <c r="D107" s="175">
        <f t="shared" si="14"/>
        <v>0</v>
      </c>
      <c r="E107" s="175">
        <v>0.5</v>
      </c>
      <c r="F107" s="175">
        <v>0.5</v>
      </c>
      <c r="G107" s="176">
        <f t="shared" si="15"/>
        <v>0</v>
      </c>
      <c r="H107" s="177">
        <v>25484</v>
      </c>
      <c r="I107" s="180">
        <v>27651</v>
      </c>
      <c r="J107" s="179">
        <f t="shared" si="16"/>
        <v>2167</v>
      </c>
    </row>
    <row r="108" spans="1:10" ht="12.75">
      <c r="A108" s="174" t="s">
        <v>54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192</v>
      </c>
      <c r="B109" s="175">
        <v>0.72</v>
      </c>
      <c r="C109" s="175">
        <v>0.58</v>
      </c>
      <c r="D109" s="175">
        <f t="shared" si="14"/>
        <v>-0.14</v>
      </c>
      <c r="E109" s="175"/>
      <c r="F109" s="175"/>
      <c r="G109" s="176">
        <f t="shared" si="15"/>
        <v>0</v>
      </c>
      <c r="H109" s="177">
        <v>6288</v>
      </c>
      <c r="I109" s="180">
        <v>6695</v>
      </c>
      <c r="J109" s="179">
        <f t="shared" si="16"/>
        <v>407</v>
      </c>
    </row>
    <row r="110" spans="1:10" ht="12.75">
      <c r="A110" s="174" t="s">
        <v>56</v>
      </c>
      <c r="B110" s="175">
        <v>12.77</v>
      </c>
      <c r="C110" s="175">
        <v>16.91</v>
      </c>
      <c r="D110" s="175">
        <f t="shared" si="14"/>
        <v>4.140000000000001</v>
      </c>
      <c r="E110" s="175">
        <v>15</v>
      </c>
      <c r="F110" s="175">
        <v>18</v>
      </c>
      <c r="G110" s="176">
        <f t="shared" si="15"/>
        <v>3</v>
      </c>
      <c r="H110" s="177">
        <v>12760</v>
      </c>
      <c r="I110" s="180">
        <v>13610</v>
      </c>
      <c r="J110" s="179">
        <f t="shared" si="16"/>
        <v>850</v>
      </c>
    </row>
    <row r="111" spans="1:10" ht="12.75">
      <c r="A111" s="174" t="s">
        <v>57</v>
      </c>
      <c r="B111" s="175">
        <v>3</v>
      </c>
      <c r="C111" s="175">
        <v>3</v>
      </c>
      <c r="D111" s="175">
        <f t="shared" si="14"/>
        <v>0</v>
      </c>
      <c r="E111" s="175">
        <v>3</v>
      </c>
      <c r="F111" s="175">
        <v>3</v>
      </c>
      <c r="G111" s="176">
        <f t="shared" si="15"/>
        <v>0</v>
      </c>
      <c r="H111" s="177">
        <v>18068</v>
      </c>
      <c r="I111" s="180">
        <v>17008</v>
      </c>
      <c r="J111" s="179">
        <f t="shared" si="16"/>
        <v>-1060</v>
      </c>
    </row>
    <row r="112" spans="1:10" ht="12.75">
      <c r="A112" s="174" t="s">
        <v>58</v>
      </c>
      <c r="B112" s="175">
        <v>27.75</v>
      </c>
      <c r="C112" s="175">
        <v>27.33</v>
      </c>
      <c r="D112" s="175">
        <f t="shared" si="14"/>
        <v>-0.4200000000000017</v>
      </c>
      <c r="E112" s="175">
        <v>27.75</v>
      </c>
      <c r="F112" s="175">
        <v>26.75</v>
      </c>
      <c r="G112" s="176">
        <f t="shared" si="15"/>
        <v>-1</v>
      </c>
      <c r="H112" s="177">
        <v>10238</v>
      </c>
      <c r="I112" s="180">
        <v>10932</v>
      </c>
      <c r="J112" s="179">
        <f t="shared" si="16"/>
        <v>694</v>
      </c>
    </row>
    <row r="113" spans="1:10" ht="13.5" thickBot="1">
      <c r="A113" s="181" t="s">
        <v>3</v>
      </c>
      <c r="B113" s="182">
        <f>SUM(B103:B112)</f>
        <v>88.09</v>
      </c>
      <c r="C113" s="182">
        <f>SUM(C103:C112)</f>
        <v>92.13</v>
      </c>
      <c r="D113" s="182">
        <f t="shared" si="14"/>
        <v>4.039999999999992</v>
      </c>
      <c r="E113" s="182">
        <f>SUM(E103:E112)</f>
        <v>91.25</v>
      </c>
      <c r="F113" s="182">
        <f>SUM(F103:F112)</f>
        <v>93.25</v>
      </c>
      <c r="G113" s="183">
        <f t="shared" si="15"/>
        <v>2</v>
      </c>
      <c r="H113" s="184">
        <v>14210</v>
      </c>
      <c r="I113" s="185">
        <v>14923</v>
      </c>
      <c r="J113" s="186">
        <f t="shared" si="16"/>
        <v>713</v>
      </c>
    </row>
    <row r="114" ht="13.5" thickBot="1"/>
    <row r="115" spans="1:16" ht="12.75">
      <c r="A115" s="432" t="s">
        <v>59</v>
      </c>
      <c r="B115" s="432"/>
      <c r="C115" s="432"/>
      <c r="D115" s="27"/>
      <c r="E115" s="432" t="s">
        <v>60</v>
      </c>
      <c r="F115" s="432"/>
      <c r="G115" s="432"/>
      <c r="H115"/>
      <c r="I115"/>
      <c r="J115"/>
      <c r="K115"/>
      <c r="L115"/>
      <c r="M115"/>
      <c r="N115"/>
      <c r="O115"/>
      <c r="P115"/>
    </row>
    <row r="116" spans="1:16" ht="13.5" thickBot="1">
      <c r="A116" s="154" t="s">
        <v>61</v>
      </c>
      <c r="B116" s="155" t="s">
        <v>62</v>
      </c>
      <c r="C116" s="156" t="s">
        <v>46</v>
      </c>
      <c r="D116" s="27"/>
      <c r="E116" s="154"/>
      <c r="F116" s="433" t="s">
        <v>63</v>
      </c>
      <c r="G116" s="433"/>
      <c r="H116"/>
      <c r="I116"/>
      <c r="J116"/>
      <c r="K116"/>
      <c r="L116"/>
      <c r="M116"/>
      <c r="N116"/>
      <c r="O116"/>
      <c r="P116"/>
    </row>
    <row r="117" spans="1:16" ht="12.75">
      <c r="A117" s="161">
        <v>2006</v>
      </c>
      <c r="B117" s="162">
        <v>91</v>
      </c>
      <c r="C117" s="163">
        <v>92</v>
      </c>
      <c r="D117" s="27"/>
      <c r="E117" s="161">
        <v>2006</v>
      </c>
      <c r="F117" s="416">
        <v>203</v>
      </c>
      <c r="G117" s="416"/>
      <c r="H117"/>
      <c r="I117"/>
      <c r="J117"/>
      <c r="K117"/>
      <c r="L117"/>
      <c r="M117"/>
      <c r="N117"/>
      <c r="O117"/>
      <c r="P117"/>
    </row>
    <row r="118" spans="1:16" ht="13.5" thickBot="1">
      <c r="A118" s="168">
        <v>2007</v>
      </c>
      <c r="B118" s="169">
        <v>93</v>
      </c>
      <c r="C118" s="369" t="s">
        <v>508</v>
      </c>
      <c r="D118" s="27"/>
      <c r="E118" s="168">
        <v>2007</v>
      </c>
      <c r="F118" s="417">
        <v>203</v>
      </c>
      <c r="G118" s="417"/>
      <c r="H118"/>
      <c r="I118"/>
      <c r="J118"/>
      <c r="K118"/>
      <c r="L118"/>
      <c r="M118"/>
      <c r="N118"/>
      <c r="O118"/>
      <c r="P118"/>
    </row>
  </sheetData>
  <mergeCells count="125">
    <mergeCell ref="A62:B62"/>
    <mergeCell ref="D62:F62"/>
    <mergeCell ref="H62:K62"/>
    <mergeCell ref="F118:G118"/>
    <mergeCell ref="A66:E66"/>
    <mergeCell ref="F66:L66"/>
    <mergeCell ref="C67:D67"/>
    <mergeCell ref="F67:G67"/>
    <mergeCell ref="I67:K67"/>
    <mergeCell ref="C68:D68"/>
    <mergeCell ref="F68:G68"/>
    <mergeCell ref="I68:K68"/>
    <mergeCell ref="C69:D69"/>
    <mergeCell ref="A115:C115"/>
    <mergeCell ref="E115:G115"/>
    <mergeCell ref="H101:J101"/>
    <mergeCell ref="H84:H85"/>
    <mergeCell ref="I84:L84"/>
    <mergeCell ref="A84:A85"/>
    <mergeCell ref="B84:B85"/>
    <mergeCell ref="F116:G116"/>
    <mergeCell ref="F117:G117"/>
    <mergeCell ref="A101:A102"/>
    <mergeCell ref="B101:D101"/>
    <mergeCell ref="E101:G101"/>
    <mergeCell ref="B4:D4"/>
    <mergeCell ref="E4:G4"/>
    <mergeCell ref="J4:L4"/>
    <mergeCell ref="A3:A6"/>
    <mergeCell ref="B3:N3"/>
    <mergeCell ref="H4:I4"/>
    <mergeCell ref="M4:N4"/>
    <mergeCell ref="C84:F84"/>
    <mergeCell ref="G84:G85"/>
    <mergeCell ref="I71:K71"/>
    <mergeCell ref="C78:I78"/>
    <mergeCell ref="J78:J80"/>
    <mergeCell ref="L78:M78"/>
    <mergeCell ref="C79:C80"/>
    <mergeCell ref="D79:I79"/>
    <mergeCell ref="F73:G73"/>
    <mergeCell ref="I69:K69"/>
    <mergeCell ref="C70:D70"/>
    <mergeCell ref="F70:G70"/>
    <mergeCell ref="I70:K70"/>
    <mergeCell ref="A78:A80"/>
    <mergeCell ref="B78:B80"/>
    <mergeCell ref="F69:G69"/>
    <mergeCell ref="C71:D71"/>
    <mergeCell ref="F71:G71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J95:L95"/>
    <mergeCell ref="A63:B63"/>
    <mergeCell ref="D63:F63"/>
    <mergeCell ref="A95:A96"/>
    <mergeCell ref="B95:B96"/>
    <mergeCell ref="C95:H95"/>
    <mergeCell ref="H63:K63"/>
    <mergeCell ref="C72:D72"/>
    <mergeCell ref="F72:G72"/>
    <mergeCell ref="I72:K7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6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296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0</v>
      </c>
      <c r="C7" s="188">
        <v>0</v>
      </c>
      <c r="D7" s="191">
        <f aca="true" t="shared" si="0" ref="D7:D16">SUM(B7:C7)</f>
        <v>0</v>
      </c>
      <c r="E7" s="187">
        <v>0</v>
      </c>
      <c r="F7" s="188">
        <v>0</v>
      </c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>
        <v>0</v>
      </c>
      <c r="K7" s="188">
        <v>0</v>
      </c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4873</v>
      </c>
      <c r="C8" s="14">
        <v>0</v>
      </c>
      <c r="D8" s="192">
        <f t="shared" si="0"/>
        <v>4873</v>
      </c>
      <c r="E8" s="15">
        <v>5107</v>
      </c>
      <c r="F8" s="14">
        <v>0</v>
      </c>
      <c r="G8" s="192">
        <f t="shared" si="1"/>
        <v>5107</v>
      </c>
      <c r="H8" s="220">
        <f t="shared" si="2"/>
        <v>234</v>
      </c>
      <c r="I8" s="223">
        <f aca="true" t="shared" si="5" ref="I8:I21">+G8/D8</f>
        <v>1.0480197003899034</v>
      </c>
      <c r="J8" s="15">
        <f>8206+160</f>
        <v>8366</v>
      </c>
      <c r="K8" s="14">
        <v>0</v>
      </c>
      <c r="L8" s="192">
        <f t="shared" si="3"/>
        <v>8366</v>
      </c>
      <c r="M8" s="220">
        <f t="shared" si="4"/>
        <v>3259</v>
      </c>
      <c r="N8" s="221">
        <f aca="true" t="shared" si="6" ref="N8:N21">+L8/G8</f>
        <v>1.6381437242999803</v>
      </c>
    </row>
    <row r="9" spans="1:14" ht="13.5" customHeight="1">
      <c r="A9" s="229" t="s">
        <v>10</v>
      </c>
      <c r="B9" s="15">
        <v>0</v>
      </c>
      <c r="C9" s="14">
        <v>0</v>
      </c>
      <c r="D9" s="192">
        <f t="shared" si="0"/>
        <v>0</v>
      </c>
      <c r="E9" s="15">
        <v>0</v>
      </c>
      <c r="F9" s="14">
        <v>0</v>
      </c>
      <c r="G9" s="192">
        <f t="shared" si="1"/>
        <v>0</v>
      </c>
      <c r="H9" s="220">
        <f t="shared" si="2"/>
        <v>0</v>
      </c>
      <c r="I9" s="223"/>
      <c r="J9" s="15">
        <v>350</v>
      </c>
      <c r="K9" s="14">
        <v>0</v>
      </c>
      <c r="L9" s="192">
        <f t="shared" si="3"/>
        <v>350</v>
      </c>
      <c r="M9" s="220">
        <f t="shared" si="4"/>
        <v>350</v>
      </c>
      <c r="N9" s="221"/>
    </row>
    <row r="10" spans="1:14" ht="13.5" customHeight="1">
      <c r="A10" s="229" t="s">
        <v>11</v>
      </c>
      <c r="B10" s="15">
        <v>0</v>
      </c>
      <c r="C10" s="14">
        <v>0</v>
      </c>
      <c r="D10" s="192">
        <f t="shared" si="0"/>
        <v>0</v>
      </c>
      <c r="E10" s="15">
        <v>0</v>
      </c>
      <c r="F10" s="14">
        <v>0</v>
      </c>
      <c r="G10" s="192">
        <f t="shared" si="1"/>
        <v>0</v>
      </c>
      <c r="H10" s="220">
        <f t="shared" si="2"/>
        <v>0</v>
      </c>
      <c r="I10" s="223"/>
      <c r="J10" s="15">
        <v>0</v>
      </c>
      <c r="K10" s="14">
        <v>0</v>
      </c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93</v>
      </c>
      <c r="C11" s="14">
        <v>0</v>
      </c>
      <c r="D11" s="192">
        <f t="shared" si="0"/>
        <v>93</v>
      </c>
      <c r="E11" s="15">
        <v>188</v>
      </c>
      <c r="F11" s="14">
        <v>0</v>
      </c>
      <c r="G11" s="192">
        <f t="shared" si="1"/>
        <v>188</v>
      </c>
      <c r="H11" s="220">
        <f t="shared" si="2"/>
        <v>95</v>
      </c>
      <c r="I11" s="223">
        <f t="shared" si="5"/>
        <v>2.021505376344086</v>
      </c>
      <c r="J11" s="15">
        <v>0</v>
      </c>
      <c r="K11" s="14">
        <v>0</v>
      </c>
      <c r="L11" s="192">
        <f t="shared" si="3"/>
        <v>0</v>
      </c>
      <c r="M11" s="220">
        <f t="shared" si="4"/>
        <v>-188</v>
      </c>
      <c r="N11" s="221">
        <f t="shared" si="6"/>
        <v>0</v>
      </c>
    </row>
    <row r="12" spans="1:14" ht="13.5" customHeight="1">
      <c r="A12" s="230" t="s">
        <v>13</v>
      </c>
      <c r="B12" s="15">
        <v>34</v>
      </c>
      <c r="C12" s="14">
        <v>0</v>
      </c>
      <c r="D12" s="192">
        <f t="shared" si="0"/>
        <v>34</v>
      </c>
      <c r="E12" s="15">
        <v>67</v>
      </c>
      <c r="F12" s="14">
        <v>0</v>
      </c>
      <c r="G12" s="192">
        <f t="shared" si="1"/>
        <v>67</v>
      </c>
      <c r="H12" s="220">
        <f t="shared" si="2"/>
        <v>33</v>
      </c>
      <c r="I12" s="223">
        <f t="shared" si="5"/>
        <v>1.9705882352941178</v>
      </c>
      <c r="J12" s="15">
        <v>50</v>
      </c>
      <c r="K12" s="14">
        <v>0</v>
      </c>
      <c r="L12" s="192">
        <v>50</v>
      </c>
      <c r="M12" s="220">
        <f t="shared" si="4"/>
        <v>-17</v>
      </c>
      <c r="N12" s="221">
        <f t="shared" si="6"/>
        <v>0.746268656716418</v>
      </c>
    </row>
    <row r="13" spans="1:14" ht="13.5" customHeight="1">
      <c r="A13" s="230" t="s">
        <v>14</v>
      </c>
      <c r="B13" s="15">
        <v>0</v>
      </c>
      <c r="C13" s="14">
        <v>0</v>
      </c>
      <c r="D13" s="192">
        <f t="shared" si="0"/>
        <v>0</v>
      </c>
      <c r="E13" s="15">
        <v>0</v>
      </c>
      <c r="F13" s="14">
        <v>0</v>
      </c>
      <c r="G13" s="192">
        <f t="shared" si="1"/>
        <v>0</v>
      </c>
      <c r="H13" s="220">
        <f t="shared" si="2"/>
        <v>0</v>
      </c>
      <c r="I13" s="223"/>
      <c r="J13" s="15">
        <v>0</v>
      </c>
      <c r="K13" s="14">
        <v>0</v>
      </c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>
        <v>0</v>
      </c>
      <c r="C14" s="14">
        <v>0</v>
      </c>
      <c r="D14" s="192">
        <f t="shared" si="0"/>
        <v>0</v>
      </c>
      <c r="E14" s="15">
        <v>0</v>
      </c>
      <c r="F14" s="14">
        <v>0</v>
      </c>
      <c r="G14" s="192">
        <f t="shared" si="1"/>
        <v>0</v>
      </c>
      <c r="H14" s="220">
        <f t="shared" si="2"/>
        <v>0</v>
      </c>
      <c r="I14" s="223"/>
      <c r="J14" s="15">
        <v>0</v>
      </c>
      <c r="K14" s="14">
        <v>0</v>
      </c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7124</v>
      </c>
      <c r="C15" s="14">
        <f>SUM(C16:C17)</f>
        <v>0</v>
      </c>
      <c r="D15" s="192">
        <f t="shared" si="0"/>
        <v>7124</v>
      </c>
      <c r="E15" s="15">
        <f>SUM(E16:E17)</f>
        <v>7318</v>
      </c>
      <c r="F15" s="14">
        <f>SUM(F16:F17)</f>
        <v>0</v>
      </c>
      <c r="G15" s="192">
        <f t="shared" si="1"/>
        <v>7318</v>
      </c>
      <c r="H15" s="220">
        <f t="shared" si="2"/>
        <v>194</v>
      </c>
      <c r="I15" s="223">
        <f t="shared" si="5"/>
        <v>1.0272318921953958</v>
      </c>
      <c r="J15" s="17">
        <f>SUM(J16:J17)</f>
        <v>6329</v>
      </c>
      <c r="K15" s="17">
        <f>SUM(K16:K17)</f>
        <v>0</v>
      </c>
      <c r="L15" s="192">
        <f t="shared" si="3"/>
        <v>6329</v>
      </c>
      <c r="M15" s="220">
        <f t="shared" si="4"/>
        <v>-989</v>
      </c>
      <c r="N15" s="221">
        <f t="shared" si="6"/>
        <v>0.8648537851872096</v>
      </c>
    </row>
    <row r="16" spans="1:14" ht="13.5" customHeight="1">
      <c r="A16" s="231" t="s">
        <v>219</v>
      </c>
      <c r="B16" s="15">
        <v>7124</v>
      </c>
      <c r="C16" s="14">
        <v>0</v>
      </c>
      <c r="D16" s="192">
        <f t="shared" si="0"/>
        <v>7124</v>
      </c>
      <c r="E16" s="15">
        <v>7318</v>
      </c>
      <c r="F16" s="14"/>
      <c r="G16" s="192">
        <f t="shared" si="1"/>
        <v>7318</v>
      </c>
      <c r="H16" s="220">
        <f t="shared" si="2"/>
        <v>194</v>
      </c>
      <c r="I16" s="223">
        <f t="shared" si="5"/>
        <v>1.0272318921953958</v>
      </c>
      <c r="J16" s="17">
        <v>883</v>
      </c>
      <c r="K16" s="14">
        <v>0</v>
      </c>
      <c r="L16" s="192">
        <f t="shared" si="3"/>
        <v>883</v>
      </c>
      <c r="M16" s="220">
        <f t="shared" si="4"/>
        <v>-6435</v>
      </c>
      <c r="N16" s="221">
        <f t="shared" si="6"/>
        <v>0.12066138289150041</v>
      </c>
    </row>
    <row r="17" spans="1:14" ht="13.5" customHeight="1" thickBot="1">
      <c r="A17" s="232" t="s">
        <v>220</v>
      </c>
      <c r="B17" s="189">
        <v>0</v>
      </c>
      <c r="C17" s="190">
        <v>0</v>
      </c>
      <c r="D17" s="193">
        <v>0</v>
      </c>
      <c r="E17" s="189">
        <v>0</v>
      </c>
      <c r="F17" s="190">
        <v>0</v>
      </c>
      <c r="G17" s="193">
        <f t="shared" si="1"/>
        <v>0</v>
      </c>
      <c r="H17" s="366">
        <f t="shared" si="2"/>
        <v>0</v>
      </c>
      <c r="I17" s="370"/>
      <c r="J17" s="194">
        <v>5446</v>
      </c>
      <c r="K17" s="190">
        <v>0</v>
      </c>
      <c r="L17" s="193">
        <f t="shared" si="3"/>
        <v>5446</v>
      </c>
      <c r="M17" s="366">
        <f t="shared" si="4"/>
        <v>5446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12090</v>
      </c>
      <c r="C18" s="214">
        <f t="shared" si="7"/>
        <v>0</v>
      </c>
      <c r="D18" s="215">
        <f t="shared" si="7"/>
        <v>12090</v>
      </c>
      <c r="E18" s="213">
        <f t="shared" si="7"/>
        <v>12613</v>
      </c>
      <c r="F18" s="214">
        <f t="shared" si="7"/>
        <v>0</v>
      </c>
      <c r="G18" s="388">
        <f t="shared" si="7"/>
        <v>12613</v>
      </c>
      <c r="H18" s="364">
        <f t="shared" si="2"/>
        <v>523</v>
      </c>
      <c r="I18" s="365">
        <f t="shared" si="5"/>
        <v>1.0432588916459884</v>
      </c>
      <c r="J18" s="389">
        <f>J8+J12+J15+J9</f>
        <v>15095</v>
      </c>
      <c r="K18" s="390">
        <f>SUM(K7+K8+K9+K10+K11+K13+K15)</f>
        <v>0</v>
      </c>
      <c r="L18" s="388">
        <f>J18+K18</f>
        <v>15095</v>
      </c>
      <c r="M18" s="364">
        <f t="shared" si="4"/>
        <v>2482</v>
      </c>
      <c r="N18" s="391">
        <f t="shared" si="6"/>
        <v>1.196781098866249</v>
      </c>
    </row>
    <row r="19" spans="1:14" ht="13.5" customHeight="1">
      <c r="A19" s="120" t="s">
        <v>18</v>
      </c>
      <c r="B19" s="95">
        <v>2830</v>
      </c>
      <c r="C19" s="96">
        <v>0</v>
      </c>
      <c r="D19" s="97">
        <f aca="true" t="shared" si="8" ref="D19:D36">SUM(B19:C19)</f>
        <v>2830</v>
      </c>
      <c r="E19" s="95">
        <v>2846</v>
      </c>
      <c r="F19" s="96">
        <v>0</v>
      </c>
      <c r="G19" s="121">
        <f aca="true" t="shared" si="9" ref="G19:G36">SUM(E19:F19)</f>
        <v>2846</v>
      </c>
      <c r="H19" s="122">
        <f t="shared" si="2"/>
        <v>16</v>
      </c>
      <c r="I19" s="123">
        <f t="shared" si="5"/>
        <v>1.0056537102473497</v>
      </c>
      <c r="J19" s="100">
        <f>3610-156</f>
        <v>3454</v>
      </c>
      <c r="K19" s="96">
        <v>0</v>
      </c>
      <c r="L19" s="124">
        <f>J19+K19</f>
        <v>3454</v>
      </c>
      <c r="M19" s="122">
        <f t="shared" si="4"/>
        <v>608</v>
      </c>
      <c r="N19" s="125">
        <f t="shared" si="6"/>
        <v>1.213633169360506</v>
      </c>
    </row>
    <row r="20" spans="1:14" ht="21" customHeight="1">
      <c r="A20" s="106" t="s">
        <v>19</v>
      </c>
      <c r="B20" s="95">
        <v>633</v>
      </c>
      <c r="C20" s="96">
        <v>0</v>
      </c>
      <c r="D20" s="97">
        <f t="shared" si="8"/>
        <v>633</v>
      </c>
      <c r="E20" s="95">
        <v>535</v>
      </c>
      <c r="F20" s="96">
        <v>0</v>
      </c>
      <c r="G20" s="121">
        <f t="shared" si="9"/>
        <v>535</v>
      </c>
      <c r="H20" s="98">
        <f t="shared" si="2"/>
        <v>-98</v>
      </c>
      <c r="I20" s="99">
        <f t="shared" si="5"/>
        <v>0.8451816745655608</v>
      </c>
      <c r="J20" s="100">
        <v>550</v>
      </c>
      <c r="K20" s="96">
        <v>0</v>
      </c>
      <c r="L20" s="124">
        <f aca="true" t="shared" si="10" ref="L20:L36">SUM(J20:K20)</f>
        <v>550</v>
      </c>
      <c r="M20" s="98">
        <f t="shared" si="4"/>
        <v>15</v>
      </c>
      <c r="N20" s="101">
        <f t="shared" si="6"/>
        <v>1.02803738317757</v>
      </c>
    </row>
    <row r="21" spans="1:14" ht="13.5" customHeight="1">
      <c r="A21" s="102" t="s">
        <v>20</v>
      </c>
      <c r="B21" s="103">
        <v>446</v>
      </c>
      <c r="C21" s="104">
        <v>0</v>
      </c>
      <c r="D21" s="97">
        <f t="shared" si="8"/>
        <v>446</v>
      </c>
      <c r="E21" s="103">
        <v>487</v>
      </c>
      <c r="F21" s="104">
        <v>0</v>
      </c>
      <c r="G21" s="121">
        <f t="shared" si="9"/>
        <v>487</v>
      </c>
      <c r="H21" s="98">
        <f t="shared" si="2"/>
        <v>41</v>
      </c>
      <c r="I21" s="99">
        <f t="shared" si="5"/>
        <v>1.0919282511210762</v>
      </c>
      <c r="J21" s="105">
        <v>550</v>
      </c>
      <c r="K21" s="104">
        <v>0</v>
      </c>
      <c r="L21" s="124">
        <f t="shared" si="10"/>
        <v>550</v>
      </c>
      <c r="M21" s="98">
        <f t="shared" si="4"/>
        <v>63</v>
      </c>
      <c r="N21" s="101">
        <f t="shared" si="6"/>
        <v>1.1293634496919918</v>
      </c>
    </row>
    <row r="22" spans="1:14" ht="13.5" customHeight="1">
      <c r="A22" s="106" t="s">
        <v>21</v>
      </c>
      <c r="B22" s="103">
        <v>64</v>
      </c>
      <c r="C22" s="104">
        <v>0</v>
      </c>
      <c r="D22" s="97">
        <f t="shared" si="8"/>
        <v>64</v>
      </c>
      <c r="E22" s="103">
        <v>53</v>
      </c>
      <c r="F22" s="104">
        <v>0</v>
      </c>
      <c r="G22" s="121">
        <f t="shared" si="9"/>
        <v>53</v>
      </c>
      <c r="H22" s="98">
        <f t="shared" si="2"/>
        <v>-11</v>
      </c>
      <c r="I22" s="99"/>
      <c r="J22" s="105">
        <v>75</v>
      </c>
      <c r="K22" s="104">
        <v>0</v>
      </c>
      <c r="L22" s="124">
        <f t="shared" si="10"/>
        <v>75</v>
      </c>
      <c r="M22" s="98">
        <f t="shared" si="4"/>
        <v>22</v>
      </c>
      <c r="N22" s="101"/>
    </row>
    <row r="23" spans="1:14" ht="13.5" customHeight="1">
      <c r="A23" s="102" t="s">
        <v>22</v>
      </c>
      <c r="B23" s="103">
        <v>0</v>
      </c>
      <c r="C23" s="104">
        <v>0</v>
      </c>
      <c r="D23" s="97">
        <f t="shared" si="8"/>
        <v>0</v>
      </c>
      <c r="E23" s="103">
        <v>0</v>
      </c>
      <c r="F23" s="104">
        <v>0</v>
      </c>
      <c r="G23" s="121">
        <f t="shared" si="9"/>
        <v>0</v>
      </c>
      <c r="H23" s="98">
        <f t="shared" si="2"/>
        <v>0</v>
      </c>
      <c r="I23" s="99"/>
      <c r="J23" s="105">
        <v>0</v>
      </c>
      <c r="K23" s="104">
        <v>0</v>
      </c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1053</v>
      </c>
      <c r="C24" s="104">
        <v>0</v>
      </c>
      <c r="D24" s="97">
        <f t="shared" si="8"/>
        <v>1053</v>
      </c>
      <c r="E24" s="105">
        <v>1060</v>
      </c>
      <c r="F24" s="104">
        <v>0</v>
      </c>
      <c r="G24" s="121">
        <f t="shared" si="9"/>
        <v>1060</v>
      </c>
      <c r="H24" s="98">
        <f t="shared" si="2"/>
        <v>7</v>
      </c>
      <c r="I24" s="99">
        <f aca="true" t="shared" si="11" ref="I24:I37">+G24/D24</f>
        <v>1.00664767331434</v>
      </c>
      <c r="J24" s="105">
        <f>SUM(J25:J26)</f>
        <v>1251</v>
      </c>
      <c r="K24" s="104">
        <v>0</v>
      </c>
      <c r="L24" s="124">
        <f>J24+K24</f>
        <v>1251</v>
      </c>
      <c r="M24" s="98">
        <f t="shared" si="4"/>
        <v>191</v>
      </c>
      <c r="N24" s="101">
        <f aca="true" t="shared" si="12" ref="N24:N37">+L24/G24</f>
        <v>1.180188679245283</v>
      </c>
    </row>
    <row r="25" spans="1:14" ht="13.5" customHeight="1">
      <c r="A25" s="106" t="s">
        <v>24</v>
      </c>
      <c r="B25" s="103">
        <v>275</v>
      </c>
      <c r="C25" s="104">
        <v>0</v>
      </c>
      <c r="D25" s="97">
        <f t="shared" si="8"/>
        <v>275</v>
      </c>
      <c r="E25" s="103">
        <v>333</v>
      </c>
      <c r="F25" s="104">
        <v>0</v>
      </c>
      <c r="G25" s="121">
        <v>333</v>
      </c>
      <c r="H25" s="98">
        <f t="shared" si="2"/>
        <v>58</v>
      </c>
      <c r="I25" s="99">
        <f t="shared" si="11"/>
        <v>1.210909090909091</v>
      </c>
      <c r="J25" s="126">
        <v>638</v>
      </c>
      <c r="K25" s="104">
        <v>0</v>
      </c>
      <c r="L25" s="124">
        <f t="shared" si="10"/>
        <v>638</v>
      </c>
      <c r="M25" s="98">
        <f t="shared" si="4"/>
        <v>305</v>
      </c>
      <c r="N25" s="101">
        <f t="shared" si="12"/>
        <v>1.9159159159159158</v>
      </c>
    </row>
    <row r="26" spans="1:14" ht="13.5" customHeight="1">
      <c r="A26" s="102" t="s">
        <v>25</v>
      </c>
      <c r="B26" s="103">
        <v>778</v>
      </c>
      <c r="C26" s="104">
        <v>0</v>
      </c>
      <c r="D26" s="97">
        <f t="shared" si="8"/>
        <v>778</v>
      </c>
      <c r="E26" s="103">
        <v>632</v>
      </c>
      <c r="F26" s="104">
        <v>0</v>
      </c>
      <c r="G26" s="121">
        <f t="shared" si="9"/>
        <v>632</v>
      </c>
      <c r="H26" s="98">
        <f t="shared" si="2"/>
        <v>-146</v>
      </c>
      <c r="I26" s="99">
        <f t="shared" si="11"/>
        <v>0.8123393316195373</v>
      </c>
      <c r="J26" s="126">
        <v>613</v>
      </c>
      <c r="K26" s="104">
        <v>0</v>
      </c>
      <c r="L26" s="124">
        <f t="shared" si="10"/>
        <v>613</v>
      </c>
      <c r="M26" s="98">
        <f t="shared" si="4"/>
        <v>-19</v>
      </c>
      <c r="N26" s="101">
        <f t="shared" si="12"/>
        <v>0.9699367088607594</v>
      </c>
    </row>
    <row r="27" spans="1:14" ht="13.5" customHeight="1">
      <c r="A27" s="127" t="s">
        <v>26</v>
      </c>
      <c r="B27" s="105">
        <v>7041</v>
      </c>
      <c r="C27" s="104">
        <v>0</v>
      </c>
      <c r="D27" s="97">
        <f t="shared" si="8"/>
        <v>7041</v>
      </c>
      <c r="E27" s="105">
        <v>7473</v>
      </c>
      <c r="F27" s="104">
        <v>0</v>
      </c>
      <c r="G27" s="121">
        <f t="shared" si="9"/>
        <v>7473</v>
      </c>
      <c r="H27" s="98">
        <f t="shared" si="2"/>
        <v>432</v>
      </c>
      <c r="I27" s="99">
        <f t="shared" si="11"/>
        <v>1.0613549211759694</v>
      </c>
      <c r="J27" s="105">
        <v>9082</v>
      </c>
      <c r="K27" s="104">
        <v>0</v>
      </c>
      <c r="L27" s="124">
        <f t="shared" si="10"/>
        <v>9082</v>
      </c>
      <c r="M27" s="98">
        <f t="shared" si="4"/>
        <v>1609</v>
      </c>
      <c r="N27" s="101">
        <f t="shared" si="12"/>
        <v>1.2153084437307642</v>
      </c>
    </row>
    <row r="28" spans="1:14" ht="13.5" customHeight="1">
      <c r="A28" s="106" t="s">
        <v>27</v>
      </c>
      <c r="B28" s="103">
        <v>5141</v>
      </c>
      <c r="C28" s="104">
        <v>0</v>
      </c>
      <c r="D28" s="97">
        <f t="shared" si="8"/>
        <v>5141</v>
      </c>
      <c r="E28" s="103">
        <v>5457</v>
      </c>
      <c r="F28" s="104">
        <v>0</v>
      </c>
      <c r="G28" s="121">
        <f t="shared" si="9"/>
        <v>5457</v>
      </c>
      <c r="H28" s="98">
        <f t="shared" si="2"/>
        <v>316</v>
      </c>
      <c r="I28" s="99">
        <f t="shared" si="11"/>
        <v>1.0614666407313753</v>
      </c>
      <c r="J28" s="126">
        <v>6632</v>
      </c>
      <c r="K28" s="128">
        <v>0</v>
      </c>
      <c r="L28" s="124">
        <f t="shared" si="10"/>
        <v>6632</v>
      </c>
      <c r="M28" s="98">
        <f t="shared" si="4"/>
        <v>1175</v>
      </c>
      <c r="N28" s="101">
        <f t="shared" si="12"/>
        <v>1.2153197727689207</v>
      </c>
    </row>
    <row r="29" spans="1:14" ht="13.5" customHeight="1">
      <c r="A29" s="127" t="s">
        <v>28</v>
      </c>
      <c r="B29" s="103">
        <v>5134</v>
      </c>
      <c r="C29" s="104">
        <v>0</v>
      </c>
      <c r="D29" s="97">
        <f t="shared" si="8"/>
        <v>5134</v>
      </c>
      <c r="E29" s="103">
        <v>5447</v>
      </c>
      <c r="F29" s="104">
        <v>0</v>
      </c>
      <c r="G29" s="121">
        <f t="shared" si="9"/>
        <v>5447</v>
      </c>
      <c r="H29" s="98">
        <f t="shared" si="2"/>
        <v>313</v>
      </c>
      <c r="I29" s="99">
        <f t="shared" si="11"/>
        <v>1.0609661082976236</v>
      </c>
      <c r="J29" s="105">
        <v>6620</v>
      </c>
      <c r="K29" s="104">
        <v>0</v>
      </c>
      <c r="L29" s="124">
        <f t="shared" si="10"/>
        <v>6620</v>
      </c>
      <c r="M29" s="98">
        <f t="shared" si="4"/>
        <v>1173</v>
      </c>
      <c r="N29" s="101">
        <f t="shared" si="12"/>
        <v>1.2153478979254635</v>
      </c>
    </row>
    <row r="30" spans="1:14" ht="13.5" customHeight="1">
      <c r="A30" s="106" t="s">
        <v>29</v>
      </c>
      <c r="B30" s="103">
        <v>7</v>
      </c>
      <c r="C30" s="104">
        <v>0</v>
      </c>
      <c r="D30" s="97">
        <f t="shared" si="8"/>
        <v>7</v>
      </c>
      <c r="E30" s="103">
        <v>10</v>
      </c>
      <c r="F30" s="104">
        <v>0</v>
      </c>
      <c r="G30" s="121">
        <f t="shared" si="9"/>
        <v>10</v>
      </c>
      <c r="H30" s="98">
        <f t="shared" si="2"/>
        <v>3</v>
      </c>
      <c r="I30" s="99">
        <f t="shared" si="11"/>
        <v>1.4285714285714286</v>
      </c>
      <c r="J30" s="105">
        <v>12</v>
      </c>
      <c r="K30" s="104">
        <v>0</v>
      </c>
      <c r="L30" s="124">
        <f t="shared" si="10"/>
        <v>12</v>
      </c>
      <c r="M30" s="98">
        <f t="shared" si="4"/>
        <v>2</v>
      </c>
      <c r="N30" s="101">
        <f t="shared" si="12"/>
        <v>1.2</v>
      </c>
    </row>
    <row r="31" spans="1:14" ht="13.5" customHeight="1">
      <c r="A31" s="106" t="s">
        <v>30</v>
      </c>
      <c r="B31" s="103">
        <v>1899</v>
      </c>
      <c r="C31" s="104">
        <v>0</v>
      </c>
      <c r="D31" s="97">
        <f t="shared" si="8"/>
        <v>1899</v>
      </c>
      <c r="E31" s="103">
        <v>2016</v>
      </c>
      <c r="F31" s="104">
        <v>0</v>
      </c>
      <c r="G31" s="121">
        <f t="shared" si="9"/>
        <v>2016</v>
      </c>
      <c r="H31" s="98">
        <f t="shared" si="2"/>
        <v>117</v>
      </c>
      <c r="I31" s="99">
        <f t="shared" si="11"/>
        <v>1.061611374407583</v>
      </c>
      <c r="J31" s="105">
        <v>2450</v>
      </c>
      <c r="K31" s="104">
        <v>0</v>
      </c>
      <c r="L31" s="124">
        <f t="shared" si="10"/>
        <v>2450</v>
      </c>
      <c r="M31" s="98">
        <f t="shared" si="4"/>
        <v>434</v>
      </c>
      <c r="N31" s="101">
        <f t="shared" si="12"/>
        <v>1.2152777777777777</v>
      </c>
    </row>
    <row r="32" spans="1:14" ht="13.5" customHeight="1">
      <c r="A32" s="127" t="s">
        <v>31</v>
      </c>
      <c r="B32" s="103">
        <v>0</v>
      </c>
      <c r="C32" s="104">
        <v>0</v>
      </c>
      <c r="D32" s="97">
        <f t="shared" si="8"/>
        <v>0</v>
      </c>
      <c r="E32" s="103">
        <v>0</v>
      </c>
      <c r="F32" s="104">
        <v>0</v>
      </c>
      <c r="G32" s="121">
        <f t="shared" si="9"/>
        <v>0</v>
      </c>
      <c r="H32" s="98">
        <f t="shared" si="2"/>
        <v>0</v>
      </c>
      <c r="I32" s="99"/>
      <c r="J32" s="105">
        <v>0</v>
      </c>
      <c r="K32" s="104">
        <v>0</v>
      </c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121</v>
      </c>
      <c r="C33" s="104">
        <v>0</v>
      </c>
      <c r="D33" s="97">
        <f t="shared" si="8"/>
        <v>121</v>
      </c>
      <c r="E33" s="103">
        <v>157</v>
      </c>
      <c r="F33" s="104">
        <v>0</v>
      </c>
      <c r="G33" s="121">
        <f t="shared" si="9"/>
        <v>157</v>
      </c>
      <c r="H33" s="98">
        <f t="shared" si="2"/>
        <v>36</v>
      </c>
      <c r="I33" s="99">
        <f t="shared" si="11"/>
        <v>1.2975206611570247</v>
      </c>
      <c r="J33" s="105">
        <v>172</v>
      </c>
      <c r="K33" s="104">
        <v>0</v>
      </c>
      <c r="L33" s="124">
        <v>172</v>
      </c>
      <c r="M33" s="98">
        <f t="shared" si="4"/>
        <v>15</v>
      </c>
      <c r="N33" s="101">
        <f t="shared" si="12"/>
        <v>1.0955414012738853</v>
      </c>
    </row>
    <row r="34" spans="1:14" ht="13.5" customHeight="1">
      <c r="A34" s="106" t="s">
        <v>33</v>
      </c>
      <c r="B34" s="103">
        <v>529</v>
      </c>
      <c r="C34" s="104">
        <v>0</v>
      </c>
      <c r="D34" s="97">
        <f t="shared" si="8"/>
        <v>529</v>
      </c>
      <c r="E34" s="103">
        <v>529</v>
      </c>
      <c r="F34" s="104">
        <v>0</v>
      </c>
      <c r="G34" s="121">
        <f t="shared" si="9"/>
        <v>529</v>
      </c>
      <c r="H34" s="98">
        <f t="shared" si="2"/>
        <v>0</v>
      </c>
      <c r="I34" s="99">
        <f t="shared" si="11"/>
        <v>1</v>
      </c>
      <c r="J34" s="126">
        <v>511</v>
      </c>
      <c r="K34" s="104">
        <v>0</v>
      </c>
      <c r="L34" s="124">
        <v>511</v>
      </c>
      <c r="M34" s="98">
        <f t="shared" si="4"/>
        <v>-18</v>
      </c>
      <c r="N34" s="101">
        <f t="shared" si="12"/>
        <v>0.9659735349716446</v>
      </c>
    </row>
    <row r="35" spans="1:14" ht="22.5" customHeight="1">
      <c r="A35" s="106" t="s">
        <v>34</v>
      </c>
      <c r="B35" s="103">
        <v>529</v>
      </c>
      <c r="C35" s="104">
        <v>0</v>
      </c>
      <c r="D35" s="97">
        <f t="shared" si="8"/>
        <v>529</v>
      </c>
      <c r="E35" s="103">
        <v>511</v>
      </c>
      <c r="F35" s="104">
        <v>0</v>
      </c>
      <c r="G35" s="121">
        <f t="shared" si="9"/>
        <v>511</v>
      </c>
      <c r="H35" s="98">
        <f t="shared" si="2"/>
        <v>-18</v>
      </c>
      <c r="I35" s="99">
        <f t="shared" si="11"/>
        <v>0.9659735349716446</v>
      </c>
      <c r="J35" s="126">
        <v>511</v>
      </c>
      <c r="K35" s="104">
        <v>0</v>
      </c>
      <c r="L35" s="124">
        <v>511</v>
      </c>
      <c r="M35" s="98">
        <f t="shared" si="4"/>
        <v>0</v>
      </c>
      <c r="N35" s="101">
        <f t="shared" si="12"/>
        <v>1</v>
      </c>
    </row>
    <row r="36" spans="1:14" ht="13.5" customHeight="1" thickBot="1">
      <c r="A36" s="129" t="s">
        <v>35</v>
      </c>
      <c r="B36" s="107">
        <v>0</v>
      </c>
      <c r="C36" s="108">
        <v>0</v>
      </c>
      <c r="D36" s="97">
        <f t="shared" si="8"/>
        <v>0</v>
      </c>
      <c r="E36" s="107">
        <v>0</v>
      </c>
      <c r="F36" s="108">
        <v>0</v>
      </c>
      <c r="G36" s="121">
        <f t="shared" si="9"/>
        <v>0</v>
      </c>
      <c r="H36" s="109">
        <f t="shared" si="2"/>
        <v>0</v>
      </c>
      <c r="I36" s="110"/>
      <c r="J36" s="130">
        <v>0</v>
      </c>
      <c r="K36" s="108">
        <v>0</v>
      </c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12084</v>
      </c>
      <c r="C37" s="114">
        <f t="shared" si="13"/>
        <v>0</v>
      </c>
      <c r="D37" s="115">
        <f t="shared" si="13"/>
        <v>12084</v>
      </c>
      <c r="E37" s="113">
        <f t="shared" si="13"/>
        <v>12605</v>
      </c>
      <c r="F37" s="114">
        <f t="shared" si="13"/>
        <v>0</v>
      </c>
      <c r="G37" s="115">
        <f t="shared" si="13"/>
        <v>12605</v>
      </c>
      <c r="H37" s="116">
        <f t="shared" si="2"/>
        <v>521</v>
      </c>
      <c r="I37" s="117">
        <f t="shared" si="11"/>
        <v>1.0431148626282687</v>
      </c>
      <c r="J37" s="118">
        <f>SUM(J19+J21+J22+J23+J24+J27+J32+J33+J34+J36)</f>
        <v>15095</v>
      </c>
      <c r="K37" s="114">
        <f>SUM(K19+K21+K22+K23+K24+K27+K32+K33+K34+K36)</f>
        <v>0</v>
      </c>
      <c r="L37" s="118">
        <f>SUM(L19+L21+L22+L23+L24+L27+L32+L33+L34+L36)</f>
        <v>15095</v>
      </c>
      <c r="M37" s="116">
        <f t="shared" si="4"/>
        <v>2490</v>
      </c>
      <c r="N37" s="119">
        <f t="shared" si="12"/>
        <v>1.1975406584688615</v>
      </c>
    </row>
    <row r="38" spans="1:14" ht="13.5" customHeight="1" thickBot="1">
      <c r="A38" s="112" t="s">
        <v>37</v>
      </c>
      <c r="B38" s="470">
        <f>+D18-D37</f>
        <v>6</v>
      </c>
      <c r="C38" s="470"/>
      <c r="D38" s="470"/>
      <c r="E38" s="471">
        <v>8.37</v>
      </c>
      <c r="F38" s="471"/>
      <c r="G38" s="471">
        <v>-50784</v>
      </c>
      <c r="H38" s="131">
        <f>+E38-B38</f>
        <v>2.369999999999999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210</v>
      </c>
      <c r="B43" s="469"/>
      <c r="C43" s="134">
        <v>823</v>
      </c>
      <c r="D43" s="468" t="s">
        <v>210</v>
      </c>
      <c r="E43" s="468"/>
      <c r="F43" s="468"/>
      <c r="G43" s="135">
        <v>186</v>
      </c>
      <c r="H43" s="467" t="s">
        <v>297</v>
      </c>
      <c r="I43" s="467"/>
      <c r="J43" s="467"/>
      <c r="K43" s="467"/>
      <c r="L43" s="136">
        <v>130</v>
      </c>
      <c r="O43"/>
      <c r="P43"/>
    </row>
    <row r="44" spans="1:16" ht="12.75">
      <c r="A44" s="463" t="s">
        <v>298</v>
      </c>
      <c r="B44" s="463"/>
      <c r="C44" s="137">
        <v>150</v>
      </c>
      <c r="D44" s="468" t="s">
        <v>299</v>
      </c>
      <c r="E44" s="468"/>
      <c r="F44" s="468"/>
      <c r="G44" s="138">
        <v>155</v>
      </c>
      <c r="H44" s="467" t="s">
        <v>210</v>
      </c>
      <c r="I44" s="467"/>
      <c r="J44" s="467"/>
      <c r="K44" s="467"/>
      <c r="L44" s="136">
        <v>410</v>
      </c>
      <c r="O44"/>
      <c r="P44"/>
    </row>
    <row r="45" spans="1:16" ht="12.75">
      <c r="A45" s="463" t="s">
        <v>300</v>
      </c>
      <c r="B45" s="463"/>
      <c r="C45" s="137"/>
      <c r="D45" s="468"/>
      <c r="E45" s="468"/>
      <c r="F45" s="468"/>
      <c r="G45" s="138"/>
      <c r="H45" s="467" t="s">
        <v>301</v>
      </c>
      <c r="I45" s="467"/>
      <c r="J45" s="467"/>
      <c r="K45" s="467"/>
      <c r="L45" s="136">
        <v>200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 t="s">
        <v>549</v>
      </c>
      <c r="I46" s="464"/>
      <c r="J46" s="464"/>
      <c r="K46" s="464"/>
      <c r="L46" s="136">
        <v>50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973</v>
      </c>
      <c r="D50" s="451" t="s">
        <v>3</v>
      </c>
      <c r="E50" s="451"/>
      <c r="F50" s="451"/>
      <c r="G50" s="141">
        <f>SUM(G43:G49)</f>
        <v>341</v>
      </c>
      <c r="H50" s="452" t="s">
        <v>3</v>
      </c>
      <c r="I50" s="452"/>
      <c r="J50" s="452"/>
      <c r="K50" s="452"/>
      <c r="L50" s="141">
        <f>SUM(L43:L49)</f>
        <v>790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302</v>
      </c>
      <c r="B54" s="446"/>
      <c r="C54" s="233">
        <v>130</v>
      </c>
      <c r="D54" s="447" t="s">
        <v>303</v>
      </c>
      <c r="E54" s="447"/>
      <c r="F54" s="447"/>
      <c r="G54" s="142">
        <v>190</v>
      </c>
      <c r="H54" s="467" t="s">
        <v>303</v>
      </c>
      <c r="I54" s="467"/>
      <c r="J54" s="467"/>
      <c r="K54" s="467"/>
      <c r="L54" s="136">
        <v>428</v>
      </c>
      <c r="O54"/>
      <c r="P54"/>
    </row>
    <row r="55" spans="1:16" ht="13.5" customHeight="1">
      <c r="A55" s="418" t="s">
        <v>304</v>
      </c>
      <c r="B55" s="419"/>
      <c r="C55" s="234">
        <v>105</v>
      </c>
      <c r="D55" s="420" t="s">
        <v>302</v>
      </c>
      <c r="E55" s="420"/>
      <c r="F55" s="420"/>
      <c r="G55" s="143">
        <v>85</v>
      </c>
      <c r="H55" s="464" t="s">
        <v>522</v>
      </c>
      <c r="I55" s="464"/>
      <c r="J55" s="464"/>
      <c r="K55" s="464"/>
      <c r="L55" s="144">
        <v>100</v>
      </c>
      <c r="O55"/>
      <c r="P55"/>
    </row>
    <row r="56" spans="1:16" ht="13.5" customHeight="1">
      <c r="A56" s="418" t="s">
        <v>305</v>
      </c>
      <c r="B56" s="419"/>
      <c r="C56" s="234">
        <v>39</v>
      </c>
      <c r="D56" s="420" t="s">
        <v>304</v>
      </c>
      <c r="E56" s="420"/>
      <c r="F56" s="420"/>
      <c r="G56" s="143">
        <v>58</v>
      </c>
      <c r="H56" s="464" t="s">
        <v>304</v>
      </c>
      <c r="I56" s="464"/>
      <c r="J56" s="464"/>
      <c r="K56" s="464"/>
      <c r="L56" s="144">
        <v>60</v>
      </c>
      <c r="O56"/>
      <c r="P56"/>
    </row>
    <row r="57" spans="1:16" ht="13.5" customHeight="1">
      <c r="A57" s="418"/>
      <c r="B57" s="419"/>
      <c r="C57" s="234"/>
      <c r="D57" s="420" t="s">
        <v>306</v>
      </c>
      <c r="E57" s="420"/>
      <c r="F57" s="420"/>
      <c r="G57" s="143"/>
      <c r="H57" s="464" t="s">
        <v>550</v>
      </c>
      <c r="I57" s="464"/>
      <c r="J57" s="464"/>
      <c r="K57" s="464"/>
      <c r="L57" s="144">
        <v>50</v>
      </c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274</v>
      </c>
      <c r="D62" s="517" t="s">
        <v>3</v>
      </c>
      <c r="E62" s="517"/>
      <c r="F62" s="517"/>
      <c r="G62" s="149">
        <f>SUM(G54:G61)</f>
        <v>333</v>
      </c>
      <c r="H62" s="452" t="s">
        <v>3</v>
      </c>
      <c r="I62" s="452"/>
      <c r="J62" s="452"/>
      <c r="K62" s="452"/>
      <c r="L62" s="141">
        <f>SUM(L54:L61)</f>
        <v>638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84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86</v>
      </c>
      <c r="I67" s="483" t="s">
        <v>511</v>
      </c>
      <c r="J67" s="485"/>
      <c r="K67" s="485"/>
      <c r="L67" s="63">
        <v>26</v>
      </c>
      <c r="M67" s="22"/>
      <c r="N67" s="22"/>
    </row>
    <row r="68" spans="1:14" s="1" customFormat="1" ht="12.75">
      <c r="A68" s="64" t="s">
        <v>124</v>
      </c>
      <c r="B68" s="57">
        <v>5</v>
      </c>
      <c r="C68" s="478" t="s">
        <v>533</v>
      </c>
      <c r="D68" s="478"/>
      <c r="E68" s="65">
        <v>67</v>
      </c>
      <c r="F68" s="486" t="s">
        <v>127</v>
      </c>
      <c r="G68" s="479"/>
      <c r="H68" s="57">
        <v>8.37</v>
      </c>
      <c r="I68" s="478" t="s">
        <v>533</v>
      </c>
      <c r="J68" s="479"/>
      <c r="K68" s="479"/>
      <c r="L68" s="65">
        <v>84</v>
      </c>
      <c r="M68" s="22"/>
      <c r="N68" s="22"/>
    </row>
    <row r="69" spans="1:14" s="1" customFormat="1" ht="12.75">
      <c r="A69" s="64" t="s">
        <v>125</v>
      </c>
      <c r="B69" s="57">
        <v>64</v>
      </c>
      <c r="C69" s="478"/>
      <c r="D69" s="478"/>
      <c r="E69" s="65"/>
      <c r="F69" s="478" t="s">
        <v>125</v>
      </c>
      <c r="G69" s="478"/>
      <c r="H69" s="57">
        <v>25</v>
      </c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153</v>
      </c>
      <c r="C71" s="473" t="s">
        <v>3</v>
      </c>
      <c r="D71" s="473"/>
      <c r="E71" s="70">
        <f>SUM(E67:E70)</f>
        <v>67</v>
      </c>
      <c r="F71" s="474" t="s">
        <v>3</v>
      </c>
      <c r="G71" s="475"/>
      <c r="H71" s="66">
        <f>SUM(H67:H70)</f>
        <v>119.37</v>
      </c>
      <c r="I71" s="473" t="s">
        <v>3</v>
      </c>
      <c r="J71" s="475"/>
      <c r="K71" s="475"/>
      <c r="L71" s="70">
        <f>SUM(L67:L70)</f>
        <v>110</v>
      </c>
      <c r="M71" s="22"/>
      <c r="N71" s="22"/>
    </row>
    <row r="72" spans="1:14" s="1" customFormat="1" ht="13.5" thickBot="1">
      <c r="A72" s="78" t="s">
        <v>212</v>
      </c>
      <c r="B72" s="79">
        <f>B71-E71</f>
        <v>86</v>
      </c>
      <c r="C72" s="22"/>
      <c r="D72" s="22"/>
      <c r="E72" s="22"/>
      <c r="F72" s="476" t="s">
        <v>212</v>
      </c>
      <c r="G72" s="477"/>
      <c r="H72" s="80">
        <f>H71-L71</f>
        <v>9.370000000000005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>
        <v>0</v>
      </c>
      <c r="O78" s="85">
        <v>0</v>
      </c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6719</v>
      </c>
      <c r="B80" s="30">
        <v>2355</v>
      </c>
      <c r="C80" s="73">
        <f>SUM(D80:I80)</f>
        <v>511</v>
      </c>
      <c r="D80" s="74">
        <v>152</v>
      </c>
      <c r="E80" s="74">
        <v>200</v>
      </c>
      <c r="F80" s="74">
        <v>159</v>
      </c>
      <c r="G80" s="74">
        <v>0</v>
      </c>
      <c r="H80" s="73">
        <v>0</v>
      </c>
      <c r="I80" s="81">
        <v>0</v>
      </c>
      <c r="J80" s="31">
        <f>SUM(A80-B80-C80)</f>
        <v>3853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831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1178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16</v>
      </c>
      <c r="C86" s="43">
        <v>16</v>
      </c>
      <c r="D86" s="44">
        <v>1</v>
      </c>
      <c r="E86" s="44">
        <v>0</v>
      </c>
      <c r="F86" s="45">
        <v>17</v>
      </c>
      <c r="G86" s="46">
        <v>17</v>
      </c>
      <c r="H86" s="198">
        <f>+G86-F86</f>
        <v>0</v>
      </c>
      <c r="I86" s="43">
        <v>17</v>
      </c>
      <c r="J86" s="44">
        <v>0</v>
      </c>
      <c r="K86" s="44">
        <v>0</v>
      </c>
      <c r="L86" s="45">
        <f>I86+J86-K86</f>
        <v>17</v>
      </c>
    </row>
    <row r="87" spans="1:12" s="1" customFormat="1" ht="12.75">
      <c r="A87" s="41" t="s">
        <v>73</v>
      </c>
      <c r="B87" s="42">
        <v>84</v>
      </c>
      <c r="C87" s="43">
        <v>84</v>
      </c>
      <c r="D87" s="44">
        <v>69</v>
      </c>
      <c r="E87" s="44">
        <v>67</v>
      </c>
      <c r="F87" s="45">
        <v>86</v>
      </c>
      <c r="G87" s="46">
        <v>86</v>
      </c>
      <c r="H87" s="198">
        <f>+G87-F87</f>
        <v>0</v>
      </c>
      <c r="I87" s="395">
        <v>86</v>
      </c>
      <c r="J87" s="396">
        <v>33.37</v>
      </c>
      <c r="K87" s="396">
        <v>110</v>
      </c>
      <c r="L87" s="397">
        <f>I87+J87-K87</f>
        <v>9.370000000000005</v>
      </c>
    </row>
    <row r="88" spans="1:12" s="1" customFormat="1" ht="12.75">
      <c r="A88" s="41" t="s">
        <v>96</v>
      </c>
      <c r="B88" s="42">
        <v>160</v>
      </c>
      <c r="C88" s="43">
        <v>160</v>
      </c>
      <c r="D88" s="44">
        <v>529</v>
      </c>
      <c r="E88" s="44">
        <v>341</v>
      </c>
      <c r="F88" s="45">
        <v>348</v>
      </c>
      <c r="G88" s="46">
        <v>348</v>
      </c>
      <c r="H88" s="198">
        <f>+G88-F88</f>
        <v>0</v>
      </c>
      <c r="I88" s="206">
        <v>348</v>
      </c>
      <c r="J88" s="196">
        <v>511</v>
      </c>
      <c r="K88" s="196">
        <v>790</v>
      </c>
      <c r="L88" s="45">
        <f>I88+J88-K88</f>
        <v>69</v>
      </c>
    </row>
    <row r="89" spans="1:12" s="1" customFormat="1" ht="12.75">
      <c r="A89" s="41" t="s">
        <v>74</v>
      </c>
      <c r="B89" s="42">
        <v>571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727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62</v>
      </c>
      <c r="C90" s="49">
        <v>0</v>
      </c>
      <c r="D90" s="50">
        <v>109</v>
      </c>
      <c r="E90" s="50">
        <v>93</v>
      </c>
      <c r="F90" s="51">
        <v>14</v>
      </c>
      <c r="G90" s="52">
        <v>20</v>
      </c>
      <c r="H90" s="199">
        <f>+G90-F90</f>
        <v>6</v>
      </c>
      <c r="I90" s="49">
        <v>14</v>
      </c>
      <c r="J90" s="50">
        <v>129</v>
      </c>
      <c r="K90" s="50">
        <v>120</v>
      </c>
      <c r="L90" s="51">
        <f>I90+J90-K90</f>
        <v>23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8:12" ht="13.5" thickBot="1">
      <c r="H92" s="24" t="s">
        <v>215</v>
      </c>
      <c r="L92" s="24" t="s">
        <v>215</v>
      </c>
    </row>
    <row r="93" spans="1:12" ht="13.5" thickBot="1">
      <c r="A93" s="421" t="s">
        <v>254</v>
      </c>
      <c r="B93" s="412" t="s">
        <v>3</v>
      </c>
      <c r="C93" s="429" t="s">
        <v>76</v>
      </c>
      <c r="D93" s="429"/>
      <c r="E93" s="429"/>
      <c r="F93" s="429"/>
      <c r="G93" s="429"/>
      <c r="H93" s="429"/>
      <c r="I93" s="27"/>
      <c r="J93" s="431" t="s">
        <v>44</v>
      </c>
      <c r="K93" s="431"/>
      <c r="L93" s="431"/>
    </row>
    <row r="94" spans="1:12" ht="13.5" thickBot="1">
      <c r="A94" s="421"/>
      <c r="B94" s="412"/>
      <c r="C94" s="150" t="s">
        <v>77</v>
      </c>
      <c r="D94" s="151" t="s">
        <v>78</v>
      </c>
      <c r="E94" s="151" t="s">
        <v>79</v>
      </c>
      <c r="F94" s="151" t="s">
        <v>80</v>
      </c>
      <c r="G94" s="152" t="s">
        <v>81</v>
      </c>
      <c r="H94" s="153" t="s">
        <v>65</v>
      </c>
      <c r="I94" s="27"/>
      <c r="J94" s="154"/>
      <c r="K94" s="155" t="s">
        <v>45</v>
      </c>
      <c r="L94" s="156" t="s">
        <v>46</v>
      </c>
    </row>
    <row r="95" spans="1:12" ht="12.75">
      <c r="A95" s="157" t="s">
        <v>82</v>
      </c>
      <c r="B95" s="158">
        <v>44</v>
      </c>
      <c r="C95" s="159">
        <v>0</v>
      </c>
      <c r="D95" s="159">
        <v>0</v>
      </c>
      <c r="E95" s="159">
        <v>0</v>
      </c>
      <c r="F95" s="159">
        <v>0</v>
      </c>
      <c r="G95" s="158">
        <v>0</v>
      </c>
      <c r="H95" s="160">
        <f>SUM(C95:G95)</f>
        <v>0</v>
      </c>
      <c r="I95" s="27"/>
      <c r="J95" s="161">
        <v>2006</v>
      </c>
      <c r="K95" s="162">
        <v>5124</v>
      </c>
      <c r="L95" s="163">
        <f>+G29</f>
        <v>5447</v>
      </c>
    </row>
    <row r="96" spans="1:12" ht="13.5" thickBot="1">
      <c r="A96" s="164" t="s">
        <v>83</v>
      </c>
      <c r="B96" s="165">
        <v>993</v>
      </c>
      <c r="C96" s="166">
        <v>0</v>
      </c>
      <c r="D96" s="166">
        <v>0</v>
      </c>
      <c r="E96" s="166">
        <v>0</v>
      </c>
      <c r="F96" s="166">
        <v>0</v>
      </c>
      <c r="G96" s="165">
        <v>0</v>
      </c>
      <c r="H96" s="167">
        <f>SUM(C96:G96)</f>
        <v>0</v>
      </c>
      <c r="I96" s="27"/>
      <c r="J96" s="168">
        <v>2007</v>
      </c>
      <c r="K96" s="169">
        <f>L29</f>
        <v>6620</v>
      </c>
      <c r="L96" s="170"/>
    </row>
    <row r="97" ht="12.75" customHeight="1"/>
    <row r="98" ht="13.5" thickBot="1">
      <c r="J98" s="242" t="s">
        <v>255</v>
      </c>
    </row>
    <row r="99" spans="1:10" ht="21" customHeight="1" thickBot="1">
      <c r="A99" s="421" t="s">
        <v>47</v>
      </c>
      <c r="B99" s="422" t="s">
        <v>48</v>
      </c>
      <c r="C99" s="422"/>
      <c r="D99" s="422"/>
      <c r="E99" s="423" t="s">
        <v>134</v>
      </c>
      <c r="F99" s="423"/>
      <c r="G99" s="423"/>
      <c r="H99" s="430" t="s">
        <v>49</v>
      </c>
      <c r="I99" s="430"/>
      <c r="J99" s="430"/>
    </row>
    <row r="100" spans="1:10" ht="12.75">
      <c r="A100" s="421"/>
      <c r="B100" s="171">
        <v>2005</v>
      </c>
      <c r="C100" s="171">
        <v>2006</v>
      </c>
      <c r="D100" s="171" t="s">
        <v>50</v>
      </c>
      <c r="E100" s="171">
        <v>2005</v>
      </c>
      <c r="F100" s="171">
        <v>2006</v>
      </c>
      <c r="G100" s="172" t="s">
        <v>50</v>
      </c>
      <c r="H100" s="173">
        <v>2005</v>
      </c>
      <c r="I100" s="171">
        <v>2006</v>
      </c>
      <c r="J100" s="172" t="s">
        <v>50</v>
      </c>
    </row>
    <row r="101" spans="1:10" ht="18.75">
      <c r="A101" s="174" t="s">
        <v>51</v>
      </c>
      <c r="B101" s="175">
        <v>3</v>
      </c>
      <c r="C101" s="175">
        <v>3</v>
      </c>
      <c r="D101" s="175">
        <f aca="true" t="shared" si="14" ref="D101:D111">+C101-B101</f>
        <v>0</v>
      </c>
      <c r="E101" s="175">
        <v>3</v>
      </c>
      <c r="F101" s="175">
        <v>3</v>
      </c>
      <c r="G101" s="176">
        <f aca="true" t="shared" si="15" ref="G101:G111">+F101-E101</f>
        <v>0</v>
      </c>
      <c r="H101" s="177">
        <v>24382</v>
      </c>
      <c r="I101" s="178">
        <v>28351</v>
      </c>
      <c r="J101" s="179">
        <f aca="true" t="shared" si="16" ref="J101:J111">+I101-H101</f>
        <v>3969</v>
      </c>
    </row>
    <row r="102" spans="1:10" ht="12.75">
      <c r="A102" s="174" t="s">
        <v>85</v>
      </c>
      <c r="B102" s="175">
        <v>7.5</v>
      </c>
      <c r="C102" s="175">
        <v>6.58</v>
      </c>
      <c r="D102" s="175">
        <f t="shared" si="14"/>
        <v>-0.9199999999999999</v>
      </c>
      <c r="E102" s="175">
        <v>6</v>
      </c>
      <c r="F102" s="175">
        <v>5.8</v>
      </c>
      <c r="G102" s="176">
        <f t="shared" si="15"/>
        <v>-0.20000000000000018</v>
      </c>
      <c r="H102" s="177">
        <v>15010</v>
      </c>
      <c r="I102" s="180">
        <v>23036</v>
      </c>
      <c r="J102" s="179">
        <f t="shared" si="16"/>
        <v>8026</v>
      </c>
    </row>
    <row r="103" spans="1:10" ht="12.75">
      <c r="A103" s="174" t="s">
        <v>52</v>
      </c>
      <c r="B103" s="175">
        <v>1</v>
      </c>
      <c r="C103" s="175">
        <v>1</v>
      </c>
      <c r="D103" s="175">
        <f t="shared" si="14"/>
        <v>0</v>
      </c>
      <c r="E103" s="175">
        <v>1</v>
      </c>
      <c r="F103" s="175">
        <v>1</v>
      </c>
      <c r="G103" s="176">
        <f t="shared" si="15"/>
        <v>0</v>
      </c>
      <c r="H103" s="177">
        <v>13927</v>
      </c>
      <c r="I103" s="180">
        <v>15536</v>
      </c>
      <c r="J103" s="179">
        <f t="shared" si="16"/>
        <v>1609</v>
      </c>
    </row>
    <row r="104" spans="1:10" ht="12.75">
      <c r="A104" s="174" t="s">
        <v>53</v>
      </c>
      <c r="B104" s="175">
        <v>0.59</v>
      </c>
      <c r="C104" s="175">
        <v>1</v>
      </c>
      <c r="D104" s="175">
        <f t="shared" si="14"/>
        <v>0.41000000000000003</v>
      </c>
      <c r="E104" s="175">
        <v>1</v>
      </c>
      <c r="F104" s="175">
        <v>1</v>
      </c>
      <c r="G104" s="176">
        <f t="shared" si="15"/>
        <v>0</v>
      </c>
      <c r="H104" s="177">
        <v>13485</v>
      </c>
      <c r="I104" s="180">
        <v>16114</v>
      </c>
      <c r="J104" s="179">
        <f t="shared" si="16"/>
        <v>2629</v>
      </c>
    </row>
    <row r="105" spans="1:10" ht="12.75">
      <c r="A105" s="174" t="s">
        <v>86</v>
      </c>
      <c r="B105" s="175">
        <v>0</v>
      </c>
      <c r="C105" s="175">
        <v>0</v>
      </c>
      <c r="D105" s="175">
        <f t="shared" si="14"/>
        <v>0</v>
      </c>
      <c r="E105" s="175">
        <v>0</v>
      </c>
      <c r="F105" s="175">
        <v>0</v>
      </c>
      <c r="G105" s="176">
        <f t="shared" si="15"/>
        <v>0</v>
      </c>
      <c r="H105" s="177">
        <v>0</v>
      </c>
      <c r="I105" s="180">
        <v>0</v>
      </c>
      <c r="J105" s="179">
        <f t="shared" si="16"/>
        <v>0</v>
      </c>
    </row>
    <row r="106" spans="1:10" ht="12.75">
      <c r="A106" s="174" t="s">
        <v>54</v>
      </c>
      <c r="B106" s="175">
        <v>0</v>
      </c>
      <c r="C106" s="175">
        <v>0</v>
      </c>
      <c r="D106" s="175">
        <f t="shared" si="14"/>
        <v>0</v>
      </c>
      <c r="E106" s="175">
        <v>0</v>
      </c>
      <c r="F106" s="175">
        <v>0</v>
      </c>
      <c r="G106" s="176">
        <f t="shared" si="15"/>
        <v>0</v>
      </c>
      <c r="H106" s="177">
        <v>0</v>
      </c>
      <c r="I106" s="180">
        <v>0</v>
      </c>
      <c r="J106" s="179">
        <f t="shared" si="16"/>
        <v>0</v>
      </c>
    </row>
    <row r="107" spans="1:10" ht="12.75">
      <c r="A107" s="174" t="s">
        <v>55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56</v>
      </c>
      <c r="B108" s="175">
        <v>9.34</v>
      </c>
      <c r="C108" s="175">
        <v>9.72</v>
      </c>
      <c r="D108" s="175">
        <f t="shared" si="14"/>
        <v>0.3800000000000008</v>
      </c>
      <c r="E108" s="175">
        <v>10.75</v>
      </c>
      <c r="F108" s="175">
        <v>9</v>
      </c>
      <c r="G108" s="176">
        <f t="shared" si="15"/>
        <v>-1.75</v>
      </c>
      <c r="H108" s="177">
        <v>11372</v>
      </c>
      <c r="I108" s="180">
        <v>11887</v>
      </c>
      <c r="J108" s="179">
        <f t="shared" si="16"/>
        <v>515</v>
      </c>
    </row>
    <row r="109" spans="1:10" ht="12.75">
      <c r="A109" s="174" t="s">
        <v>57</v>
      </c>
      <c r="B109" s="175">
        <v>1</v>
      </c>
      <c r="C109" s="175">
        <v>1</v>
      </c>
      <c r="D109" s="175">
        <f t="shared" si="14"/>
        <v>0</v>
      </c>
      <c r="E109" s="175">
        <v>1</v>
      </c>
      <c r="F109" s="175">
        <v>1.09</v>
      </c>
      <c r="G109" s="176">
        <f t="shared" si="15"/>
        <v>0.09000000000000008</v>
      </c>
      <c r="H109" s="177">
        <v>12885</v>
      </c>
      <c r="I109" s="180">
        <v>13547</v>
      </c>
      <c r="J109" s="179">
        <f t="shared" si="16"/>
        <v>662</v>
      </c>
    </row>
    <row r="110" spans="1:10" ht="12.75">
      <c r="A110" s="174" t="s">
        <v>58</v>
      </c>
      <c r="B110" s="175">
        <v>12.7</v>
      </c>
      <c r="C110" s="175">
        <v>12.66</v>
      </c>
      <c r="D110" s="175">
        <f t="shared" si="14"/>
        <v>-0.03999999999999915</v>
      </c>
      <c r="E110" s="175">
        <v>11.75</v>
      </c>
      <c r="F110" s="175">
        <v>12.25</v>
      </c>
      <c r="G110" s="176">
        <f t="shared" si="15"/>
        <v>0.5</v>
      </c>
      <c r="H110" s="177">
        <v>8925</v>
      </c>
      <c r="I110" s="180">
        <v>10713</v>
      </c>
      <c r="J110" s="179">
        <f t="shared" si="16"/>
        <v>1788</v>
      </c>
    </row>
    <row r="111" spans="1:10" ht="13.5" thickBot="1">
      <c r="A111" s="181" t="s">
        <v>3</v>
      </c>
      <c r="B111" s="182">
        <f>SUM(B101:B110)</f>
        <v>35.129999999999995</v>
      </c>
      <c r="C111" s="182">
        <f>SUM(C101:C110)</f>
        <v>34.96</v>
      </c>
      <c r="D111" s="182">
        <f t="shared" si="14"/>
        <v>-0.1699999999999946</v>
      </c>
      <c r="E111" s="182">
        <f>SUM(E101:E110)</f>
        <v>34.5</v>
      </c>
      <c r="F111" s="182">
        <f>SUM(F101:F110)</f>
        <v>33.14</v>
      </c>
      <c r="G111" s="183">
        <f t="shared" si="15"/>
        <v>-1.3599999999999994</v>
      </c>
      <c r="H111" s="184"/>
      <c r="I111" s="185"/>
      <c r="J111" s="186">
        <f t="shared" si="16"/>
        <v>0</v>
      </c>
    </row>
    <row r="112" ht="13.5" thickBot="1"/>
    <row r="113" spans="1:16" ht="12.75">
      <c r="A113" s="432" t="s">
        <v>59</v>
      </c>
      <c r="B113" s="432"/>
      <c r="C113" s="432"/>
      <c r="D113" s="27"/>
      <c r="E113" s="432" t="s">
        <v>60</v>
      </c>
      <c r="F113" s="432"/>
      <c r="G113" s="432"/>
      <c r="H113"/>
      <c r="I113"/>
      <c r="J113"/>
      <c r="K113"/>
      <c r="L113"/>
      <c r="M113"/>
      <c r="N113"/>
      <c r="O113"/>
      <c r="P113"/>
    </row>
    <row r="114" spans="1:16" ht="13.5" thickBot="1">
      <c r="A114" s="154" t="s">
        <v>61</v>
      </c>
      <c r="B114" s="155" t="s">
        <v>62</v>
      </c>
      <c r="C114" s="156" t="s">
        <v>46</v>
      </c>
      <c r="D114" s="27"/>
      <c r="E114" s="154"/>
      <c r="F114" s="433" t="s">
        <v>63</v>
      </c>
      <c r="G114" s="433"/>
      <c r="H114"/>
      <c r="I114"/>
      <c r="J114"/>
      <c r="K114"/>
      <c r="L114"/>
      <c r="M114"/>
      <c r="N114"/>
      <c r="O114"/>
      <c r="P114"/>
    </row>
    <row r="115" spans="1:16" ht="12.75">
      <c r="A115" s="161">
        <v>2006</v>
      </c>
      <c r="B115" s="162">
        <v>35</v>
      </c>
      <c r="C115" s="163">
        <v>35</v>
      </c>
      <c r="D115" s="27"/>
      <c r="E115" s="161">
        <v>2006</v>
      </c>
      <c r="F115" s="416">
        <v>69</v>
      </c>
      <c r="G115" s="416"/>
      <c r="H115"/>
      <c r="I115"/>
      <c r="J115"/>
      <c r="K115"/>
      <c r="L115"/>
      <c r="M115"/>
      <c r="N115"/>
      <c r="O115"/>
      <c r="P115"/>
    </row>
    <row r="116" spans="1:16" ht="13.5" thickBot="1">
      <c r="A116" s="168">
        <v>2007</v>
      </c>
      <c r="B116" s="169">
        <v>36</v>
      </c>
      <c r="C116" s="369" t="s">
        <v>508</v>
      </c>
      <c r="D116" s="27"/>
      <c r="E116" s="168">
        <v>2007</v>
      </c>
      <c r="F116" s="417">
        <v>69</v>
      </c>
      <c r="G116" s="417"/>
      <c r="H116"/>
      <c r="I116"/>
      <c r="J116"/>
      <c r="K116"/>
      <c r="L116"/>
      <c r="M116"/>
      <c r="N116"/>
      <c r="O116"/>
      <c r="P116"/>
    </row>
  </sheetData>
  <mergeCells count="122">
    <mergeCell ref="F115:G115"/>
    <mergeCell ref="F116:G116"/>
    <mergeCell ref="A65:E65"/>
    <mergeCell ref="F65:L65"/>
    <mergeCell ref="C66:D66"/>
    <mergeCell ref="F66:G66"/>
    <mergeCell ref="I66:K66"/>
    <mergeCell ref="C67:D67"/>
    <mergeCell ref="F67:G67"/>
    <mergeCell ref="I67:K67"/>
    <mergeCell ref="H99:J99"/>
    <mergeCell ref="A113:C113"/>
    <mergeCell ref="E113:G113"/>
    <mergeCell ref="F114:G114"/>
    <mergeCell ref="A99:A100"/>
    <mergeCell ref="B99:D99"/>
    <mergeCell ref="E99:G99"/>
    <mergeCell ref="H83:H84"/>
    <mergeCell ref="I83:L83"/>
    <mergeCell ref="A93:A94"/>
    <mergeCell ref="B93:B94"/>
    <mergeCell ref="C93:H93"/>
    <mergeCell ref="J93:L93"/>
    <mergeCell ref="A83:A84"/>
    <mergeCell ref="B83:B84"/>
    <mergeCell ref="C83:F83"/>
    <mergeCell ref="G83:G84"/>
    <mergeCell ref="A62:B62"/>
    <mergeCell ref="D62:F62"/>
    <mergeCell ref="H62:K62"/>
    <mergeCell ref="A77:A79"/>
    <mergeCell ref="B77:B79"/>
    <mergeCell ref="C77:I77"/>
    <mergeCell ref="J77:J79"/>
    <mergeCell ref="C78:C79"/>
    <mergeCell ref="D78:I78"/>
    <mergeCell ref="C68:D68"/>
    <mergeCell ref="H60:K60"/>
    <mergeCell ref="A61:B61"/>
    <mergeCell ref="D61:F61"/>
    <mergeCell ref="H61:K61"/>
    <mergeCell ref="L52:L53"/>
    <mergeCell ref="A59:B59"/>
    <mergeCell ref="D59:F59"/>
    <mergeCell ref="H59:K59"/>
    <mergeCell ref="A52:B53"/>
    <mergeCell ref="C52:C53"/>
    <mergeCell ref="D52:F53"/>
    <mergeCell ref="G52:G53"/>
    <mergeCell ref="D56:F56"/>
    <mergeCell ref="A55:B55"/>
    <mergeCell ref="D43:F43"/>
    <mergeCell ref="H43:K43"/>
    <mergeCell ref="A44:B44"/>
    <mergeCell ref="H52:K53"/>
    <mergeCell ref="D44:F44"/>
    <mergeCell ref="H44:K44"/>
    <mergeCell ref="A45:B45"/>
    <mergeCell ref="D45:F45"/>
    <mergeCell ref="H45:K45"/>
    <mergeCell ref="A46:B46"/>
    <mergeCell ref="H41:K42"/>
    <mergeCell ref="L41:L42"/>
    <mergeCell ref="A47:B47"/>
    <mergeCell ref="D47:F47"/>
    <mergeCell ref="H47:K47"/>
    <mergeCell ref="A41:B42"/>
    <mergeCell ref="C41:C42"/>
    <mergeCell ref="D41:F42"/>
    <mergeCell ref="G41:G42"/>
    <mergeCell ref="A43:B43"/>
    <mergeCell ref="H55:K55"/>
    <mergeCell ref="A56:B56"/>
    <mergeCell ref="A49:B49"/>
    <mergeCell ref="D49:F49"/>
    <mergeCell ref="H49:K49"/>
    <mergeCell ref="A54:B54"/>
    <mergeCell ref="D54:F54"/>
    <mergeCell ref="H54:K54"/>
    <mergeCell ref="B39:D39"/>
    <mergeCell ref="E39:G39"/>
    <mergeCell ref="B38:D38"/>
    <mergeCell ref="E38:G38"/>
    <mergeCell ref="J38:L38"/>
    <mergeCell ref="A3:A6"/>
    <mergeCell ref="B3:N3"/>
    <mergeCell ref="H4:I4"/>
    <mergeCell ref="M4:N4"/>
    <mergeCell ref="B4:D4"/>
    <mergeCell ref="E4:G4"/>
    <mergeCell ref="J4:L4"/>
    <mergeCell ref="D46:F46"/>
    <mergeCell ref="H46:K46"/>
    <mergeCell ref="H56:K56"/>
    <mergeCell ref="A50:B50"/>
    <mergeCell ref="D50:F50"/>
    <mergeCell ref="H50:K50"/>
    <mergeCell ref="A48:B48"/>
    <mergeCell ref="D48:F48"/>
    <mergeCell ref="H48:K48"/>
    <mergeCell ref="D55:F55"/>
    <mergeCell ref="H57:K57"/>
    <mergeCell ref="A58:B58"/>
    <mergeCell ref="D58:F58"/>
    <mergeCell ref="H58:K58"/>
    <mergeCell ref="C71:D71"/>
    <mergeCell ref="F71:G71"/>
    <mergeCell ref="A57:B57"/>
    <mergeCell ref="D57:F57"/>
    <mergeCell ref="C70:D70"/>
    <mergeCell ref="F70:G70"/>
    <mergeCell ref="C69:D69"/>
    <mergeCell ref="F69:G69"/>
    <mergeCell ref="A60:B60"/>
    <mergeCell ref="D60:F60"/>
    <mergeCell ref="F68:G68"/>
    <mergeCell ref="I68:K68"/>
    <mergeCell ref="L77:M77"/>
    <mergeCell ref="F72:G72"/>
    <mergeCell ref="I71:K71"/>
    <mergeCell ref="I70:K70"/>
    <mergeCell ref="I69:K6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  <rowBreaks count="1" manualBreakCount="1"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0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378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251</v>
      </c>
      <c r="C7" s="188"/>
      <c r="D7" s="191">
        <f aca="true" t="shared" si="0" ref="D7:D15">SUM(B7:C7)</f>
        <v>251</v>
      </c>
      <c r="E7" s="187">
        <v>262</v>
      </c>
      <c r="F7" s="188"/>
      <c r="G7" s="191">
        <f aca="true" t="shared" si="1" ref="G7:G17">SUM(E7:F7)</f>
        <v>262</v>
      </c>
      <c r="H7" s="218">
        <f aca="true" t="shared" si="2" ref="H7:H37">+G7-D7</f>
        <v>11</v>
      </c>
      <c r="I7" s="221">
        <f>+G7/D7</f>
        <v>1.043824701195219</v>
      </c>
      <c r="J7" s="187">
        <v>180</v>
      </c>
      <c r="K7" s="188"/>
      <c r="L7" s="191">
        <f aca="true" t="shared" si="3" ref="L7:L16">SUM(J7:K7)</f>
        <v>180</v>
      </c>
      <c r="M7" s="218">
        <f aca="true" t="shared" si="4" ref="M7:M37">+L7-G7</f>
        <v>-82</v>
      </c>
      <c r="N7" s="221">
        <f aca="true" t="shared" si="5" ref="N7:N21">+L7/G7</f>
        <v>0.6870229007633588</v>
      </c>
    </row>
    <row r="8" spans="1:14" ht="13.5" customHeight="1">
      <c r="A8" s="229" t="s">
        <v>9</v>
      </c>
      <c r="B8" s="15">
        <v>4144</v>
      </c>
      <c r="C8" s="14"/>
      <c r="D8" s="192">
        <f t="shared" si="0"/>
        <v>4144</v>
      </c>
      <c r="E8" s="15">
        <v>4555</v>
      </c>
      <c r="F8" s="14"/>
      <c r="G8" s="192">
        <f t="shared" si="1"/>
        <v>4555</v>
      </c>
      <c r="H8" s="220">
        <f t="shared" si="2"/>
        <v>411</v>
      </c>
      <c r="I8" s="221">
        <f>+G8/D8</f>
        <v>1.0991795366795367</v>
      </c>
      <c r="J8" s="15">
        <f>6960+188</f>
        <v>7148</v>
      </c>
      <c r="K8" s="14"/>
      <c r="L8" s="192">
        <f t="shared" si="3"/>
        <v>7148</v>
      </c>
      <c r="M8" s="220">
        <f t="shared" si="4"/>
        <v>2593</v>
      </c>
      <c r="N8" s="221">
        <f t="shared" si="5"/>
        <v>1.569264544456641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1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1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4</v>
      </c>
      <c r="C11" s="14"/>
      <c r="D11" s="192">
        <f t="shared" si="0"/>
        <v>4</v>
      </c>
      <c r="E11" s="15">
        <v>2</v>
      </c>
      <c r="F11" s="14"/>
      <c r="G11" s="192">
        <f t="shared" si="1"/>
        <v>2</v>
      </c>
      <c r="H11" s="220">
        <f t="shared" si="2"/>
        <v>-2</v>
      </c>
      <c r="I11" s="221">
        <f aca="true" t="shared" si="6" ref="I11:I21">+G11/D11</f>
        <v>0.5</v>
      </c>
      <c r="J11" s="15">
        <v>2</v>
      </c>
      <c r="K11" s="14"/>
      <c r="L11" s="192">
        <f t="shared" si="3"/>
        <v>2</v>
      </c>
      <c r="M11" s="220">
        <f t="shared" si="4"/>
        <v>0</v>
      </c>
      <c r="N11" s="221">
        <f t="shared" si="5"/>
        <v>1</v>
      </c>
    </row>
    <row r="12" spans="1:14" ht="13.5" customHeight="1">
      <c r="A12" s="230" t="s">
        <v>13</v>
      </c>
      <c r="B12" s="15">
        <v>3</v>
      </c>
      <c r="C12" s="14"/>
      <c r="D12" s="192">
        <f t="shared" si="0"/>
        <v>3</v>
      </c>
      <c r="E12" s="15">
        <v>1</v>
      </c>
      <c r="F12" s="14"/>
      <c r="G12" s="192">
        <f t="shared" si="1"/>
        <v>1</v>
      </c>
      <c r="H12" s="220">
        <f t="shared" si="2"/>
        <v>-2</v>
      </c>
      <c r="I12" s="221">
        <f t="shared" si="6"/>
        <v>0.3333333333333333</v>
      </c>
      <c r="J12" s="15"/>
      <c r="K12" s="14"/>
      <c r="L12" s="192">
        <f t="shared" si="3"/>
        <v>0</v>
      </c>
      <c r="M12" s="220">
        <f t="shared" si="4"/>
        <v>-1</v>
      </c>
      <c r="N12" s="221">
        <f t="shared" si="5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1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1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7869</v>
      </c>
      <c r="C15" s="14">
        <f>SUM(C16:C17)</f>
        <v>0</v>
      </c>
      <c r="D15" s="192">
        <f t="shared" si="0"/>
        <v>7869</v>
      </c>
      <c r="E15" s="15">
        <v>9079</v>
      </c>
      <c r="F15" s="14">
        <f>SUM(F16:F17)</f>
        <v>0</v>
      </c>
      <c r="G15" s="192">
        <f t="shared" si="1"/>
        <v>9079</v>
      </c>
      <c r="H15" s="220">
        <f t="shared" si="2"/>
        <v>1210</v>
      </c>
      <c r="I15" s="221">
        <f t="shared" si="6"/>
        <v>1.1537679501842675</v>
      </c>
      <c r="J15" s="17">
        <f>J16+J17</f>
        <v>7983</v>
      </c>
      <c r="K15" s="17">
        <f>SUM(K16:K17)</f>
        <v>0</v>
      </c>
      <c r="L15" s="192">
        <f t="shared" si="3"/>
        <v>7983</v>
      </c>
      <c r="M15" s="220">
        <f t="shared" si="4"/>
        <v>-1096</v>
      </c>
      <c r="N15" s="221">
        <f t="shared" si="5"/>
        <v>0.8792818592355987</v>
      </c>
    </row>
    <row r="16" spans="1:14" ht="13.5" customHeight="1">
      <c r="A16" s="231" t="s">
        <v>219</v>
      </c>
      <c r="B16" s="15">
        <v>7838</v>
      </c>
      <c r="C16" s="14"/>
      <c r="D16" s="192">
        <f>B16</f>
        <v>7838</v>
      </c>
      <c r="E16" s="15">
        <v>9079</v>
      </c>
      <c r="F16" s="14"/>
      <c r="G16" s="192">
        <f t="shared" si="1"/>
        <v>9079</v>
      </c>
      <c r="H16" s="220">
        <f t="shared" si="2"/>
        <v>1241</v>
      </c>
      <c r="I16" s="221">
        <f t="shared" si="6"/>
        <v>1.158331206940546</v>
      </c>
      <c r="J16" s="17">
        <f>1041-350</f>
        <v>691</v>
      </c>
      <c r="K16" s="14"/>
      <c r="L16" s="192">
        <f t="shared" si="3"/>
        <v>691</v>
      </c>
      <c r="M16" s="220">
        <f t="shared" si="4"/>
        <v>-8388</v>
      </c>
      <c r="N16" s="221">
        <f t="shared" si="5"/>
        <v>0.07610970371186254</v>
      </c>
    </row>
    <row r="17" spans="1:14" ht="13.5" customHeight="1" thickBot="1">
      <c r="A17" s="232" t="s">
        <v>379</v>
      </c>
      <c r="B17" s="189"/>
      <c r="C17" s="190"/>
      <c r="D17" s="193"/>
      <c r="E17" s="189"/>
      <c r="F17" s="190"/>
      <c r="G17" s="368">
        <f t="shared" si="1"/>
        <v>0</v>
      </c>
      <c r="H17" s="366">
        <f t="shared" si="2"/>
        <v>0</v>
      </c>
      <c r="I17" s="367"/>
      <c r="J17" s="194">
        <v>7292</v>
      </c>
      <c r="K17" s="190"/>
      <c r="L17" s="193">
        <v>7292</v>
      </c>
      <c r="M17" s="366">
        <f t="shared" si="4"/>
        <v>7292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12268</v>
      </c>
      <c r="C18" s="214">
        <f t="shared" si="7"/>
        <v>0</v>
      </c>
      <c r="D18" s="215">
        <f t="shared" si="7"/>
        <v>12268</v>
      </c>
      <c r="E18" s="213">
        <f t="shared" si="7"/>
        <v>13898</v>
      </c>
      <c r="F18" s="214">
        <f t="shared" si="7"/>
        <v>0</v>
      </c>
      <c r="G18" s="215">
        <f t="shared" si="7"/>
        <v>13898</v>
      </c>
      <c r="H18" s="217">
        <f t="shared" si="2"/>
        <v>1630</v>
      </c>
      <c r="I18" s="132">
        <f t="shared" si="6"/>
        <v>1.1328659928268667</v>
      </c>
      <c r="J18" s="225">
        <f>SUM(J7+J8+J9+J10+J11+J13+J15)</f>
        <v>15313</v>
      </c>
      <c r="K18" s="214">
        <f>SUM(K7+K8+K9+K10+K11+K13+K15)</f>
        <v>0</v>
      </c>
      <c r="L18" s="215">
        <f>SUM(L7+L8+L9+L10+L11+L13+L15)</f>
        <v>15313</v>
      </c>
      <c r="M18" s="217">
        <f t="shared" si="4"/>
        <v>1415</v>
      </c>
      <c r="N18" s="226">
        <f t="shared" si="5"/>
        <v>1.1018132105338898</v>
      </c>
    </row>
    <row r="19" spans="1:14" ht="13.5" customHeight="1">
      <c r="A19" s="120" t="s">
        <v>18</v>
      </c>
      <c r="B19" s="95">
        <v>2792</v>
      </c>
      <c r="C19" s="96"/>
      <c r="D19" s="97">
        <f aca="true" t="shared" si="8" ref="D19:D36">SUM(B19:C19)</f>
        <v>2792</v>
      </c>
      <c r="E19" s="95">
        <v>2686</v>
      </c>
      <c r="F19" s="96"/>
      <c r="G19" s="121">
        <f aca="true" t="shared" si="9" ref="G19:G36">SUM(E19:F19)</f>
        <v>2686</v>
      </c>
      <c r="H19" s="122">
        <f t="shared" si="2"/>
        <v>-106</v>
      </c>
      <c r="I19" s="123">
        <f t="shared" si="6"/>
        <v>0.9620343839541547</v>
      </c>
      <c r="J19" s="100">
        <f>3002</f>
        <v>3002</v>
      </c>
      <c r="K19" s="96"/>
      <c r="L19" s="124">
        <f aca="true" t="shared" si="10" ref="L19:L36">SUM(J19:K19)</f>
        <v>3002</v>
      </c>
      <c r="M19" s="122">
        <f t="shared" si="4"/>
        <v>316</v>
      </c>
      <c r="N19" s="125">
        <f t="shared" si="5"/>
        <v>1.1176470588235294</v>
      </c>
    </row>
    <row r="20" spans="1:14" ht="21" customHeight="1">
      <c r="A20" s="106" t="s">
        <v>19</v>
      </c>
      <c r="B20" s="95">
        <v>394</v>
      </c>
      <c r="C20" s="96"/>
      <c r="D20" s="97">
        <f t="shared" si="8"/>
        <v>394</v>
      </c>
      <c r="E20" s="95">
        <v>265</v>
      </c>
      <c r="F20" s="96"/>
      <c r="G20" s="121">
        <f t="shared" si="9"/>
        <v>265</v>
      </c>
      <c r="H20" s="98">
        <f t="shared" si="2"/>
        <v>-129</v>
      </c>
      <c r="I20" s="99">
        <f t="shared" si="6"/>
        <v>0.6725888324873096</v>
      </c>
      <c r="J20" s="100">
        <v>330</v>
      </c>
      <c r="K20" s="96"/>
      <c r="L20" s="124">
        <f t="shared" si="10"/>
        <v>330</v>
      </c>
      <c r="M20" s="98">
        <f t="shared" si="4"/>
        <v>65</v>
      </c>
      <c r="N20" s="101">
        <f t="shared" si="5"/>
        <v>1.2452830188679245</v>
      </c>
    </row>
    <row r="21" spans="1:14" ht="13.5" customHeight="1">
      <c r="A21" s="102" t="s">
        <v>20</v>
      </c>
      <c r="B21" s="103">
        <v>462</v>
      </c>
      <c r="C21" s="104"/>
      <c r="D21" s="97">
        <f t="shared" si="8"/>
        <v>462</v>
      </c>
      <c r="E21" s="103">
        <v>539</v>
      </c>
      <c r="F21" s="104"/>
      <c r="G21" s="121">
        <f t="shared" si="9"/>
        <v>539</v>
      </c>
      <c r="H21" s="98">
        <f t="shared" si="2"/>
        <v>77</v>
      </c>
      <c r="I21" s="99">
        <f t="shared" si="6"/>
        <v>1.1666666666666667</v>
      </c>
      <c r="J21" s="105">
        <f>620+98</f>
        <v>718</v>
      </c>
      <c r="K21" s="104"/>
      <c r="L21" s="124">
        <f t="shared" si="10"/>
        <v>718</v>
      </c>
      <c r="M21" s="98">
        <f t="shared" si="4"/>
        <v>179</v>
      </c>
      <c r="N21" s="101">
        <f t="shared" si="5"/>
        <v>1.3320964749536177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981</v>
      </c>
      <c r="C24" s="104"/>
      <c r="D24" s="97">
        <f t="shared" si="8"/>
        <v>981</v>
      </c>
      <c r="E24" s="105">
        <v>899</v>
      </c>
      <c r="F24" s="104"/>
      <c r="G24" s="121">
        <f t="shared" si="9"/>
        <v>899</v>
      </c>
      <c r="H24" s="98">
        <f t="shared" si="2"/>
        <v>-82</v>
      </c>
      <c r="I24" s="99">
        <f aca="true" t="shared" si="11" ref="I24:I37">+G24/D24</f>
        <v>0.9164118246687054</v>
      </c>
      <c r="J24" s="105">
        <v>1180</v>
      </c>
      <c r="K24" s="104"/>
      <c r="L24" s="124">
        <f t="shared" si="10"/>
        <v>1180</v>
      </c>
      <c r="M24" s="98">
        <f t="shared" si="4"/>
        <v>281</v>
      </c>
      <c r="N24" s="101">
        <f aca="true" t="shared" si="12" ref="N24:N37">+L24/G24</f>
        <v>1.3125695216907676</v>
      </c>
    </row>
    <row r="25" spans="1:14" ht="13.5" customHeight="1">
      <c r="A25" s="106" t="s">
        <v>24</v>
      </c>
      <c r="B25" s="103">
        <v>433</v>
      </c>
      <c r="C25" s="104"/>
      <c r="D25" s="97">
        <f t="shared" si="8"/>
        <v>433</v>
      </c>
      <c r="E25" s="103">
        <v>262</v>
      </c>
      <c r="F25" s="104"/>
      <c r="G25" s="121">
        <f t="shared" si="9"/>
        <v>262</v>
      </c>
      <c r="H25" s="98">
        <f t="shared" si="2"/>
        <v>-171</v>
      </c>
      <c r="I25" s="99">
        <f t="shared" si="11"/>
        <v>0.605080831408776</v>
      </c>
      <c r="J25" s="126">
        <v>500</v>
      </c>
      <c r="K25" s="104"/>
      <c r="L25" s="124">
        <f t="shared" si="10"/>
        <v>500</v>
      </c>
      <c r="M25" s="98">
        <f t="shared" si="4"/>
        <v>238</v>
      </c>
      <c r="N25" s="101">
        <f t="shared" si="12"/>
        <v>1.9083969465648856</v>
      </c>
    </row>
    <row r="26" spans="1:14" ht="13.5" customHeight="1">
      <c r="A26" s="102" t="s">
        <v>25</v>
      </c>
      <c r="B26" s="103">
        <v>548</v>
      </c>
      <c r="C26" s="104"/>
      <c r="D26" s="97">
        <f t="shared" si="8"/>
        <v>548</v>
      </c>
      <c r="E26" s="103">
        <v>673</v>
      </c>
      <c r="F26" s="104"/>
      <c r="G26" s="121">
        <f t="shared" si="9"/>
        <v>673</v>
      </c>
      <c r="H26" s="98">
        <f t="shared" si="2"/>
        <v>125</v>
      </c>
      <c r="I26" s="99">
        <f t="shared" si="11"/>
        <v>1.2281021897810218</v>
      </c>
      <c r="J26" s="126">
        <v>680</v>
      </c>
      <c r="K26" s="104"/>
      <c r="L26" s="124">
        <f t="shared" si="10"/>
        <v>680</v>
      </c>
      <c r="M26" s="98">
        <f t="shared" si="4"/>
        <v>7</v>
      </c>
      <c r="N26" s="101">
        <f t="shared" si="12"/>
        <v>1.0104011887072808</v>
      </c>
    </row>
    <row r="27" spans="1:14" ht="13.5" customHeight="1">
      <c r="A27" s="127" t="s">
        <v>26</v>
      </c>
      <c r="B27" s="105">
        <v>8172</v>
      </c>
      <c r="C27" s="104"/>
      <c r="D27" s="97">
        <f t="shared" si="8"/>
        <v>8172</v>
      </c>
      <c r="E27" s="105">
        <v>9055</v>
      </c>
      <c r="F27" s="104"/>
      <c r="G27" s="121">
        <f t="shared" si="9"/>
        <v>9055</v>
      </c>
      <c r="H27" s="98">
        <f t="shared" si="2"/>
        <v>883</v>
      </c>
      <c r="I27" s="99">
        <f t="shared" si="11"/>
        <v>1.1080518844836025</v>
      </c>
      <c r="J27" s="105">
        <v>9864</v>
      </c>
      <c r="K27" s="104"/>
      <c r="L27" s="124">
        <f t="shared" si="10"/>
        <v>9864</v>
      </c>
      <c r="M27" s="98">
        <f t="shared" si="4"/>
        <v>809</v>
      </c>
      <c r="N27" s="101">
        <f t="shared" si="12"/>
        <v>1.089342904472667</v>
      </c>
    </row>
    <row r="28" spans="1:14" ht="13.5" customHeight="1">
      <c r="A28" s="106" t="s">
        <v>27</v>
      </c>
      <c r="B28" s="103">
        <v>5971</v>
      </c>
      <c r="C28" s="104"/>
      <c r="D28" s="97">
        <f t="shared" si="8"/>
        <v>5971</v>
      </c>
      <c r="E28" s="103">
        <v>6621</v>
      </c>
      <c r="F28" s="104"/>
      <c r="G28" s="121">
        <f t="shared" si="9"/>
        <v>6621</v>
      </c>
      <c r="H28" s="98">
        <f t="shared" si="2"/>
        <v>650</v>
      </c>
      <c r="I28" s="99">
        <f t="shared" si="11"/>
        <v>1.108859487523028</v>
      </c>
      <c r="J28" s="126">
        <v>7200</v>
      </c>
      <c r="K28" s="128"/>
      <c r="L28" s="124">
        <f t="shared" si="10"/>
        <v>7200</v>
      </c>
      <c r="M28" s="98">
        <f t="shared" si="4"/>
        <v>579</v>
      </c>
      <c r="N28" s="101">
        <f t="shared" si="12"/>
        <v>1.0874490258269143</v>
      </c>
    </row>
    <row r="29" spans="1:14" ht="13.5" customHeight="1">
      <c r="A29" s="127" t="s">
        <v>28</v>
      </c>
      <c r="B29" s="103">
        <v>5835</v>
      </c>
      <c r="C29" s="104"/>
      <c r="D29" s="97">
        <f t="shared" si="8"/>
        <v>5835</v>
      </c>
      <c r="E29" s="103">
        <v>6413</v>
      </c>
      <c r="F29" s="104"/>
      <c r="G29" s="121">
        <f t="shared" si="9"/>
        <v>6413</v>
      </c>
      <c r="H29" s="98">
        <f t="shared" si="2"/>
        <v>578</v>
      </c>
      <c r="I29" s="99">
        <f t="shared" si="11"/>
        <v>1.099057412167952</v>
      </c>
      <c r="J29" s="105">
        <v>6950</v>
      </c>
      <c r="K29" s="104"/>
      <c r="L29" s="124">
        <f t="shared" si="10"/>
        <v>6950</v>
      </c>
      <c r="M29" s="98">
        <f t="shared" si="4"/>
        <v>537</v>
      </c>
      <c r="N29" s="101">
        <f t="shared" si="12"/>
        <v>1.0837361609231249</v>
      </c>
    </row>
    <row r="30" spans="1:14" ht="13.5" customHeight="1">
      <c r="A30" s="106" t="s">
        <v>29</v>
      </c>
      <c r="B30" s="103">
        <v>136</v>
      </c>
      <c r="C30" s="104"/>
      <c r="D30" s="97">
        <f t="shared" si="8"/>
        <v>136</v>
      </c>
      <c r="E30" s="103">
        <v>208</v>
      </c>
      <c r="F30" s="104"/>
      <c r="G30" s="121">
        <f t="shared" si="9"/>
        <v>208</v>
      </c>
      <c r="H30" s="98">
        <f t="shared" si="2"/>
        <v>72</v>
      </c>
      <c r="I30" s="99">
        <f t="shared" si="11"/>
        <v>1.5294117647058822</v>
      </c>
      <c r="J30" s="105">
        <v>250</v>
      </c>
      <c r="K30" s="104"/>
      <c r="L30" s="124">
        <f t="shared" si="10"/>
        <v>250</v>
      </c>
      <c r="M30" s="98">
        <f t="shared" si="4"/>
        <v>42</v>
      </c>
      <c r="N30" s="101">
        <f t="shared" si="12"/>
        <v>1.2019230769230769</v>
      </c>
    </row>
    <row r="31" spans="1:14" ht="13.5" customHeight="1">
      <c r="A31" s="106" t="s">
        <v>30</v>
      </c>
      <c r="B31" s="103">
        <v>2201</v>
      </c>
      <c r="C31" s="104"/>
      <c r="D31" s="97">
        <f t="shared" si="8"/>
        <v>2201</v>
      </c>
      <c r="E31" s="103">
        <v>2434</v>
      </c>
      <c r="F31" s="104"/>
      <c r="G31" s="121">
        <f t="shared" si="9"/>
        <v>2434</v>
      </c>
      <c r="H31" s="98">
        <f t="shared" si="2"/>
        <v>233</v>
      </c>
      <c r="I31" s="99">
        <f t="shared" si="11"/>
        <v>1.1058609722853248</v>
      </c>
      <c r="J31" s="105">
        <v>2664</v>
      </c>
      <c r="K31" s="104"/>
      <c r="L31" s="124">
        <f t="shared" si="10"/>
        <v>2664</v>
      </c>
      <c r="M31" s="98">
        <f t="shared" si="4"/>
        <v>230</v>
      </c>
      <c r="N31" s="101">
        <f t="shared" si="12"/>
        <v>1.0944946589975348</v>
      </c>
    </row>
    <row r="32" spans="1:14" ht="13.5" customHeight="1">
      <c r="A32" s="127" t="s">
        <v>31</v>
      </c>
      <c r="B32" s="103">
        <v>11</v>
      </c>
      <c r="C32" s="104"/>
      <c r="D32" s="97">
        <f t="shared" si="8"/>
        <v>11</v>
      </c>
      <c r="E32" s="103">
        <v>5</v>
      </c>
      <c r="F32" s="104"/>
      <c r="G32" s="121">
        <f t="shared" si="9"/>
        <v>5</v>
      </c>
      <c r="H32" s="98">
        <f t="shared" si="2"/>
        <v>-6</v>
      </c>
      <c r="I32" s="99">
        <f t="shared" si="11"/>
        <v>0.45454545454545453</v>
      </c>
      <c r="J32" s="105">
        <v>10</v>
      </c>
      <c r="K32" s="104"/>
      <c r="L32" s="124">
        <f t="shared" si="10"/>
        <v>10</v>
      </c>
      <c r="M32" s="98">
        <f t="shared" si="4"/>
        <v>5</v>
      </c>
      <c r="N32" s="101">
        <f t="shared" si="12"/>
        <v>2</v>
      </c>
    </row>
    <row r="33" spans="1:14" ht="13.5" customHeight="1">
      <c r="A33" s="127" t="s">
        <v>32</v>
      </c>
      <c r="B33" s="103">
        <v>162</v>
      </c>
      <c r="C33" s="104"/>
      <c r="D33" s="97">
        <f t="shared" si="8"/>
        <v>162</v>
      </c>
      <c r="E33" s="103">
        <v>105</v>
      </c>
      <c r="F33" s="104"/>
      <c r="G33" s="121">
        <f t="shared" si="9"/>
        <v>105</v>
      </c>
      <c r="H33" s="98">
        <f t="shared" si="2"/>
        <v>-57</v>
      </c>
      <c r="I33" s="99">
        <f t="shared" si="11"/>
        <v>0.6481481481481481</v>
      </c>
      <c r="J33" s="105">
        <v>130</v>
      </c>
      <c r="K33" s="104"/>
      <c r="L33" s="124">
        <f t="shared" si="10"/>
        <v>130</v>
      </c>
      <c r="M33" s="98">
        <f t="shared" si="4"/>
        <v>25</v>
      </c>
      <c r="N33" s="101">
        <f t="shared" si="12"/>
        <v>1.2380952380952381</v>
      </c>
    </row>
    <row r="34" spans="1:14" ht="13.5" customHeight="1">
      <c r="A34" s="106" t="s">
        <v>33</v>
      </c>
      <c r="B34" s="103">
        <v>415</v>
      </c>
      <c r="C34" s="104"/>
      <c r="D34" s="97">
        <f t="shared" si="8"/>
        <v>415</v>
      </c>
      <c r="E34" s="103">
        <v>427</v>
      </c>
      <c r="F34" s="104"/>
      <c r="G34" s="121">
        <f t="shared" si="9"/>
        <v>427</v>
      </c>
      <c r="H34" s="98">
        <f t="shared" si="2"/>
        <v>12</v>
      </c>
      <c r="I34" s="99">
        <f t="shared" si="11"/>
        <v>1.0289156626506024</v>
      </c>
      <c r="J34" s="126">
        <v>409</v>
      </c>
      <c r="K34" s="104"/>
      <c r="L34" s="124">
        <f t="shared" si="10"/>
        <v>409</v>
      </c>
      <c r="M34" s="98">
        <f t="shared" si="4"/>
        <v>-18</v>
      </c>
      <c r="N34" s="101">
        <f t="shared" si="12"/>
        <v>0.9578454332552693</v>
      </c>
    </row>
    <row r="35" spans="1:14" ht="22.5" customHeight="1">
      <c r="A35" s="106" t="s">
        <v>34</v>
      </c>
      <c r="B35" s="103">
        <v>415</v>
      </c>
      <c r="C35" s="104"/>
      <c r="D35" s="97">
        <f t="shared" si="8"/>
        <v>415</v>
      </c>
      <c r="E35" s="103">
        <v>427</v>
      </c>
      <c r="F35" s="104"/>
      <c r="G35" s="121">
        <f t="shared" si="9"/>
        <v>427</v>
      </c>
      <c r="H35" s="98">
        <f t="shared" si="2"/>
        <v>12</v>
      </c>
      <c r="I35" s="99">
        <f t="shared" si="11"/>
        <v>1.0289156626506024</v>
      </c>
      <c r="J35" s="126">
        <v>409</v>
      </c>
      <c r="K35" s="104"/>
      <c r="L35" s="124">
        <f t="shared" si="10"/>
        <v>409</v>
      </c>
      <c r="M35" s="98">
        <f t="shared" si="4"/>
        <v>-18</v>
      </c>
      <c r="N35" s="101">
        <f t="shared" si="12"/>
        <v>0.9578454332552693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12995</v>
      </c>
      <c r="C37" s="114">
        <f t="shared" si="13"/>
        <v>0</v>
      </c>
      <c r="D37" s="115">
        <f t="shared" si="13"/>
        <v>12995</v>
      </c>
      <c r="E37" s="113">
        <f t="shared" si="13"/>
        <v>13716</v>
      </c>
      <c r="F37" s="114">
        <f t="shared" si="13"/>
        <v>0</v>
      </c>
      <c r="G37" s="115">
        <f t="shared" si="13"/>
        <v>13716</v>
      </c>
      <c r="H37" s="116">
        <f t="shared" si="2"/>
        <v>721</v>
      </c>
      <c r="I37" s="117">
        <f t="shared" si="11"/>
        <v>1.0554828780300116</v>
      </c>
      <c r="J37" s="118">
        <f>SUM(J19+J21+J22+J23+J24+J27+J32+J33+J34+J36)</f>
        <v>15313</v>
      </c>
      <c r="K37" s="114">
        <f>SUM(K19+K21+K22+K23+K24+K27+K32+K33+K34+K36)</f>
        <v>0</v>
      </c>
      <c r="L37" s="115">
        <f>SUM(L19+L21+L22+L23+L24+L27+L32+L33+L34+L36)</f>
        <v>15313</v>
      </c>
      <c r="M37" s="116">
        <f t="shared" si="4"/>
        <v>1597</v>
      </c>
      <c r="N37" s="119">
        <f t="shared" si="12"/>
        <v>1.1164333624963547</v>
      </c>
    </row>
    <row r="38" spans="1:14" ht="13.5" customHeight="1" thickBot="1">
      <c r="A38" s="112" t="s">
        <v>37</v>
      </c>
      <c r="B38" s="470">
        <f>+D18-D37</f>
        <v>-727</v>
      </c>
      <c r="C38" s="470"/>
      <c r="D38" s="470"/>
      <c r="E38" s="471">
        <v>182.29</v>
      </c>
      <c r="F38" s="471"/>
      <c r="G38" s="471">
        <v>-50784</v>
      </c>
      <c r="H38" s="131">
        <f>+E38-B38</f>
        <v>909.29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144</v>
      </c>
      <c r="B43" s="469"/>
      <c r="C43" s="134">
        <v>104</v>
      </c>
      <c r="D43" s="468" t="s">
        <v>145</v>
      </c>
      <c r="E43" s="468"/>
      <c r="F43" s="468"/>
      <c r="G43" s="135">
        <v>132</v>
      </c>
      <c r="H43" s="467" t="s">
        <v>512</v>
      </c>
      <c r="I43" s="467"/>
      <c r="J43" s="467"/>
      <c r="K43" s="467"/>
      <c r="L43" s="136">
        <v>250</v>
      </c>
      <c r="O43"/>
      <c r="P43"/>
    </row>
    <row r="44" spans="1:16" ht="12.75">
      <c r="A44" s="463" t="s">
        <v>111</v>
      </c>
      <c r="B44" s="463"/>
      <c r="C44" s="137">
        <v>53</v>
      </c>
      <c r="D44" s="468" t="s">
        <v>531</v>
      </c>
      <c r="E44" s="468"/>
      <c r="F44" s="468"/>
      <c r="G44" s="138">
        <v>460</v>
      </c>
      <c r="H44" s="467" t="s">
        <v>512</v>
      </c>
      <c r="I44" s="467"/>
      <c r="J44" s="467"/>
      <c r="K44" s="467"/>
      <c r="L44" s="136">
        <v>574</v>
      </c>
      <c r="O44"/>
      <c r="P44"/>
    </row>
    <row r="45" spans="1:16" ht="12.75">
      <c r="A45" s="463"/>
      <c r="B45" s="463"/>
      <c r="C45" s="137"/>
      <c r="D45" s="468"/>
      <c r="E45" s="468"/>
      <c r="F45" s="468"/>
      <c r="G45" s="138"/>
      <c r="H45" s="467" t="s">
        <v>513</v>
      </c>
      <c r="I45" s="467"/>
      <c r="J45" s="467"/>
      <c r="K45" s="467"/>
      <c r="L45" s="136">
        <v>10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157</v>
      </c>
      <c r="D50" s="451" t="s">
        <v>3</v>
      </c>
      <c r="E50" s="451"/>
      <c r="F50" s="451"/>
      <c r="G50" s="141">
        <f>SUM(G43:G49)</f>
        <v>592</v>
      </c>
      <c r="H50" s="452" t="s">
        <v>3</v>
      </c>
      <c r="I50" s="452"/>
      <c r="J50" s="452"/>
      <c r="K50" s="452"/>
      <c r="L50" s="141">
        <f>SUM(L43:L49)</f>
        <v>834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146</v>
      </c>
      <c r="B54" s="446"/>
      <c r="C54" s="233">
        <v>51</v>
      </c>
      <c r="D54" s="447" t="s">
        <v>150</v>
      </c>
      <c r="E54" s="447"/>
      <c r="F54" s="447"/>
      <c r="G54" s="142">
        <v>67</v>
      </c>
      <c r="H54" s="467" t="s">
        <v>150</v>
      </c>
      <c r="I54" s="467"/>
      <c r="J54" s="467"/>
      <c r="K54" s="467"/>
      <c r="L54" s="136">
        <v>100</v>
      </c>
      <c r="O54"/>
      <c r="P54"/>
    </row>
    <row r="55" spans="1:16" ht="13.5" customHeight="1">
      <c r="A55" s="418" t="s">
        <v>149</v>
      </c>
      <c r="B55" s="419"/>
      <c r="C55" s="234">
        <v>69</v>
      </c>
      <c r="D55" s="420" t="s">
        <v>148</v>
      </c>
      <c r="E55" s="420"/>
      <c r="F55" s="420"/>
      <c r="G55" s="143">
        <v>73</v>
      </c>
      <c r="H55" s="464" t="s">
        <v>93</v>
      </c>
      <c r="I55" s="464"/>
      <c r="J55" s="464"/>
      <c r="K55" s="464"/>
      <c r="L55" s="144">
        <v>50</v>
      </c>
      <c r="O55"/>
      <c r="P55"/>
    </row>
    <row r="56" spans="1:16" ht="13.5" customHeight="1">
      <c r="A56" s="418" t="s">
        <v>148</v>
      </c>
      <c r="B56" s="419"/>
      <c r="C56" s="234">
        <v>44</v>
      </c>
      <c r="D56" s="420" t="s">
        <v>93</v>
      </c>
      <c r="E56" s="420"/>
      <c r="F56" s="420"/>
      <c r="G56" s="143">
        <v>21</v>
      </c>
      <c r="H56" s="464" t="s">
        <v>380</v>
      </c>
      <c r="I56" s="464"/>
      <c r="J56" s="464"/>
      <c r="K56" s="464"/>
      <c r="L56" s="144">
        <v>30</v>
      </c>
      <c r="O56"/>
      <c r="P56"/>
    </row>
    <row r="57" spans="1:16" ht="13.5" customHeight="1">
      <c r="A57" s="418" t="s">
        <v>150</v>
      </c>
      <c r="B57" s="419"/>
      <c r="C57" s="234">
        <v>99</v>
      </c>
      <c r="D57" s="420" t="s">
        <v>380</v>
      </c>
      <c r="E57" s="420"/>
      <c r="F57" s="420"/>
      <c r="G57" s="143">
        <v>14</v>
      </c>
      <c r="H57" s="464" t="s">
        <v>381</v>
      </c>
      <c r="I57" s="464"/>
      <c r="J57" s="464"/>
      <c r="K57" s="464"/>
      <c r="L57" s="144">
        <v>150</v>
      </c>
      <c r="O57"/>
      <c r="P57"/>
    </row>
    <row r="58" spans="1:16" ht="13.5" customHeight="1">
      <c r="A58" s="418" t="s">
        <v>382</v>
      </c>
      <c r="B58" s="419"/>
      <c r="C58" s="235">
        <v>33</v>
      </c>
      <c r="D58" s="420" t="s">
        <v>201</v>
      </c>
      <c r="E58" s="420"/>
      <c r="F58" s="420"/>
      <c r="G58" s="145">
        <v>87</v>
      </c>
      <c r="H58" s="464" t="s">
        <v>383</v>
      </c>
      <c r="I58" s="464"/>
      <c r="J58" s="464"/>
      <c r="K58" s="464"/>
      <c r="L58" s="146">
        <v>50</v>
      </c>
      <c r="O58"/>
      <c r="P58"/>
    </row>
    <row r="59" spans="1:16" ht="13.5" customHeight="1">
      <c r="A59" s="418" t="s">
        <v>201</v>
      </c>
      <c r="B59" s="419"/>
      <c r="C59" s="235">
        <v>137</v>
      </c>
      <c r="D59" s="420"/>
      <c r="E59" s="420"/>
      <c r="F59" s="420"/>
      <c r="G59" s="145"/>
      <c r="H59" s="464" t="s">
        <v>201</v>
      </c>
      <c r="I59" s="464"/>
      <c r="J59" s="464"/>
      <c r="K59" s="464"/>
      <c r="L59" s="146">
        <v>120</v>
      </c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433</v>
      </c>
      <c r="D62" s="517" t="s">
        <v>3</v>
      </c>
      <c r="E62" s="517"/>
      <c r="F62" s="517"/>
      <c r="G62" s="149">
        <f>SUM(G54:G61)</f>
        <v>262</v>
      </c>
      <c r="H62" s="452" t="s">
        <v>3</v>
      </c>
      <c r="I62" s="452"/>
      <c r="J62" s="452"/>
      <c r="K62" s="452"/>
      <c r="L62" s="141">
        <f>SUM(L54:L61)</f>
        <v>500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1692</v>
      </c>
      <c r="C67" s="483" t="s">
        <v>129</v>
      </c>
      <c r="D67" s="483"/>
      <c r="E67" s="63">
        <v>450</v>
      </c>
      <c r="F67" s="484" t="s">
        <v>126</v>
      </c>
      <c r="G67" s="485"/>
      <c r="H67" s="56">
        <v>515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0</v>
      </c>
      <c r="C68" s="478" t="s">
        <v>514</v>
      </c>
      <c r="D68" s="478"/>
      <c r="E68" s="65">
        <v>727</v>
      </c>
      <c r="F68" s="486" t="s">
        <v>127</v>
      </c>
      <c r="G68" s="479"/>
      <c r="H68" s="57">
        <v>147.29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1692</v>
      </c>
      <c r="C71" s="473" t="s">
        <v>3</v>
      </c>
      <c r="D71" s="473"/>
      <c r="E71" s="70">
        <f>SUM(E67:E70)</f>
        <v>1177</v>
      </c>
      <c r="F71" s="474" t="s">
        <v>3</v>
      </c>
      <c r="G71" s="475"/>
      <c r="H71" s="66">
        <f>SUM(H67:H70)</f>
        <v>662.29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515</v>
      </c>
      <c r="C72" s="22"/>
      <c r="D72" s="22"/>
      <c r="E72" s="22"/>
      <c r="F72" s="476" t="s">
        <v>212</v>
      </c>
      <c r="G72" s="477"/>
      <c r="H72" s="80">
        <f>H71-L71</f>
        <v>662.29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>
        <v>0</v>
      </c>
      <c r="O78" s="85">
        <v>0</v>
      </c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7696</v>
      </c>
      <c r="B80" s="30">
        <v>4312</v>
      </c>
      <c r="C80" s="73">
        <f>SUM(D80:I80)</f>
        <v>409</v>
      </c>
      <c r="D80" s="74">
        <v>91</v>
      </c>
      <c r="E80" s="74">
        <v>251</v>
      </c>
      <c r="F80" s="74">
        <v>57</v>
      </c>
      <c r="G80" s="74"/>
      <c r="H80" s="73">
        <v>10</v>
      </c>
      <c r="I80" s="81"/>
      <c r="J80" s="31">
        <f>SUM(A80-B80-C80)</f>
        <v>2975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2531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2523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188</v>
      </c>
      <c r="C86" s="43">
        <v>188</v>
      </c>
      <c r="D86" s="44">
        <v>0</v>
      </c>
      <c r="E86" s="44">
        <v>0</v>
      </c>
      <c r="F86" s="45">
        <f>C86+D86-E86</f>
        <v>188</v>
      </c>
      <c r="G86" s="46">
        <v>188</v>
      </c>
      <c r="H86" s="198">
        <f>+G86-F86</f>
        <v>0</v>
      </c>
      <c r="I86" s="43">
        <v>188</v>
      </c>
      <c r="J86" s="44">
        <v>35</v>
      </c>
      <c r="K86" s="44">
        <v>100</v>
      </c>
      <c r="L86" s="45">
        <f>I86+J86-K86</f>
        <v>123</v>
      </c>
    </row>
    <row r="87" spans="1:12" s="1" customFormat="1" ht="12.75">
      <c r="A87" s="41" t="s">
        <v>73</v>
      </c>
      <c r="B87" s="42">
        <v>1692</v>
      </c>
      <c r="C87" s="43">
        <v>1692</v>
      </c>
      <c r="D87" s="44">
        <v>0</v>
      </c>
      <c r="E87" s="44">
        <v>1177</v>
      </c>
      <c r="F87" s="45">
        <f>C87+D87-E87</f>
        <v>515</v>
      </c>
      <c r="G87" s="46">
        <v>515</v>
      </c>
      <c r="H87" s="198">
        <f>+G87-F87</f>
        <v>0</v>
      </c>
      <c r="I87" s="395">
        <v>515</v>
      </c>
      <c r="J87" s="396">
        <v>147.29</v>
      </c>
      <c r="K87" s="396">
        <v>0</v>
      </c>
      <c r="L87" s="397">
        <f>I87+J87-K87</f>
        <v>662.29</v>
      </c>
    </row>
    <row r="88" spans="1:12" s="1" customFormat="1" ht="12.75">
      <c r="A88" s="41" t="s">
        <v>96</v>
      </c>
      <c r="B88" s="42">
        <v>457</v>
      </c>
      <c r="C88" s="43">
        <v>456</v>
      </c>
      <c r="D88" s="44">
        <v>877</v>
      </c>
      <c r="E88" s="44">
        <v>592</v>
      </c>
      <c r="F88" s="45">
        <f>C88+D88-E88</f>
        <v>741</v>
      </c>
      <c r="G88" s="46">
        <v>741</v>
      </c>
      <c r="H88" s="198">
        <f>+G88-F88</f>
        <v>0</v>
      </c>
      <c r="I88" s="206">
        <v>741</v>
      </c>
      <c r="J88" s="196">
        <f>409+600</f>
        <v>1009</v>
      </c>
      <c r="K88" s="196">
        <f>L50</f>
        <v>834</v>
      </c>
      <c r="L88" s="45">
        <f>I88+J88-K88</f>
        <v>916</v>
      </c>
    </row>
    <row r="89" spans="1:12" s="1" customFormat="1" ht="12.75">
      <c r="A89" s="41" t="s">
        <v>74</v>
      </c>
      <c r="B89" s="42">
        <v>194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1079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88</v>
      </c>
      <c r="C90" s="49">
        <v>89</v>
      </c>
      <c r="D90" s="50">
        <v>129</v>
      </c>
      <c r="E90" s="50">
        <v>102</v>
      </c>
      <c r="F90" s="51">
        <f>C90+D90-E90</f>
        <v>116</v>
      </c>
      <c r="G90" s="52">
        <v>112</v>
      </c>
      <c r="H90" s="199">
        <f>+G90-F90</f>
        <v>-4</v>
      </c>
      <c r="I90" s="49">
        <v>116</v>
      </c>
      <c r="J90" s="50">
        <v>139</v>
      </c>
      <c r="K90" s="50">
        <v>115</v>
      </c>
      <c r="L90" s="51">
        <f>I90+J90-K90</f>
        <v>140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560</v>
      </c>
      <c r="C96" s="159"/>
      <c r="D96" s="159"/>
      <c r="E96" s="159"/>
      <c r="F96" s="159"/>
      <c r="G96" s="158"/>
      <c r="H96" s="160">
        <f>SUM(C96:G96)</f>
        <v>0</v>
      </c>
      <c r="I96" s="27"/>
      <c r="J96" s="161">
        <v>2006</v>
      </c>
      <c r="K96" s="162">
        <v>6413</v>
      </c>
      <c r="L96" s="163">
        <f>+G29</f>
        <v>6413</v>
      </c>
    </row>
    <row r="97" spans="1:12" ht="13.5" thickBot="1">
      <c r="A97" s="164" t="s">
        <v>83</v>
      </c>
      <c r="B97" s="165">
        <v>965</v>
      </c>
      <c r="C97" s="166"/>
      <c r="D97" s="166"/>
      <c r="E97" s="166"/>
      <c r="F97" s="166"/>
      <c r="G97" s="165"/>
      <c r="H97" s="167">
        <f>SUM(C97:G97)</f>
        <v>0</v>
      </c>
      <c r="I97" s="27"/>
      <c r="J97" s="168">
        <v>2007</v>
      </c>
      <c r="K97" s="169">
        <f>L29</f>
        <v>6950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3.95</v>
      </c>
      <c r="D102" s="175">
        <f aca="true" t="shared" si="14" ref="D102:D112">+C102-B102</f>
        <v>-0.04999999999999982</v>
      </c>
      <c r="E102" s="175">
        <v>4</v>
      </c>
      <c r="F102" s="175">
        <v>3.4</v>
      </c>
      <c r="G102" s="176">
        <f aca="true" t="shared" si="15" ref="G102:G112">+F102-E102</f>
        <v>-0.6000000000000001</v>
      </c>
      <c r="H102" s="177">
        <v>20622</v>
      </c>
      <c r="I102" s="178">
        <v>21947</v>
      </c>
      <c r="J102" s="179">
        <f aca="true" t="shared" si="16" ref="J102:J112">+I102-H102</f>
        <v>1325</v>
      </c>
    </row>
    <row r="103" spans="1:10" ht="12.75">
      <c r="A103" s="174" t="s">
        <v>85</v>
      </c>
      <c r="B103" s="175">
        <v>6.62</v>
      </c>
      <c r="C103" s="175">
        <v>6.35</v>
      </c>
      <c r="D103" s="175">
        <f t="shared" si="14"/>
        <v>-0.27000000000000046</v>
      </c>
      <c r="E103" s="175">
        <v>7.8</v>
      </c>
      <c r="F103" s="175">
        <v>6.6</v>
      </c>
      <c r="G103" s="176">
        <f t="shared" si="15"/>
        <v>-1.2000000000000002</v>
      </c>
      <c r="H103" s="177">
        <v>17487</v>
      </c>
      <c r="I103" s="180">
        <v>20431</v>
      </c>
      <c r="J103" s="179">
        <f t="shared" si="16"/>
        <v>2944</v>
      </c>
    </row>
    <row r="104" spans="1:10" ht="12.75">
      <c r="A104" s="174" t="s">
        <v>52</v>
      </c>
      <c r="B104" s="175"/>
      <c r="C104" s="175"/>
      <c r="D104" s="175">
        <f t="shared" si="14"/>
        <v>0</v>
      </c>
      <c r="E104" s="175"/>
      <c r="F104" s="175"/>
      <c r="G104" s="176">
        <f t="shared" si="15"/>
        <v>0</v>
      </c>
      <c r="H104" s="177"/>
      <c r="I104" s="180"/>
      <c r="J104" s="179">
        <f t="shared" si="16"/>
        <v>0</v>
      </c>
    </row>
    <row r="105" spans="1:10" ht="12.75">
      <c r="A105" s="174" t="s">
        <v>53</v>
      </c>
      <c r="B105" s="175">
        <v>3.33</v>
      </c>
      <c r="C105" s="175">
        <v>4</v>
      </c>
      <c r="D105" s="175">
        <f t="shared" si="14"/>
        <v>0.6699999999999999</v>
      </c>
      <c r="E105" s="175">
        <v>4</v>
      </c>
      <c r="F105" s="175">
        <v>4</v>
      </c>
      <c r="G105" s="176">
        <f t="shared" si="15"/>
        <v>0</v>
      </c>
      <c r="H105" s="177">
        <v>13958</v>
      </c>
      <c r="I105" s="180">
        <v>13647</v>
      </c>
      <c r="J105" s="179">
        <f t="shared" si="16"/>
        <v>-311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/>
      <c r="C107" s="175"/>
      <c r="D107" s="175">
        <f t="shared" si="14"/>
        <v>0</v>
      </c>
      <c r="E107" s="175"/>
      <c r="F107" s="175"/>
      <c r="G107" s="176">
        <f t="shared" si="15"/>
        <v>0</v>
      </c>
      <c r="H107" s="177"/>
      <c r="I107" s="180"/>
      <c r="J107" s="179">
        <f t="shared" si="16"/>
        <v>0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11.06</v>
      </c>
      <c r="C109" s="175">
        <v>10.19</v>
      </c>
      <c r="D109" s="175">
        <f t="shared" si="14"/>
        <v>-0.870000000000001</v>
      </c>
      <c r="E109" s="175">
        <v>11</v>
      </c>
      <c r="F109" s="175">
        <v>10.5</v>
      </c>
      <c r="G109" s="176">
        <f t="shared" si="15"/>
        <v>-0.5</v>
      </c>
      <c r="H109" s="177">
        <v>11187</v>
      </c>
      <c r="I109" s="180">
        <v>12420</v>
      </c>
      <c r="J109" s="179">
        <f t="shared" si="16"/>
        <v>1233</v>
      </c>
    </row>
    <row r="110" spans="1:10" ht="12.75">
      <c r="A110" s="174" t="s">
        <v>57</v>
      </c>
      <c r="B110" s="175">
        <v>0.53</v>
      </c>
      <c r="C110" s="175">
        <v>1</v>
      </c>
      <c r="D110" s="175">
        <f t="shared" si="14"/>
        <v>0.47</v>
      </c>
      <c r="E110" s="175">
        <v>1</v>
      </c>
      <c r="F110" s="175">
        <v>1</v>
      </c>
      <c r="G110" s="176">
        <f t="shared" si="15"/>
        <v>0</v>
      </c>
      <c r="H110" s="177">
        <v>13863</v>
      </c>
      <c r="I110" s="180">
        <v>15307</v>
      </c>
      <c r="J110" s="179">
        <f t="shared" si="16"/>
        <v>1444</v>
      </c>
    </row>
    <row r="111" spans="1:10" ht="12.75">
      <c r="A111" s="174" t="s">
        <v>58</v>
      </c>
      <c r="B111" s="175">
        <v>9.67</v>
      </c>
      <c r="C111" s="175">
        <v>10.03</v>
      </c>
      <c r="D111" s="175">
        <f t="shared" si="14"/>
        <v>0.35999999999999943</v>
      </c>
      <c r="E111" s="175">
        <v>10</v>
      </c>
      <c r="F111" s="175">
        <v>10.5</v>
      </c>
      <c r="G111" s="176">
        <f t="shared" si="15"/>
        <v>0.5</v>
      </c>
      <c r="H111" s="177">
        <v>11421</v>
      </c>
      <c r="I111" s="180">
        <v>12116</v>
      </c>
      <c r="J111" s="179">
        <f t="shared" si="16"/>
        <v>695</v>
      </c>
    </row>
    <row r="112" spans="1:10" ht="13.5" thickBot="1">
      <c r="A112" s="181" t="s">
        <v>3</v>
      </c>
      <c r="B112" s="182">
        <f>SUM(B102:B111)</f>
        <v>35.21</v>
      </c>
      <c r="C112" s="182">
        <f>SUM(C102:C111)</f>
        <v>35.52</v>
      </c>
      <c r="D112" s="182">
        <f t="shared" si="14"/>
        <v>0.3100000000000023</v>
      </c>
      <c r="E112" s="182">
        <f>SUM(E102:E111)</f>
        <v>37.8</v>
      </c>
      <c r="F112" s="182">
        <f>SUM(F102:F111)</f>
        <v>36</v>
      </c>
      <c r="G112" s="183">
        <f t="shared" si="15"/>
        <v>-1.7999999999999972</v>
      </c>
      <c r="H112" s="184">
        <v>13810</v>
      </c>
      <c r="I112" s="185">
        <v>15045</v>
      </c>
      <c r="J112" s="186">
        <f t="shared" si="16"/>
        <v>1235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35</v>
      </c>
      <c r="C116" s="163">
        <v>36.52</v>
      </c>
      <c r="D116" s="27"/>
      <c r="E116" s="161">
        <v>2006</v>
      </c>
      <c r="F116" s="416">
        <v>60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38</v>
      </c>
      <c r="C117" s="369" t="s">
        <v>508</v>
      </c>
      <c r="D117" s="27"/>
      <c r="E117" s="168">
        <v>2007</v>
      </c>
      <c r="F117" s="417">
        <v>60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B4:D4"/>
    <mergeCell ref="E4:G4"/>
    <mergeCell ref="J4:L4"/>
    <mergeCell ref="A3:A6"/>
    <mergeCell ref="B3:N3"/>
    <mergeCell ref="H4:I4"/>
    <mergeCell ref="M4:N4"/>
    <mergeCell ref="H83:H84"/>
    <mergeCell ref="I83:L83"/>
    <mergeCell ref="A83:A84"/>
    <mergeCell ref="B83:B84"/>
    <mergeCell ref="C83:F83"/>
    <mergeCell ref="G83:G84"/>
    <mergeCell ref="C77:I77"/>
    <mergeCell ref="J77:J79"/>
    <mergeCell ref="L77:M77"/>
    <mergeCell ref="C78:C79"/>
    <mergeCell ref="D78:I78"/>
    <mergeCell ref="A77:A79"/>
    <mergeCell ref="B77:B79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94:A95"/>
    <mergeCell ref="B94:B95"/>
    <mergeCell ref="C94:H94"/>
    <mergeCell ref="J94:L9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3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267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3077</v>
      </c>
      <c r="C8" s="14"/>
      <c r="D8" s="192">
        <f t="shared" si="0"/>
        <v>3077</v>
      </c>
      <c r="E8" s="15">
        <v>3251</v>
      </c>
      <c r="F8" s="14"/>
      <c r="G8" s="192">
        <f t="shared" si="1"/>
        <v>3251</v>
      </c>
      <c r="H8" s="220">
        <f t="shared" si="2"/>
        <v>174</v>
      </c>
      <c r="I8" s="223">
        <f>+G8/D8</f>
        <v>1.0565485862853428</v>
      </c>
      <c r="J8" s="15">
        <f>5014+50</f>
        <v>5064</v>
      </c>
      <c r="K8" s="14"/>
      <c r="L8" s="192">
        <f t="shared" si="3"/>
        <v>5064</v>
      </c>
      <c r="M8" s="220">
        <f t="shared" si="4"/>
        <v>1813</v>
      </c>
      <c r="N8" s="221">
        <f aca="true" t="shared" si="5" ref="N8:N21">+L8/G8</f>
        <v>1.5576745616733312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/>
      <c r="C11" s="14"/>
      <c r="D11" s="192">
        <f t="shared" si="0"/>
        <v>0</v>
      </c>
      <c r="E11" s="15"/>
      <c r="F11" s="14"/>
      <c r="G11" s="192">
        <f t="shared" si="1"/>
        <v>0</v>
      </c>
      <c r="H11" s="220">
        <f t="shared" si="2"/>
        <v>0</v>
      </c>
      <c r="I11" s="223"/>
      <c r="J11" s="15"/>
      <c r="K11" s="14"/>
      <c r="L11" s="192">
        <f t="shared" si="3"/>
        <v>0</v>
      </c>
      <c r="M11" s="220">
        <f t="shared" si="4"/>
        <v>0</v>
      </c>
      <c r="N11" s="221"/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/>
      <c r="F12" s="14"/>
      <c r="G12" s="192">
        <f t="shared" si="1"/>
        <v>0</v>
      </c>
      <c r="H12" s="220">
        <f t="shared" si="2"/>
        <v>0</v>
      </c>
      <c r="I12" s="223"/>
      <c r="J12" s="15"/>
      <c r="K12" s="14"/>
      <c r="L12" s="192">
        <f t="shared" si="3"/>
        <v>0</v>
      </c>
      <c r="M12" s="220">
        <f t="shared" si="4"/>
        <v>0</v>
      </c>
      <c r="N12" s="221"/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4098</v>
      </c>
      <c r="C15" s="14">
        <f>SUM(C16:C17)</f>
        <v>0</v>
      </c>
      <c r="D15" s="192">
        <f t="shared" si="0"/>
        <v>4098</v>
      </c>
      <c r="E15" s="15">
        <f>SUM(E16:E17)</f>
        <v>4503</v>
      </c>
      <c r="F15" s="14">
        <f>SUM(F16:F17)</f>
        <v>0</v>
      </c>
      <c r="G15" s="192">
        <f t="shared" si="1"/>
        <v>4503</v>
      </c>
      <c r="H15" s="220">
        <f t="shared" si="2"/>
        <v>405</v>
      </c>
      <c r="I15" s="223">
        <f>+G15/D15</f>
        <v>1.0988286969253294</v>
      </c>
      <c r="J15" s="17">
        <f>SUM(J16:J17)</f>
        <v>3553</v>
      </c>
      <c r="K15" s="17">
        <f>SUM(K16:K17)</f>
        <v>0</v>
      </c>
      <c r="L15" s="192">
        <f t="shared" si="3"/>
        <v>3553</v>
      </c>
      <c r="M15" s="220">
        <f t="shared" si="4"/>
        <v>-950</v>
      </c>
      <c r="N15" s="221">
        <f t="shared" si="5"/>
        <v>0.7890295358649789</v>
      </c>
    </row>
    <row r="16" spans="1:14" ht="13.5" customHeight="1">
      <c r="A16" s="231" t="s">
        <v>219</v>
      </c>
      <c r="B16" s="15">
        <v>4098</v>
      </c>
      <c r="C16" s="14"/>
      <c r="D16" s="192"/>
      <c r="E16" s="15">
        <v>4503</v>
      </c>
      <c r="F16" s="14"/>
      <c r="G16" s="192">
        <f t="shared" si="1"/>
        <v>4503</v>
      </c>
      <c r="H16" s="220">
        <f t="shared" si="2"/>
        <v>4503</v>
      </c>
      <c r="I16" s="223"/>
      <c r="J16" s="17">
        <f>532</f>
        <v>532</v>
      </c>
      <c r="K16" s="14"/>
      <c r="L16" s="192">
        <f t="shared" si="3"/>
        <v>532</v>
      </c>
      <c r="M16" s="220">
        <f t="shared" si="4"/>
        <v>-3971</v>
      </c>
      <c r="N16" s="221">
        <f t="shared" si="5"/>
        <v>0.11814345991561181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2">
        <f t="shared" si="1"/>
        <v>0</v>
      </c>
      <c r="H17" s="220">
        <f t="shared" si="2"/>
        <v>0</v>
      </c>
      <c r="I17" s="223"/>
      <c r="J17" s="194">
        <v>3021</v>
      </c>
      <c r="K17" s="190"/>
      <c r="L17" s="192">
        <f t="shared" si="3"/>
        <v>3021</v>
      </c>
      <c r="M17" s="220">
        <f t="shared" si="4"/>
        <v>3021</v>
      </c>
      <c r="N17" s="221"/>
    </row>
    <row r="18" spans="1:14" ht="13.5" customHeight="1" thickBot="1">
      <c r="A18" s="209" t="s">
        <v>17</v>
      </c>
      <c r="B18" s="213">
        <f aca="true" t="shared" si="6" ref="B18:G18">SUM(B7+B8+B9+B10+B11+B13+B15)</f>
        <v>7175</v>
      </c>
      <c r="C18" s="214">
        <f t="shared" si="6"/>
        <v>0</v>
      </c>
      <c r="D18" s="215">
        <f t="shared" si="6"/>
        <v>7175</v>
      </c>
      <c r="E18" s="213">
        <f t="shared" si="6"/>
        <v>7754</v>
      </c>
      <c r="F18" s="214">
        <f t="shared" si="6"/>
        <v>0</v>
      </c>
      <c r="G18" s="215">
        <f t="shared" si="6"/>
        <v>7754</v>
      </c>
      <c r="H18" s="217">
        <f t="shared" si="2"/>
        <v>579</v>
      </c>
      <c r="I18" s="132">
        <f>+G18/D18</f>
        <v>1.0806968641114982</v>
      </c>
      <c r="J18" s="225">
        <f>SUM(J7+J8+J9+J10+J11+J13+J15)</f>
        <v>8617</v>
      </c>
      <c r="K18" s="214">
        <f>SUM(K7+K8+K9+K10+K11+K13+K15)</f>
        <v>0</v>
      </c>
      <c r="L18" s="215">
        <f>SUM(L7+L8+L9+L10+L11+L13+L15)</f>
        <v>8617</v>
      </c>
      <c r="M18" s="217">
        <f t="shared" si="4"/>
        <v>863</v>
      </c>
      <c r="N18" s="226">
        <f t="shared" si="5"/>
        <v>1.1112973948929585</v>
      </c>
    </row>
    <row r="19" spans="1:14" ht="13.5" customHeight="1">
      <c r="A19" s="120" t="s">
        <v>18</v>
      </c>
      <c r="B19" s="95">
        <v>1460</v>
      </c>
      <c r="C19" s="96"/>
      <c r="D19" s="97">
        <f aca="true" t="shared" si="7" ref="D19:D36">SUM(B19:C19)</f>
        <v>1460</v>
      </c>
      <c r="E19" s="95">
        <v>1479</v>
      </c>
      <c r="F19" s="96"/>
      <c r="G19" s="121">
        <f aca="true" t="shared" si="8" ref="G19:G36">SUM(E19:F19)</f>
        <v>1479</v>
      </c>
      <c r="H19" s="122">
        <f t="shared" si="2"/>
        <v>19</v>
      </c>
      <c r="I19" s="123">
        <f>+G19/D19</f>
        <v>1.013013698630137</v>
      </c>
      <c r="J19" s="100">
        <f>1510+122</f>
        <v>1632</v>
      </c>
      <c r="K19" s="96"/>
      <c r="L19" s="124">
        <f aca="true" t="shared" si="9" ref="L19:L36">SUM(J19:K19)</f>
        <v>1632</v>
      </c>
      <c r="M19" s="122">
        <f t="shared" si="4"/>
        <v>153</v>
      </c>
      <c r="N19" s="125">
        <f t="shared" si="5"/>
        <v>1.103448275862069</v>
      </c>
    </row>
    <row r="20" spans="1:14" ht="21" customHeight="1">
      <c r="A20" s="106" t="s">
        <v>19</v>
      </c>
      <c r="B20" s="95">
        <v>32</v>
      </c>
      <c r="C20" s="96"/>
      <c r="D20" s="97">
        <f t="shared" si="7"/>
        <v>32</v>
      </c>
      <c r="E20" s="95">
        <v>147</v>
      </c>
      <c r="F20" s="96"/>
      <c r="G20" s="121">
        <f t="shared" si="8"/>
        <v>147</v>
      </c>
      <c r="H20" s="98">
        <f t="shared" si="2"/>
        <v>115</v>
      </c>
      <c r="I20" s="99">
        <f>+G20/D20</f>
        <v>4.59375</v>
      </c>
      <c r="J20" s="100">
        <v>200</v>
      </c>
      <c r="K20" s="96"/>
      <c r="L20" s="124">
        <f t="shared" si="9"/>
        <v>200</v>
      </c>
      <c r="M20" s="98">
        <f t="shared" si="4"/>
        <v>53</v>
      </c>
      <c r="N20" s="101">
        <f t="shared" si="5"/>
        <v>1.3605442176870748</v>
      </c>
    </row>
    <row r="21" spans="1:14" ht="13.5" customHeight="1">
      <c r="A21" s="102" t="s">
        <v>20</v>
      </c>
      <c r="B21" s="103">
        <v>552</v>
      </c>
      <c r="C21" s="104"/>
      <c r="D21" s="97">
        <f t="shared" si="7"/>
        <v>552</v>
      </c>
      <c r="E21" s="103">
        <v>869</v>
      </c>
      <c r="F21" s="104"/>
      <c r="G21" s="121">
        <f t="shared" si="8"/>
        <v>869</v>
      </c>
      <c r="H21" s="98">
        <f t="shared" si="2"/>
        <v>317</v>
      </c>
      <c r="I21" s="99">
        <f>+G21/D21</f>
        <v>1.5742753623188406</v>
      </c>
      <c r="J21" s="105">
        <f>850+117</f>
        <v>967</v>
      </c>
      <c r="K21" s="104"/>
      <c r="L21" s="124">
        <f t="shared" si="9"/>
        <v>967</v>
      </c>
      <c r="M21" s="98">
        <f t="shared" si="4"/>
        <v>98</v>
      </c>
      <c r="N21" s="101">
        <f t="shared" si="5"/>
        <v>1.1127733026467204</v>
      </c>
    </row>
    <row r="22" spans="1:14" ht="13.5" customHeight="1">
      <c r="A22" s="106" t="s">
        <v>21</v>
      </c>
      <c r="B22" s="103"/>
      <c r="C22" s="104"/>
      <c r="D22" s="97">
        <f t="shared" si="7"/>
        <v>0</v>
      </c>
      <c r="E22" s="103"/>
      <c r="F22" s="104"/>
      <c r="G22" s="121">
        <f t="shared" si="8"/>
        <v>0</v>
      </c>
      <c r="H22" s="98">
        <f t="shared" si="2"/>
        <v>0</v>
      </c>
      <c r="I22" s="99"/>
      <c r="J22" s="105"/>
      <c r="K22" s="104"/>
      <c r="L22" s="124">
        <f t="shared" si="9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7"/>
        <v>0</v>
      </c>
      <c r="E23" s="103"/>
      <c r="F23" s="104"/>
      <c r="G23" s="121">
        <f t="shared" si="8"/>
        <v>0</v>
      </c>
      <c r="H23" s="98">
        <f t="shared" si="2"/>
        <v>0</v>
      </c>
      <c r="I23" s="99"/>
      <c r="J23" s="105"/>
      <c r="K23" s="104"/>
      <c r="L23" s="124">
        <f t="shared" si="9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843</v>
      </c>
      <c r="C24" s="104"/>
      <c r="D24" s="97">
        <f t="shared" si="7"/>
        <v>843</v>
      </c>
      <c r="E24" s="105">
        <v>605</v>
      </c>
      <c r="F24" s="104"/>
      <c r="G24" s="121">
        <f t="shared" si="8"/>
        <v>605</v>
      </c>
      <c r="H24" s="98">
        <f t="shared" si="2"/>
        <v>-238</v>
      </c>
      <c r="I24" s="99">
        <f aca="true" t="shared" si="10" ref="I24:I37">+G24/D24</f>
        <v>0.7176749703440095</v>
      </c>
      <c r="J24" s="105">
        <v>673</v>
      </c>
      <c r="K24" s="104"/>
      <c r="L24" s="124">
        <f t="shared" si="9"/>
        <v>673</v>
      </c>
      <c r="M24" s="98">
        <f t="shared" si="4"/>
        <v>68</v>
      </c>
      <c r="N24" s="101">
        <f aca="true" t="shared" si="11" ref="N24:N37">+L24/G24</f>
        <v>1.112396694214876</v>
      </c>
    </row>
    <row r="25" spans="1:14" ht="13.5" customHeight="1">
      <c r="A25" s="106" t="s">
        <v>24</v>
      </c>
      <c r="B25" s="103">
        <v>526</v>
      </c>
      <c r="C25" s="104"/>
      <c r="D25" s="97">
        <f t="shared" si="7"/>
        <v>526</v>
      </c>
      <c r="E25" s="103">
        <v>221</v>
      </c>
      <c r="F25" s="104"/>
      <c r="G25" s="121">
        <f t="shared" si="8"/>
        <v>221</v>
      </c>
      <c r="H25" s="98">
        <f t="shared" si="2"/>
        <v>-305</v>
      </c>
      <c r="I25" s="99">
        <f t="shared" si="10"/>
        <v>0.42015209125475284</v>
      </c>
      <c r="J25" s="126">
        <v>293</v>
      </c>
      <c r="K25" s="104"/>
      <c r="L25" s="124">
        <f t="shared" si="9"/>
        <v>293</v>
      </c>
      <c r="M25" s="98">
        <f t="shared" si="4"/>
        <v>72</v>
      </c>
      <c r="N25" s="101">
        <f t="shared" si="11"/>
        <v>1.3257918552036199</v>
      </c>
    </row>
    <row r="26" spans="1:14" ht="13.5" customHeight="1">
      <c r="A26" s="102" t="s">
        <v>25</v>
      </c>
      <c r="B26" s="103">
        <v>261</v>
      </c>
      <c r="C26" s="104"/>
      <c r="D26" s="97">
        <f t="shared" si="7"/>
        <v>261</v>
      </c>
      <c r="E26" s="103">
        <v>361</v>
      </c>
      <c r="F26" s="104"/>
      <c r="G26" s="121">
        <f t="shared" si="8"/>
        <v>361</v>
      </c>
      <c r="H26" s="98">
        <f t="shared" si="2"/>
        <v>100</v>
      </c>
      <c r="I26" s="99">
        <f t="shared" si="10"/>
        <v>1.3831417624521072</v>
      </c>
      <c r="J26" s="126">
        <v>380</v>
      </c>
      <c r="K26" s="104"/>
      <c r="L26" s="124">
        <f t="shared" si="9"/>
        <v>380</v>
      </c>
      <c r="M26" s="98">
        <f t="shared" si="4"/>
        <v>19</v>
      </c>
      <c r="N26" s="101">
        <f t="shared" si="11"/>
        <v>1.0526315789473684</v>
      </c>
    </row>
    <row r="27" spans="1:14" ht="13.5" customHeight="1">
      <c r="A27" s="127" t="s">
        <v>26</v>
      </c>
      <c r="B27" s="105">
        <v>4012</v>
      </c>
      <c r="C27" s="104"/>
      <c r="D27" s="97">
        <f t="shared" si="7"/>
        <v>4012</v>
      </c>
      <c r="E27" s="105">
        <v>4488</v>
      </c>
      <c r="F27" s="104"/>
      <c r="G27" s="121">
        <f t="shared" si="8"/>
        <v>4488</v>
      </c>
      <c r="H27" s="98">
        <f t="shared" si="2"/>
        <v>476</v>
      </c>
      <c r="I27" s="99">
        <f t="shared" si="10"/>
        <v>1.11864406779661</v>
      </c>
      <c r="J27" s="105">
        <v>4995</v>
      </c>
      <c r="K27" s="104"/>
      <c r="L27" s="124">
        <f t="shared" si="9"/>
        <v>4995</v>
      </c>
      <c r="M27" s="98">
        <f t="shared" si="4"/>
        <v>507</v>
      </c>
      <c r="N27" s="101">
        <f t="shared" si="11"/>
        <v>1.1129679144385027</v>
      </c>
    </row>
    <row r="28" spans="1:14" ht="13.5" customHeight="1">
      <c r="A28" s="106" t="s">
        <v>27</v>
      </c>
      <c r="B28" s="103">
        <v>2934</v>
      </c>
      <c r="C28" s="104"/>
      <c r="D28" s="97">
        <f t="shared" si="7"/>
        <v>2934</v>
      </c>
      <c r="E28" s="103">
        <v>3280</v>
      </c>
      <c r="F28" s="104"/>
      <c r="G28" s="121">
        <f t="shared" si="8"/>
        <v>3280</v>
      </c>
      <c r="H28" s="98">
        <f t="shared" si="2"/>
        <v>346</v>
      </c>
      <c r="I28" s="99">
        <f t="shared" si="10"/>
        <v>1.117927743694615</v>
      </c>
      <c r="J28" s="126">
        <v>3650</v>
      </c>
      <c r="K28" s="128"/>
      <c r="L28" s="124">
        <f t="shared" si="9"/>
        <v>3650</v>
      </c>
      <c r="M28" s="98">
        <f t="shared" si="4"/>
        <v>370</v>
      </c>
      <c r="N28" s="101">
        <f t="shared" si="11"/>
        <v>1.1128048780487805</v>
      </c>
    </row>
    <row r="29" spans="1:14" ht="13.5" customHeight="1">
      <c r="A29" s="127" t="s">
        <v>28</v>
      </c>
      <c r="B29" s="103">
        <v>2914</v>
      </c>
      <c r="C29" s="104"/>
      <c r="D29" s="97">
        <f t="shared" si="7"/>
        <v>2914</v>
      </c>
      <c r="E29" s="103">
        <v>3264</v>
      </c>
      <c r="F29" s="104"/>
      <c r="G29" s="121">
        <f t="shared" si="8"/>
        <v>3264</v>
      </c>
      <c r="H29" s="98">
        <f t="shared" si="2"/>
        <v>350</v>
      </c>
      <c r="I29" s="99">
        <f t="shared" si="10"/>
        <v>1.1201098146877144</v>
      </c>
      <c r="J29" s="105">
        <v>3630</v>
      </c>
      <c r="K29" s="104"/>
      <c r="L29" s="124">
        <f t="shared" si="9"/>
        <v>3630</v>
      </c>
      <c r="M29" s="98">
        <f t="shared" si="4"/>
        <v>366</v>
      </c>
      <c r="N29" s="101">
        <f t="shared" si="11"/>
        <v>1.1121323529411764</v>
      </c>
    </row>
    <row r="30" spans="1:14" ht="13.5" customHeight="1">
      <c r="A30" s="106" t="s">
        <v>29</v>
      </c>
      <c r="B30" s="103">
        <v>20</v>
      </c>
      <c r="C30" s="104"/>
      <c r="D30" s="97">
        <f t="shared" si="7"/>
        <v>20</v>
      </c>
      <c r="E30" s="103">
        <v>16</v>
      </c>
      <c r="F30" s="104"/>
      <c r="G30" s="121">
        <f t="shared" si="8"/>
        <v>16</v>
      </c>
      <c r="H30" s="98">
        <f t="shared" si="2"/>
        <v>-4</v>
      </c>
      <c r="I30" s="99">
        <f t="shared" si="10"/>
        <v>0.8</v>
      </c>
      <c r="J30" s="105">
        <v>20</v>
      </c>
      <c r="K30" s="104"/>
      <c r="L30" s="124">
        <f t="shared" si="9"/>
        <v>20</v>
      </c>
      <c r="M30" s="98">
        <f t="shared" si="4"/>
        <v>4</v>
      </c>
      <c r="N30" s="101">
        <f t="shared" si="11"/>
        <v>1.25</v>
      </c>
    </row>
    <row r="31" spans="1:14" ht="13.5" customHeight="1">
      <c r="A31" s="106" t="s">
        <v>30</v>
      </c>
      <c r="B31" s="103">
        <v>1078</v>
      </c>
      <c r="C31" s="104"/>
      <c r="D31" s="97">
        <f t="shared" si="7"/>
        <v>1078</v>
      </c>
      <c r="E31" s="103">
        <v>1208</v>
      </c>
      <c r="F31" s="104"/>
      <c r="G31" s="121">
        <f t="shared" si="8"/>
        <v>1208</v>
      </c>
      <c r="H31" s="98">
        <f t="shared" si="2"/>
        <v>130</v>
      </c>
      <c r="I31" s="99">
        <f t="shared" si="10"/>
        <v>1.1205936920222634</v>
      </c>
      <c r="J31" s="105">
        <v>1345</v>
      </c>
      <c r="K31" s="104"/>
      <c r="L31" s="124">
        <f t="shared" si="9"/>
        <v>1345</v>
      </c>
      <c r="M31" s="98">
        <f t="shared" si="4"/>
        <v>137</v>
      </c>
      <c r="N31" s="101">
        <f t="shared" si="11"/>
        <v>1.1134105960264902</v>
      </c>
    </row>
    <row r="32" spans="1:14" ht="13.5" customHeight="1">
      <c r="A32" s="127" t="s">
        <v>31</v>
      </c>
      <c r="B32" s="103"/>
      <c r="C32" s="104"/>
      <c r="D32" s="97">
        <f t="shared" si="7"/>
        <v>0</v>
      </c>
      <c r="E32" s="103"/>
      <c r="F32" s="104"/>
      <c r="G32" s="121">
        <f t="shared" si="8"/>
        <v>0</v>
      </c>
      <c r="H32" s="98">
        <f t="shared" si="2"/>
        <v>0</v>
      </c>
      <c r="I32" s="99"/>
      <c r="J32" s="105"/>
      <c r="K32" s="104"/>
      <c r="L32" s="124">
        <f t="shared" si="9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119</v>
      </c>
      <c r="C33" s="104"/>
      <c r="D33" s="97">
        <f t="shared" si="7"/>
        <v>119</v>
      </c>
      <c r="E33" s="103">
        <v>106</v>
      </c>
      <c r="F33" s="104"/>
      <c r="G33" s="121">
        <f t="shared" si="8"/>
        <v>106</v>
      </c>
      <c r="H33" s="98">
        <f t="shared" si="2"/>
        <v>-13</v>
      </c>
      <c r="I33" s="99">
        <f t="shared" si="10"/>
        <v>0.8907563025210085</v>
      </c>
      <c r="J33" s="105">
        <v>150</v>
      </c>
      <c r="K33" s="104"/>
      <c r="L33" s="124">
        <f t="shared" si="9"/>
        <v>150</v>
      </c>
      <c r="M33" s="98">
        <f t="shared" si="4"/>
        <v>44</v>
      </c>
      <c r="N33" s="101">
        <f t="shared" si="11"/>
        <v>1.4150943396226414</v>
      </c>
    </row>
    <row r="34" spans="1:14" ht="13.5" customHeight="1">
      <c r="A34" s="106" t="s">
        <v>33</v>
      </c>
      <c r="B34" s="103">
        <v>219</v>
      </c>
      <c r="C34" s="104"/>
      <c r="D34" s="97">
        <f t="shared" si="7"/>
        <v>219</v>
      </c>
      <c r="E34" s="103">
        <v>206</v>
      </c>
      <c r="F34" s="104"/>
      <c r="G34" s="121">
        <f t="shared" si="8"/>
        <v>206</v>
      </c>
      <c r="H34" s="98">
        <f t="shared" si="2"/>
        <v>-13</v>
      </c>
      <c r="I34" s="99">
        <f t="shared" si="10"/>
        <v>0.9406392694063926</v>
      </c>
      <c r="J34" s="126">
        <v>200</v>
      </c>
      <c r="K34" s="104"/>
      <c r="L34" s="124">
        <f t="shared" si="9"/>
        <v>200</v>
      </c>
      <c r="M34" s="98">
        <f t="shared" si="4"/>
        <v>-6</v>
      </c>
      <c r="N34" s="101">
        <f t="shared" si="11"/>
        <v>0.970873786407767</v>
      </c>
    </row>
    <row r="35" spans="1:14" ht="22.5" customHeight="1">
      <c r="A35" s="106" t="s">
        <v>34</v>
      </c>
      <c r="B35" s="103">
        <v>219</v>
      </c>
      <c r="C35" s="104"/>
      <c r="D35" s="97">
        <f t="shared" si="7"/>
        <v>219</v>
      </c>
      <c r="E35" s="103">
        <v>206</v>
      </c>
      <c r="F35" s="104"/>
      <c r="G35" s="121">
        <f t="shared" si="8"/>
        <v>206</v>
      </c>
      <c r="H35" s="98">
        <f t="shared" si="2"/>
        <v>-13</v>
      </c>
      <c r="I35" s="99">
        <f t="shared" si="10"/>
        <v>0.9406392694063926</v>
      </c>
      <c r="J35" s="126"/>
      <c r="K35" s="104"/>
      <c r="L35" s="124">
        <f t="shared" si="9"/>
        <v>0</v>
      </c>
      <c r="M35" s="98">
        <f t="shared" si="4"/>
        <v>-206</v>
      </c>
      <c r="N35" s="101">
        <f t="shared" si="11"/>
        <v>0</v>
      </c>
    </row>
    <row r="36" spans="1:14" ht="13.5" customHeight="1" thickBot="1">
      <c r="A36" s="129" t="s">
        <v>35</v>
      </c>
      <c r="B36" s="107"/>
      <c r="C36" s="108"/>
      <c r="D36" s="97">
        <f t="shared" si="7"/>
        <v>0</v>
      </c>
      <c r="E36" s="107"/>
      <c r="F36" s="108"/>
      <c r="G36" s="121">
        <f t="shared" si="8"/>
        <v>0</v>
      </c>
      <c r="H36" s="109">
        <f t="shared" si="2"/>
        <v>0</v>
      </c>
      <c r="I36" s="110"/>
      <c r="J36" s="130"/>
      <c r="K36" s="108"/>
      <c r="L36" s="124">
        <f t="shared" si="9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v>7205</v>
      </c>
      <c r="C37" s="114">
        <f>SUM(C19+C21+C22+C23+C24+C27+C32+C33+C34+C36)</f>
        <v>0</v>
      </c>
      <c r="D37" s="115">
        <v>7205</v>
      </c>
      <c r="E37" s="113">
        <f>SUM(E19+E21+E22+E23+E24+E27+E32+E33+E34+E36)</f>
        <v>7753</v>
      </c>
      <c r="F37" s="114">
        <f>SUM(F19+F21+F22+F23+F24+F27+F32+F33+F34+F36)</f>
        <v>0</v>
      </c>
      <c r="G37" s="115">
        <f>SUM(G19+G21+G22+G23+G24+G27+G32+G33+G34+G36)</f>
        <v>7753</v>
      </c>
      <c r="H37" s="116">
        <f t="shared" si="2"/>
        <v>548</v>
      </c>
      <c r="I37" s="117">
        <f t="shared" si="10"/>
        <v>1.076058292852186</v>
      </c>
      <c r="J37" s="115">
        <f>SUM(J19+J21+J22+J23+J24+J27+J32+J33+J34+J36)</f>
        <v>8617</v>
      </c>
      <c r="K37" s="114">
        <f>SUM(K19+K21+K22+K23+K24+K27+K32+K33+K34+K36)</f>
        <v>0</v>
      </c>
      <c r="L37" s="115">
        <f>SUM(L19+L21+L22+L23+L24+L27+L32+L33+L34+L36)</f>
        <v>8617</v>
      </c>
      <c r="M37" s="116">
        <f t="shared" si="4"/>
        <v>864</v>
      </c>
      <c r="N37" s="119">
        <f t="shared" si="11"/>
        <v>1.1114407326196312</v>
      </c>
    </row>
    <row r="38" spans="1:14" ht="13.5" customHeight="1" thickBot="1">
      <c r="A38" s="112" t="s">
        <v>37</v>
      </c>
      <c r="B38" s="470">
        <f>+D18-D37</f>
        <v>-30</v>
      </c>
      <c r="C38" s="470"/>
      <c r="D38" s="470"/>
      <c r="E38" s="471">
        <v>0.26</v>
      </c>
      <c r="F38" s="471"/>
      <c r="G38" s="471">
        <v>-50784</v>
      </c>
      <c r="H38" s="131">
        <f>+E38-B38</f>
        <v>30.26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199</v>
      </c>
      <c r="B43" s="469"/>
      <c r="C43" s="134">
        <v>44</v>
      </c>
      <c r="D43" s="468"/>
      <c r="E43" s="468"/>
      <c r="F43" s="468"/>
      <c r="G43" s="135"/>
      <c r="H43" s="467" t="s">
        <v>200</v>
      </c>
      <c r="I43" s="467"/>
      <c r="J43" s="467"/>
      <c r="K43" s="467"/>
      <c r="L43" s="136">
        <v>90</v>
      </c>
      <c r="O43"/>
      <c r="P43"/>
    </row>
    <row r="44" spans="1:16" ht="12.75">
      <c r="A44" s="463" t="s">
        <v>257</v>
      </c>
      <c r="B44" s="463"/>
      <c r="C44" s="137">
        <v>789</v>
      </c>
      <c r="D44" s="468"/>
      <c r="E44" s="468"/>
      <c r="F44" s="468"/>
      <c r="G44" s="138"/>
      <c r="H44" s="467" t="s">
        <v>258</v>
      </c>
      <c r="I44" s="467"/>
      <c r="J44" s="467"/>
      <c r="K44" s="467"/>
      <c r="L44" s="136">
        <v>100</v>
      </c>
      <c r="O44"/>
      <c r="P44"/>
    </row>
    <row r="45" spans="1:16" ht="12.75">
      <c r="A45" s="463"/>
      <c r="B45" s="463"/>
      <c r="C45" s="137"/>
      <c r="D45" s="468"/>
      <c r="E45" s="468"/>
      <c r="F45" s="468"/>
      <c r="G45" s="138"/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833</v>
      </c>
      <c r="D50" s="451" t="s">
        <v>3</v>
      </c>
      <c r="E50" s="451"/>
      <c r="F50" s="451"/>
      <c r="G50" s="141">
        <f>SUM(G43:G49)</f>
        <v>0</v>
      </c>
      <c r="H50" s="452" t="s">
        <v>3</v>
      </c>
      <c r="I50" s="452"/>
      <c r="J50" s="452"/>
      <c r="K50" s="452"/>
      <c r="L50" s="141">
        <f>SUM(L43:L49)</f>
        <v>190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259</v>
      </c>
      <c r="B54" s="446"/>
      <c r="C54" s="233">
        <v>80</v>
      </c>
      <c r="D54" s="447" t="s">
        <v>260</v>
      </c>
      <c r="E54" s="447"/>
      <c r="F54" s="447"/>
      <c r="G54" s="142">
        <v>105</v>
      </c>
      <c r="H54" s="467" t="s">
        <v>261</v>
      </c>
      <c r="I54" s="467"/>
      <c r="J54" s="467"/>
      <c r="K54" s="467"/>
      <c r="L54" s="136">
        <v>150</v>
      </c>
      <c r="O54"/>
      <c r="P54"/>
    </row>
    <row r="55" spans="1:16" ht="13.5" customHeight="1">
      <c r="A55" s="418" t="s">
        <v>262</v>
      </c>
      <c r="B55" s="419"/>
      <c r="C55" s="234">
        <v>140</v>
      </c>
      <c r="D55" s="420" t="s">
        <v>263</v>
      </c>
      <c r="E55" s="420"/>
      <c r="F55" s="420"/>
      <c r="G55" s="143">
        <v>22</v>
      </c>
      <c r="H55" s="464" t="s">
        <v>264</v>
      </c>
      <c r="I55" s="464"/>
      <c r="J55" s="464"/>
      <c r="K55" s="464"/>
      <c r="L55" s="144">
        <v>50</v>
      </c>
      <c r="O55"/>
      <c r="P55"/>
    </row>
    <row r="56" spans="1:16" ht="13.5" customHeight="1">
      <c r="A56" s="418" t="s">
        <v>202</v>
      </c>
      <c r="B56" s="419"/>
      <c r="C56" s="234">
        <v>70</v>
      </c>
      <c r="D56" s="420" t="s">
        <v>116</v>
      </c>
      <c r="E56" s="420"/>
      <c r="F56" s="420"/>
      <c r="G56" s="143">
        <v>25</v>
      </c>
      <c r="H56" s="464" t="s">
        <v>121</v>
      </c>
      <c r="I56" s="464"/>
      <c r="J56" s="464"/>
      <c r="K56" s="464"/>
      <c r="L56" s="144">
        <v>93</v>
      </c>
      <c r="O56"/>
      <c r="P56"/>
    </row>
    <row r="57" spans="1:16" ht="13.5" customHeight="1">
      <c r="A57" s="418" t="s">
        <v>265</v>
      </c>
      <c r="B57" s="419"/>
      <c r="C57" s="234">
        <v>236</v>
      </c>
      <c r="D57" s="420" t="s">
        <v>266</v>
      </c>
      <c r="E57" s="420"/>
      <c r="F57" s="420"/>
      <c r="G57" s="143">
        <v>69</v>
      </c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526</v>
      </c>
      <c r="D62" s="517" t="s">
        <v>3</v>
      </c>
      <c r="E62" s="517"/>
      <c r="F62" s="517"/>
      <c r="G62" s="149">
        <f>SUM(G54:G61)</f>
        <v>221</v>
      </c>
      <c r="H62" s="452" t="s">
        <v>3</v>
      </c>
      <c r="I62" s="452"/>
      <c r="J62" s="452"/>
      <c r="K62" s="452"/>
      <c r="L62" s="141">
        <f>SUM(L54:L61)</f>
        <v>293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132</v>
      </c>
      <c r="C67" s="483" t="s">
        <v>129</v>
      </c>
      <c r="D67" s="483"/>
      <c r="E67" s="63"/>
      <c r="F67" s="484" t="s">
        <v>126</v>
      </c>
      <c r="G67" s="485"/>
      <c r="H67" s="56">
        <v>104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/>
      <c r="C68" s="478" t="s">
        <v>511</v>
      </c>
      <c r="D68" s="478"/>
      <c r="E68" s="65">
        <v>5</v>
      </c>
      <c r="F68" s="486" t="s">
        <v>127</v>
      </c>
      <c r="G68" s="479"/>
      <c r="H68" s="57">
        <v>0.26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7</v>
      </c>
      <c r="C69" s="478" t="s">
        <v>536</v>
      </c>
      <c r="D69" s="478"/>
      <c r="E69" s="65">
        <v>30</v>
      </c>
      <c r="F69" s="478" t="s">
        <v>125</v>
      </c>
      <c r="G69" s="478"/>
      <c r="H69" s="57">
        <v>10</v>
      </c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139</v>
      </c>
      <c r="C71" s="473" t="s">
        <v>3</v>
      </c>
      <c r="D71" s="473"/>
      <c r="E71" s="70">
        <f>SUM(E67:E70)</f>
        <v>35</v>
      </c>
      <c r="F71" s="474" t="s">
        <v>3</v>
      </c>
      <c r="G71" s="475"/>
      <c r="H71" s="66">
        <f>SUM(H67:H70)</f>
        <v>114.26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104</v>
      </c>
      <c r="C72" s="22"/>
      <c r="D72" s="22"/>
      <c r="E72" s="22"/>
      <c r="F72" s="476" t="s">
        <v>212</v>
      </c>
      <c r="G72" s="477"/>
      <c r="H72" s="80">
        <f>H71-L71</f>
        <v>114.26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2614</v>
      </c>
      <c r="B80" s="30">
        <v>1559</v>
      </c>
      <c r="C80" s="73">
        <f>SUM(D80:I80)</f>
        <v>200</v>
      </c>
      <c r="D80" s="74">
        <v>93</v>
      </c>
      <c r="E80" s="74">
        <v>97</v>
      </c>
      <c r="F80" s="74">
        <v>10</v>
      </c>
      <c r="G80" s="74"/>
      <c r="H80" s="73"/>
      <c r="I80" s="81"/>
      <c r="J80" s="31">
        <f>SUM(A80-B80-C80)</f>
        <v>855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256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511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16</v>
      </c>
      <c r="C86" s="43">
        <v>16</v>
      </c>
      <c r="D86" s="44">
        <v>0</v>
      </c>
      <c r="E86" s="44">
        <v>0</v>
      </c>
      <c r="F86" s="45">
        <f>C86+D86-E86</f>
        <v>16</v>
      </c>
      <c r="G86" s="46">
        <v>16</v>
      </c>
      <c r="H86" s="198">
        <f>+G86-F86</f>
        <v>0</v>
      </c>
      <c r="I86" s="43">
        <v>16</v>
      </c>
      <c r="J86" s="44">
        <v>0</v>
      </c>
      <c r="K86" s="44">
        <v>0</v>
      </c>
      <c r="L86" s="45">
        <f>I86+J86-K86</f>
        <v>16</v>
      </c>
    </row>
    <row r="87" spans="1:12" s="1" customFormat="1" ht="12.75">
      <c r="A87" s="41" t="s">
        <v>73</v>
      </c>
      <c r="B87" s="42">
        <v>132</v>
      </c>
      <c r="C87" s="43">
        <v>132</v>
      </c>
      <c r="D87" s="44">
        <v>7</v>
      </c>
      <c r="E87" s="44">
        <v>35</v>
      </c>
      <c r="F87" s="45">
        <f>C87+D87-E87</f>
        <v>104</v>
      </c>
      <c r="G87" s="46">
        <v>104</v>
      </c>
      <c r="H87" s="198">
        <f>+G87-F87</f>
        <v>0</v>
      </c>
      <c r="I87" s="395">
        <v>104</v>
      </c>
      <c r="J87" s="396">
        <v>10.26</v>
      </c>
      <c r="K87" s="396">
        <v>0</v>
      </c>
      <c r="L87" s="397">
        <f>I87+J87-K87</f>
        <v>114.26</v>
      </c>
    </row>
    <row r="88" spans="1:12" s="1" customFormat="1" ht="12.75">
      <c r="A88" s="41" t="s">
        <v>96</v>
      </c>
      <c r="B88" s="42">
        <v>196</v>
      </c>
      <c r="C88" s="43">
        <v>196</v>
      </c>
      <c r="D88" s="44">
        <v>206</v>
      </c>
      <c r="E88" s="44">
        <v>90</v>
      </c>
      <c r="F88" s="45">
        <f>C88+D88-E88</f>
        <v>312</v>
      </c>
      <c r="G88" s="46">
        <v>312</v>
      </c>
      <c r="H88" s="198">
        <f>+G88-F88</f>
        <v>0</v>
      </c>
      <c r="I88" s="206">
        <v>312</v>
      </c>
      <c r="J88" s="196">
        <v>200</v>
      </c>
      <c r="K88" s="196">
        <v>190</v>
      </c>
      <c r="L88" s="45">
        <f>I88+J88-K88</f>
        <v>322</v>
      </c>
    </row>
    <row r="89" spans="1:12" s="1" customFormat="1" ht="12.75">
      <c r="A89" s="41" t="s">
        <v>74</v>
      </c>
      <c r="B89" s="42">
        <v>0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79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100</v>
      </c>
      <c r="C90" s="49">
        <v>101</v>
      </c>
      <c r="D90" s="50">
        <v>66</v>
      </c>
      <c r="E90" s="50">
        <v>65</v>
      </c>
      <c r="F90" s="51">
        <v>102</v>
      </c>
      <c r="G90" s="52">
        <v>76</v>
      </c>
      <c r="H90" s="199">
        <f>+G90-F90</f>
        <v>-26</v>
      </c>
      <c r="I90" s="49">
        <v>102</v>
      </c>
      <c r="J90" s="50">
        <v>71</v>
      </c>
      <c r="K90" s="50">
        <v>85</v>
      </c>
      <c r="L90" s="51">
        <f>I90+J90-K90</f>
        <v>88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249</v>
      </c>
      <c r="C96" s="159">
        <v>141</v>
      </c>
      <c r="D96" s="159">
        <v>108</v>
      </c>
      <c r="E96" s="159"/>
      <c r="F96" s="159"/>
      <c r="G96" s="158"/>
      <c r="H96" s="160">
        <f>SUM(C96:G96)</f>
        <v>249</v>
      </c>
      <c r="I96" s="27"/>
      <c r="J96" s="161">
        <v>2006</v>
      </c>
      <c r="K96" s="162">
        <v>3264</v>
      </c>
      <c r="L96" s="163">
        <f>+G29</f>
        <v>3264</v>
      </c>
    </row>
    <row r="97" spans="1:12" ht="13.5" thickBot="1">
      <c r="A97" s="164" t="s">
        <v>83</v>
      </c>
      <c r="B97" s="165">
        <v>421</v>
      </c>
      <c r="C97" s="166">
        <v>421</v>
      </c>
      <c r="D97" s="166"/>
      <c r="E97" s="166"/>
      <c r="F97" s="166"/>
      <c r="G97" s="165"/>
      <c r="H97" s="167">
        <f>SUM(C97:G97)</f>
        <v>421</v>
      </c>
      <c r="I97" s="27"/>
      <c r="J97" s="168">
        <v>2007</v>
      </c>
      <c r="K97" s="169">
        <f>L29</f>
        <v>3630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3.1</v>
      </c>
      <c r="C102" s="175">
        <v>2.3</v>
      </c>
      <c r="D102" s="175">
        <f aca="true" t="shared" si="12" ref="D102:D112">+C102-B102</f>
        <v>-0.8000000000000003</v>
      </c>
      <c r="E102" s="175">
        <v>2.3</v>
      </c>
      <c r="F102" s="175">
        <v>2.3</v>
      </c>
      <c r="G102" s="176">
        <f aca="true" t="shared" si="13" ref="G102:G112">+F102-E102</f>
        <v>0</v>
      </c>
      <c r="H102" s="177">
        <v>24000</v>
      </c>
      <c r="I102" s="178">
        <v>26000</v>
      </c>
      <c r="J102" s="179">
        <f aca="true" t="shared" si="14" ref="J102:J112">+I102-H102</f>
        <v>2000</v>
      </c>
    </row>
    <row r="103" spans="1:10" ht="12.75">
      <c r="A103" s="174" t="s">
        <v>85</v>
      </c>
      <c r="B103" s="175">
        <v>3.3</v>
      </c>
      <c r="C103" s="175">
        <v>3.1</v>
      </c>
      <c r="D103" s="175">
        <f t="shared" si="12"/>
        <v>-0.19999999999999973</v>
      </c>
      <c r="E103" s="175">
        <v>3</v>
      </c>
      <c r="F103" s="175">
        <v>3</v>
      </c>
      <c r="G103" s="176">
        <f t="shared" si="13"/>
        <v>0</v>
      </c>
      <c r="H103" s="177">
        <v>16000</v>
      </c>
      <c r="I103" s="180">
        <v>19000</v>
      </c>
      <c r="J103" s="179">
        <f t="shared" si="14"/>
        <v>3000</v>
      </c>
    </row>
    <row r="104" spans="1:10" ht="12.75">
      <c r="A104" s="174" t="s">
        <v>52</v>
      </c>
      <c r="B104" s="175"/>
      <c r="C104" s="175"/>
      <c r="D104" s="175">
        <f t="shared" si="12"/>
        <v>0</v>
      </c>
      <c r="E104" s="175"/>
      <c r="F104" s="175"/>
      <c r="G104" s="176">
        <f t="shared" si="13"/>
        <v>0</v>
      </c>
      <c r="H104" s="177"/>
      <c r="I104" s="180"/>
      <c r="J104" s="179">
        <f t="shared" si="14"/>
        <v>0</v>
      </c>
    </row>
    <row r="105" spans="1:10" ht="12.75">
      <c r="A105" s="174" t="s">
        <v>53</v>
      </c>
      <c r="B105" s="175">
        <v>6</v>
      </c>
      <c r="C105" s="175">
        <v>6</v>
      </c>
      <c r="D105" s="175">
        <f t="shared" si="12"/>
        <v>0</v>
      </c>
      <c r="E105" s="175">
        <v>6</v>
      </c>
      <c r="F105" s="175">
        <v>6</v>
      </c>
      <c r="G105" s="176">
        <f t="shared" si="13"/>
        <v>0</v>
      </c>
      <c r="H105" s="177">
        <v>12000</v>
      </c>
      <c r="I105" s="180">
        <v>14000</v>
      </c>
      <c r="J105" s="179">
        <f t="shared" si="14"/>
        <v>2000</v>
      </c>
    </row>
    <row r="106" spans="1:10" ht="12.75">
      <c r="A106" s="174" t="s">
        <v>86</v>
      </c>
      <c r="B106" s="175"/>
      <c r="C106" s="175"/>
      <c r="D106" s="175">
        <f t="shared" si="12"/>
        <v>0</v>
      </c>
      <c r="E106" s="175"/>
      <c r="F106" s="175"/>
      <c r="G106" s="176">
        <f t="shared" si="13"/>
        <v>0</v>
      </c>
      <c r="H106" s="177"/>
      <c r="I106" s="180"/>
      <c r="J106" s="179">
        <f t="shared" si="14"/>
        <v>0</v>
      </c>
    </row>
    <row r="107" spans="1:10" ht="12.75">
      <c r="A107" s="174" t="s">
        <v>54</v>
      </c>
      <c r="B107" s="175"/>
      <c r="C107" s="175"/>
      <c r="D107" s="175">
        <f t="shared" si="12"/>
        <v>0</v>
      </c>
      <c r="E107" s="175"/>
      <c r="F107" s="175"/>
      <c r="G107" s="176">
        <f t="shared" si="13"/>
        <v>0</v>
      </c>
      <c r="H107" s="177"/>
      <c r="I107" s="180"/>
      <c r="J107" s="179">
        <f t="shared" si="14"/>
        <v>0</v>
      </c>
    </row>
    <row r="108" spans="1:10" ht="12.75">
      <c r="A108" s="174" t="s">
        <v>55</v>
      </c>
      <c r="B108" s="175"/>
      <c r="C108" s="175"/>
      <c r="D108" s="175">
        <f t="shared" si="12"/>
        <v>0</v>
      </c>
      <c r="E108" s="175"/>
      <c r="F108" s="175"/>
      <c r="G108" s="176">
        <f t="shared" si="13"/>
        <v>0</v>
      </c>
      <c r="H108" s="177"/>
      <c r="I108" s="180"/>
      <c r="J108" s="179">
        <f t="shared" si="14"/>
        <v>0</v>
      </c>
    </row>
    <row r="109" spans="1:10" ht="12.75">
      <c r="A109" s="174" t="s">
        <v>56</v>
      </c>
      <c r="B109" s="175"/>
      <c r="C109" s="175"/>
      <c r="D109" s="175">
        <f t="shared" si="12"/>
        <v>0</v>
      </c>
      <c r="E109" s="175"/>
      <c r="F109" s="175"/>
      <c r="G109" s="176">
        <f t="shared" si="13"/>
        <v>0</v>
      </c>
      <c r="H109" s="177"/>
      <c r="I109" s="180"/>
      <c r="J109" s="179">
        <f t="shared" si="14"/>
        <v>0</v>
      </c>
    </row>
    <row r="110" spans="1:10" ht="12.75">
      <c r="A110" s="174" t="s">
        <v>57</v>
      </c>
      <c r="B110" s="175">
        <v>1.4</v>
      </c>
      <c r="C110" s="175">
        <v>1.1</v>
      </c>
      <c r="D110" s="175">
        <f t="shared" si="12"/>
        <v>-0.2999999999999998</v>
      </c>
      <c r="E110" s="175">
        <v>1</v>
      </c>
      <c r="F110" s="175">
        <v>1</v>
      </c>
      <c r="G110" s="176">
        <f t="shared" si="13"/>
        <v>0</v>
      </c>
      <c r="H110" s="177">
        <v>10000</v>
      </c>
      <c r="I110" s="180">
        <v>11000</v>
      </c>
      <c r="J110" s="179">
        <f t="shared" si="14"/>
        <v>1000</v>
      </c>
    </row>
    <row r="111" spans="1:10" ht="12.75">
      <c r="A111" s="174" t="s">
        <v>58</v>
      </c>
      <c r="B111" s="175">
        <v>5.3</v>
      </c>
      <c r="C111" s="175">
        <v>5.7</v>
      </c>
      <c r="D111" s="175">
        <f t="shared" si="12"/>
        <v>0.40000000000000036</v>
      </c>
      <c r="E111" s="175">
        <v>5.5</v>
      </c>
      <c r="F111" s="175">
        <v>5.5</v>
      </c>
      <c r="G111" s="176">
        <f t="shared" si="13"/>
        <v>0</v>
      </c>
      <c r="H111" s="177">
        <v>10000</v>
      </c>
      <c r="I111" s="180">
        <v>11000</v>
      </c>
      <c r="J111" s="179">
        <f t="shared" si="14"/>
        <v>1000</v>
      </c>
    </row>
    <row r="112" spans="1:10" ht="13.5" thickBot="1">
      <c r="A112" s="181" t="s">
        <v>3</v>
      </c>
      <c r="B112" s="182">
        <f>SUM(B102:B111)</f>
        <v>19.1</v>
      </c>
      <c r="C112" s="182">
        <f>SUM(C102:C111)</f>
        <v>18.2</v>
      </c>
      <c r="D112" s="182">
        <f t="shared" si="12"/>
        <v>-0.9000000000000021</v>
      </c>
      <c r="E112" s="182">
        <f>SUM(E102:E111)</f>
        <v>17.8</v>
      </c>
      <c r="F112" s="182">
        <f>SUM(F102:F111)</f>
        <v>17.8</v>
      </c>
      <c r="G112" s="183">
        <f t="shared" si="13"/>
        <v>0</v>
      </c>
      <c r="H112" s="184">
        <v>14500</v>
      </c>
      <c r="I112" s="185">
        <v>16000</v>
      </c>
      <c r="J112" s="186">
        <f t="shared" si="14"/>
        <v>1500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19</v>
      </c>
      <c r="C116" s="163">
        <v>19</v>
      </c>
      <c r="D116" s="27"/>
      <c r="E116" s="161">
        <v>2006</v>
      </c>
      <c r="F116" s="416">
        <v>41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19</v>
      </c>
      <c r="C117" s="369" t="s">
        <v>508</v>
      </c>
      <c r="D117" s="27"/>
      <c r="E117" s="168">
        <v>2007</v>
      </c>
      <c r="F117" s="417">
        <v>41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J94:L94"/>
    <mergeCell ref="A100:A101"/>
    <mergeCell ref="B100:D100"/>
    <mergeCell ref="E100:G100"/>
    <mergeCell ref="H100:J100"/>
    <mergeCell ref="A94:A95"/>
    <mergeCell ref="B94:B95"/>
    <mergeCell ref="C94:H94"/>
    <mergeCell ref="H83:H84"/>
    <mergeCell ref="I83:L83"/>
    <mergeCell ref="A77:A79"/>
    <mergeCell ref="B77:B79"/>
    <mergeCell ref="A83:A84"/>
    <mergeCell ref="B83:B84"/>
    <mergeCell ref="C83:F83"/>
    <mergeCell ref="G83:G84"/>
    <mergeCell ref="L77:M77"/>
    <mergeCell ref="C77:I77"/>
    <mergeCell ref="B4:D4"/>
    <mergeCell ref="E4:G4"/>
    <mergeCell ref="J4:L4"/>
    <mergeCell ref="A3:A6"/>
    <mergeCell ref="B3:N3"/>
    <mergeCell ref="H4:I4"/>
    <mergeCell ref="M4:N4"/>
    <mergeCell ref="F68:G68"/>
    <mergeCell ref="I68:K68"/>
    <mergeCell ref="C69:D69"/>
    <mergeCell ref="F69:G69"/>
    <mergeCell ref="I69:K69"/>
    <mergeCell ref="C70:D70"/>
    <mergeCell ref="F70:G70"/>
    <mergeCell ref="I70:K70"/>
    <mergeCell ref="J77:J79"/>
    <mergeCell ref="C78:C79"/>
    <mergeCell ref="D78:I78"/>
    <mergeCell ref="C71:D71"/>
    <mergeCell ref="F71:G71"/>
    <mergeCell ref="I71:K71"/>
    <mergeCell ref="F72:G72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B38:D38"/>
    <mergeCell ref="E38:G38"/>
    <mergeCell ref="J38:L38"/>
    <mergeCell ref="B39:D39"/>
    <mergeCell ref="H43:K43"/>
    <mergeCell ref="L52:L53"/>
    <mergeCell ref="E39:G39"/>
    <mergeCell ref="H41:K42"/>
    <mergeCell ref="L41:L42"/>
    <mergeCell ref="G41:G42"/>
    <mergeCell ref="A43:B43"/>
    <mergeCell ref="D43:F43"/>
    <mergeCell ref="A41:B42"/>
    <mergeCell ref="C41:C42"/>
    <mergeCell ref="D41:F4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364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0</v>
      </c>
      <c r="C7" s="188">
        <v>0</v>
      </c>
      <c r="D7" s="191">
        <f aca="true" t="shared" si="0" ref="D7:D17">SUM(B7:C7)</f>
        <v>0</v>
      </c>
      <c r="E7" s="187">
        <v>0</v>
      </c>
      <c r="F7" s="188">
        <v>0</v>
      </c>
      <c r="G7" s="191">
        <f aca="true" t="shared" si="1" ref="G7:G17">SUM(E7:F7)</f>
        <v>0</v>
      </c>
      <c r="H7" s="218">
        <f aca="true" t="shared" si="2" ref="H7:H37">+G7-D7</f>
        <v>0</v>
      </c>
      <c r="I7" s="223"/>
      <c r="J7" s="187">
        <v>0</v>
      </c>
      <c r="K7" s="188">
        <v>0</v>
      </c>
      <c r="L7" s="191">
        <f aca="true" t="shared" si="3" ref="L7:L17">SUM(J7:K7)</f>
        <v>0</v>
      </c>
      <c r="M7" s="218">
        <f aca="true" t="shared" si="4" ref="M7:M37">+L7-G7</f>
        <v>0</v>
      </c>
      <c r="N7" s="221"/>
    </row>
    <row r="8" spans="1:14" ht="13.5" customHeight="1">
      <c r="A8" s="229" t="s">
        <v>9</v>
      </c>
      <c r="B8" s="15">
        <v>5399</v>
      </c>
      <c r="C8" s="14">
        <v>0</v>
      </c>
      <c r="D8" s="192">
        <f t="shared" si="0"/>
        <v>5399</v>
      </c>
      <c r="E8" s="15">
        <v>5658</v>
      </c>
      <c r="F8" s="14">
        <v>0</v>
      </c>
      <c r="G8" s="192">
        <f t="shared" si="1"/>
        <v>5658</v>
      </c>
      <c r="H8" s="220">
        <f t="shared" si="2"/>
        <v>259</v>
      </c>
      <c r="I8" s="223">
        <f aca="true" t="shared" si="5" ref="I8:I37">+G8/D8</f>
        <v>1.0479718466382664</v>
      </c>
      <c r="J8" s="15">
        <f>8468+0</f>
        <v>8468</v>
      </c>
      <c r="K8" s="14">
        <v>0</v>
      </c>
      <c r="L8" s="192">
        <f t="shared" si="3"/>
        <v>8468</v>
      </c>
      <c r="M8" s="220">
        <f t="shared" si="4"/>
        <v>2810</v>
      </c>
      <c r="N8" s="221">
        <f aca="true" t="shared" si="6" ref="N8:N38">+L8/G8</f>
        <v>1.4966419229409686</v>
      </c>
    </row>
    <row r="9" spans="1:14" ht="13.5" customHeight="1">
      <c r="A9" s="229" t="s">
        <v>10</v>
      </c>
      <c r="B9" s="15">
        <v>0</v>
      </c>
      <c r="C9" s="14">
        <v>0</v>
      </c>
      <c r="D9" s="192">
        <f t="shared" si="0"/>
        <v>0</v>
      </c>
      <c r="E9" s="15">
        <v>0</v>
      </c>
      <c r="F9" s="14">
        <v>0</v>
      </c>
      <c r="G9" s="192">
        <f t="shared" si="1"/>
        <v>0</v>
      </c>
      <c r="H9" s="220">
        <f t="shared" si="2"/>
        <v>0</v>
      </c>
      <c r="I9" s="223"/>
      <c r="J9" s="15">
        <v>0</v>
      </c>
      <c r="K9" s="14">
        <v>0</v>
      </c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>
        <v>0</v>
      </c>
      <c r="C10" s="14">
        <v>0</v>
      </c>
      <c r="D10" s="192">
        <f t="shared" si="0"/>
        <v>0</v>
      </c>
      <c r="E10" s="15">
        <v>0</v>
      </c>
      <c r="F10" s="14">
        <v>0</v>
      </c>
      <c r="G10" s="192">
        <f t="shared" si="1"/>
        <v>0</v>
      </c>
      <c r="H10" s="220">
        <f t="shared" si="2"/>
        <v>0</v>
      </c>
      <c r="I10" s="223"/>
      <c r="J10" s="15">
        <v>0</v>
      </c>
      <c r="K10" s="14">
        <v>0</v>
      </c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141</v>
      </c>
      <c r="C11" s="14">
        <v>0</v>
      </c>
      <c r="D11" s="192">
        <f t="shared" si="0"/>
        <v>141</v>
      </c>
      <c r="E11" s="15">
        <v>246</v>
      </c>
      <c r="F11" s="14">
        <v>0</v>
      </c>
      <c r="G11" s="192">
        <f t="shared" si="1"/>
        <v>246</v>
      </c>
      <c r="H11" s="220">
        <f t="shared" si="2"/>
        <v>105</v>
      </c>
      <c r="I11" s="223">
        <f t="shared" si="5"/>
        <v>1.7446808510638299</v>
      </c>
      <c r="J11" s="15">
        <v>100</v>
      </c>
      <c r="K11" s="14">
        <v>0</v>
      </c>
      <c r="L11" s="192">
        <f t="shared" si="3"/>
        <v>100</v>
      </c>
      <c r="M11" s="220">
        <f t="shared" si="4"/>
        <v>-146</v>
      </c>
      <c r="N11" s="221">
        <f t="shared" si="6"/>
        <v>0.4065040650406504</v>
      </c>
    </row>
    <row r="12" spans="1:14" ht="13.5" customHeight="1">
      <c r="A12" s="230" t="s">
        <v>13</v>
      </c>
      <c r="B12" s="15">
        <v>0</v>
      </c>
      <c r="C12" s="14">
        <v>0</v>
      </c>
      <c r="D12" s="192">
        <f t="shared" si="0"/>
        <v>0</v>
      </c>
      <c r="E12" s="15">
        <v>169</v>
      </c>
      <c r="F12" s="14">
        <v>0</v>
      </c>
      <c r="G12" s="192">
        <f t="shared" si="1"/>
        <v>169</v>
      </c>
      <c r="H12" s="220">
        <f t="shared" si="2"/>
        <v>169</v>
      </c>
      <c r="I12" s="223"/>
      <c r="J12" s="15">
        <v>0</v>
      </c>
      <c r="K12" s="14">
        <v>0</v>
      </c>
      <c r="L12" s="192">
        <f t="shared" si="3"/>
        <v>0</v>
      </c>
      <c r="M12" s="220">
        <f t="shared" si="4"/>
        <v>-169</v>
      </c>
      <c r="N12" s="221">
        <f t="shared" si="6"/>
        <v>0</v>
      </c>
    </row>
    <row r="13" spans="1:14" ht="13.5" customHeight="1">
      <c r="A13" s="230" t="s">
        <v>14</v>
      </c>
      <c r="B13" s="15">
        <v>0</v>
      </c>
      <c r="C13" s="14">
        <v>0</v>
      </c>
      <c r="D13" s="192">
        <f t="shared" si="0"/>
        <v>0</v>
      </c>
      <c r="E13" s="15">
        <v>0</v>
      </c>
      <c r="F13" s="14">
        <v>0</v>
      </c>
      <c r="G13" s="192">
        <f t="shared" si="1"/>
        <v>0</v>
      </c>
      <c r="H13" s="220">
        <f t="shared" si="2"/>
        <v>0</v>
      </c>
      <c r="I13" s="223"/>
      <c r="J13" s="15">
        <v>0</v>
      </c>
      <c r="K13" s="14">
        <v>0</v>
      </c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>
        <v>0</v>
      </c>
      <c r="C14" s="14">
        <v>0</v>
      </c>
      <c r="D14" s="192">
        <f t="shared" si="0"/>
        <v>0</v>
      </c>
      <c r="E14" s="15">
        <v>0</v>
      </c>
      <c r="F14" s="14">
        <v>0</v>
      </c>
      <c r="G14" s="192">
        <f t="shared" si="1"/>
        <v>0</v>
      </c>
      <c r="H14" s="220">
        <f t="shared" si="2"/>
        <v>0</v>
      </c>
      <c r="I14" s="223"/>
      <c r="J14" s="15">
        <v>0</v>
      </c>
      <c r="K14" s="14">
        <v>0</v>
      </c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7251</v>
      </c>
      <c r="C15" s="14">
        <f>SUM(C16:C17)</f>
        <v>0</v>
      </c>
      <c r="D15" s="192">
        <f t="shared" si="0"/>
        <v>7251</v>
      </c>
      <c r="E15" s="15">
        <f>SUM(E16:E17)</f>
        <v>7573</v>
      </c>
      <c r="F15" s="14">
        <f>SUM(F16:F17)</f>
        <v>0</v>
      </c>
      <c r="G15" s="192">
        <f t="shared" si="1"/>
        <v>7573</v>
      </c>
      <c r="H15" s="220">
        <f t="shared" si="2"/>
        <v>322</v>
      </c>
      <c r="I15" s="223">
        <f t="shared" si="5"/>
        <v>1.0444076679078749</v>
      </c>
      <c r="J15" s="17">
        <f>SUM(J16:J17)</f>
        <v>6872</v>
      </c>
      <c r="K15" s="17">
        <f>SUM(K16:K17)</f>
        <v>0</v>
      </c>
      <c r="L15" s="192">
        <f t="shared" si="3"/>
        <v>6872</v>
      </c>
      <c r="M15" s="220">
        <f t="shared" si="4"/>
        <v>-701</v>
      </c>
      <c r="N15" s="221">
        <f t="shared" si="6"/>
        <v>0.9074343060874158</v>
      </c>
    </row>
    <row r="16" spans="1:14" ht="13.5" customHeight="1">
      <c r="A16" s="231" t="s">
        <v>219</v>
      </c>
      <c r="B16" s="15">
        <v>7251</v>
      </c>
      <c r="C16" s="14">
        <v>0</v>
      </c>
      <c r="D16" s="192">
        <f t="shared" si="0"/>
        <v>7251</v>
      </c>
      <c r="E16" s="15">
        <v>7573</v>
      </c>
      <c r="F16" s="14">
        <v>0</v>
      </c>
      <c r="G16" s="192">
        <f t="shared" si="1"/>
        <v>7573</v>
      </c>
      <c r="H16" s="220">
        <f t="shared" si="2"/>
        <v>322</v>
      </c>
      <c r="I16" s="223">
        <f t="shared" si="5"/>
        <v>1.0444076679078749</v>
      </c>
      <c r="J16" s="17">
        <f>909</f>
        <v>909</v>
      </c>
      <c r="K16" s="14">
        <v>0</v>
      </c>
      <c r="L16" s="192">
        <f t="shared" si="3"/>
        <v>909</v>
      </c>
      <c r="M16" s="220">
        <f t="shared" si="4"/>
        <v>-6664</v>
      </c>
      <c r="N16" s="221">
        <f t="shared" si="6"/>
        <v>0.120031691535719</v>
      </c>
    </row>
    <row r="17" spans="1:14" ht="13.5" customHeight="1" thickBot="1">
      <c r="A17" s="232" t="s">
        <v>220</v>
      </c>
      <c r="B17" s="189">
        <v>0</v>
      </c>
      <c r="C17" s="190">
        <v>0</v>
      </c>
      <c r="D17" s="192">
        <f t="shared" si="0"/>
        <v>0</v>
      </c>
      <c r="E17" s="189">
        <v>0</v>
      </c>
      <c r="F17" s="190">
        <v>0</v>
      </c>
      <c r="G17" s="193">
        <f t="shared" si="1"/>
        <v>0</v>
      </c>
      <c r="H17" s="366">
        <f t="shared" si="2"/>
        <v>0</v>
      </c>
      <c r="I17" s="370"/>
      <c r="J17" s="194">
        <v>5963</v>
      </c>
      <c r="K17" s="190">
        <v>0</v>
      </c>
      <c r="L17" s="193">
        <f t="shared" si="3"/>
        <v>5963</v>
      </c>
      <c r="M17" s="366">
        <f t="shared" si="4"/>
        <v>5963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12791</v>
      </c>
      <c r="C18" s="214">
        <f t="shared" si="7"/>
        <v>0</v>
      </c>
      <c r="D18" s="215">
        <f t="shared" si="7"/>
        <v>12791</v>
      </c>
      <c r="E18" s="213">
        <f t="shared" si="7"/>
        <v>13477</v>
      </c>
      <c r="F18" s="214">
        <f t="shared" si="7"/>
        <v>0</v>
      </c>
      <c r="G18" s="215">
        <f t="shared" si="7"/>
        <v>13477</v>
      </c>
      <c r="H18" s="217">
        <f t="shared" si="2"/>
        <v>686</v>
      </c>
      <c r="I18" s="132">
        <f t="shared" si="5"/>
        <v>1.0536314596200453</v>
      </c>
      <c r="J18" s="225">
        <f>SUM(J7+J8+J9+J10+J11+J13+J15)</f>
        <v>15440</v>
      </c>
      <c r="K18" s="214">
        <f>SUM(K7+K8+K9+K10+K11+K13+K15)</f>
        <v>0</v>
      </c>
      <c r="L18" s="215">
        <f>SUM(L7+L8+L9+L10+L11+L13+L15)</f>
        <v>15440</v>
      </c>
      <c r="M18" s="217">
        <f t="shared" si="4"/>
        <v>1963</v>
      </c>
      <c r="N18" s="226">
        <f t="shared" si="6"/>
        <v>1.1456555613267048</v>
      </c>
    </row>
    <row r="19" spans="1:14" ht="13.5" customHeight="1">
      <c r="A19" s="120" t="s">
        <v>18</v>
      </c>
      <c r="B19" s="95">
        <v>2633</v>
      </c>
      <c r="C19" s="96">
        <v>0</v>
      </c>
      <c r="D19" s="97">
        <f aca="true" t="shared" si="8" ref="D19:D36">SUM(B19:C19)</f>
        <v>2633</v>
      </c>
      <c r="E19" s="95">
        <v>3395</v>
      </c>
      <c r="F19" s="96">
        <v>0</v>
      </c>
      <c r="G19" s="121">
        <f aca="true" t="shared" si="9" ref="G19:G36">SUM(E19:F19)</f>
        <v>3395</v>
      </c>
      <c r="H19" s="122">
        <f t="shared" si="2"/>
        <v>762</v>
      </c>
      <c r="I19" s="123">
        <f t="shared" si="5"/>
        <v>1.2894037219901253</v>
      </c>
      <c r="J19" s="100">
        <f>3572+21+200</f>
        <v>3793</v>
      </c>
      <c r="K19" s="96">
        <v>0</v>
      </c>
      <c r="L19" s="124">
        <f aca="true" t="shared" si="10" ref="L19:L36">SUM(J19:K19)</f>
        <v>3793</v>
      </c>
      <c r="M19" s="122">
        <f t="shared" si="4"/>
        <v>398</v>
      </c>
      <c r="N19" s="125">
        <f t="shared" si="6"/>
        <v>1.1172312223858616</v>
      </c>
    </row>
    <row r="20" spans="1:14" ht="21" customHeight="1">
      <c r="A20" s="106" t="s">
        <v>19</v>
      </c>
      <c r="B20" s="95">
        <v>727</v>
      </c>
      <c r="C20" s="96">
        <v>0</v>
      </c>
      <c r="D20" s="97">
        <f t="shared" si="8"/>
        <v>727</v>
      </c>
      <c r="E20" s="95">
        <v>1160</v>
      </c>
      <c r="F20" s="96">
        <v>0</v>
      </c>
      <c r="G20" s="121">
        <f t="shared" si="9"/>
        <v>1160</v>
      </c>
      <c r="H20" s="98">
        <f t="shared" si="2"/>
        <v>433</v>
      </c>
      <c r="I20" s="99">
        <f t="shared" si="5"/>
        <v>1.595598349381018</v>
      </c>
      <c r="J20" s="100">
        <v>1000</v>
      </c>
      <c r="K20" s="96">
        <v>0</v>
      </c>
      <c r="L20" s="124">
        <f t="shared" si="10"/>
        <v>1000</v>
      </c>
      <c r="M20" s="98">
        <f t="shared" si="4"/>
        <v>-160</v>
      </c>
      <c r="N20" s="101">
        <f t="shared" si="6"/>
        <v>0.8620689655172413</v>
      </c>
    </row>
    <row r="21" spans="1:14" ht="13.5" customHeight="1">
      <c r="A21" s="102" t="s">
        <v>20</v>
      </c>
      <c r="B21" s="103">
        <v>1095</v>
      </c>
      <c r="C21" s="104">
        <v>0</v>
      </c>
      <c r="D21" s="97">
        <f t="shared" si="8"/>
        <v>1095</v>
      </c>
      <c r="E21" s="103">
        <v>863</v>
      </c>
      <c r="F21" s="104">
        <v>0</v>
      </c>
      <c r="G21" s="121">
        <f t="shared" si="9"/>
        <v>863</v>
      </c>
      <c r="H21" s="98">
        <f t="shared" si="2"/>
        <v>-232</v>
      </c>
      <c r="I21" s="99">
        <f t="shared" si="5"/>
        <v>0.7881278538812785</v>
      </c>
      <c r="J21" s="105">
        <f>1000-220</f>
        <v>780</v>
      </c>
      <c r="K21" s="104">
        <v>0</v>
      </c>
      <c r="L21" s="124">
        <f t="shared" si="10"/>
        <v>780</v>
      </c>
      <c r="M21" s="98">
        <f t="shared" si="4"/>
        <v>-83</v>
      </c>
      <c r="N21" s="101">
        <f t="shared" si="6"/>
        <v>0.9038238702201622</v>
      </c>
    </row>
    <row r="22" spans="1:14" ht="13.5" customHeight="1">
      <c r="A22" s="106" t="s">
        <v>21</v>
      </c>
      <c r="B22" s="103">
        <v>72</v>
      </c>
      <c r="C22" s="104">
        <v>0</v>
      </c>
      <c r="D22" s="97">
        <f t="shared" si="8"/>
        <v>72</v>
      </c>
      <c r="E22" s="103">
        <v>50</v>
      </c>
      <c r="F22" s="104">
        <v>0</v>
      </c>
      <c r="G22" s="121">
        <f t="shared" si="9"/>
        <v>50</v>
      </c>
      <c r="H22" s="98">
        <f t="shared" si="2"/>
        <v>-22</v>
      </c>
      <c r="I22" s="99">
        <f t="shared" si="5"/>
        <v>0.6944444444444444</v>
      </c>
      <c r="J22" s="105">
        <v>60</v>
      </c>
      <c r="K22" s="104">
        <v>0</v>
      </c>
      <c r="L22" s="124">
        <f t="shared" si="10"/>
        <v>60</v>
      </c>
      <c r="M22" s="98">
        <f t="shared" si="4"/>
        <v>10</v>
      </c>
      <c r="N22" s="101">
        <f t="shared" si="6"/>
        <v>1.2</v>
      </c>
    </row>
    <row r="23" spans="1:14" ht="13.5" customHeight="1">
      <c r="A23" s="102" t="s">
        <v>22</v>
      </c>
      <c r="B23" s="103">
        <v>0</v>
      </c>
      <c r="C23" s="104">
        <v>0</v>
      </c>
      <c r="D23" s="97">
        <f t="shared" si="8"/>
        <v>0</v>
      </c>
      <c r="E23" s="103">
        <v>0</v>
      </c>
      <c r="F23" s="104">
        <v>0</v>
      </c>
      <c r="G23" s="121">
        <f t="shared" si="9"/>
        <v>0</v>
      </c>
      <c r="H23" s="98">
        <f t="shared" si="2"/>
        <v>0</v>
      </c>
      <c r="I23" s="99"/>
      <c r="J23" s="105">
        <v>0</v>
      </c>
      <c r="K23" s="104">
        <v>0</v>
      </c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1075</v>
      </c>
      <c r="C24" s="104">
        <v>0</v>
      </c>
      <c r="D24" s="97">
        <f t="shared" si="8"/>
        <v>1075</v>
      </c>
      <c r="E24" s="105">
        <v>899</v>
      </c>
      <c r="F24" s="104">
        <v>0</v>
      </c>
      <c r="G24" s="121">
        <f t="shared" si="9"/>
        <v>899</v>
      </c>
      <c r="H24" s="98">
        <f t="shared" si="2"/>
        <v>-176</v>
      </c>
      <c r="I24" s="99">
        <f t="shared" si="5"/>
        <v>0.8362790697674418</v>
      </c>
      <c r="J24" s="105">
        <v>1500</v>
      </c>
      <c r="K24" s="104">
        <v>0</v>
      </c>
      <c r="L24" s="124">
        <f t="shared" si="10"/>
        <v>1500</v>
      </c>
      <c r="M24" s="98">
        <f t="shared" si="4"/>
        <v>601</v>
      </c>
      <c r="N24" s="101">
        <f t="shared" si="6"/>
        <v>1.668520578420467</v>
      </c>
    </row>
    <row r="25" spans="1:14" ht="13.5" customHeight="1">
      <c r="A25" s="106" t="s">
        <v>24</v>
      </c>
      <c r="B25" s="103">
        <v>695</v>
      </c>
      <c r="C25" s="104">
        <v>0</v>
      </c>
      <c r="D25" s="97">
        <f t="shared" si="8"/>
        <v>695</v>
      </c>
      <c r="E25" s="103">
        <v>583</v>
      </c>
      <c r="F25" s="104">
        <v>0</v>
      </c>
      <c r="G25" s="121">
        <f t="shared" si="9"/>
        <v>583</v>
      </c>
      <c r="H25" s="98">
        <f t="shared" si="2"/>
        <v>-112</v>
      </c>
      <c r="I25" s="99">
        <f t="shared" si="5"/>
        <v>0.8388489208633093</v>
      </c>
      <c r="J25" s="126">
        <v>1000</v>
      </c>
      <c r="K25" s="104">
        <v>0</v>
      </c>
      <c r="L25" s="124">
        <f t="shared" si="10"/>
        <v>1000</v>
      </c>
      <c r="M25" s="98">
        <f t="shared" si="4"/>
        <v>417</v>
      </c>
      <c r="N25" s="101">
        <f t="shared" si="6"/>
        <v>1.7152658662092624</v>
      </c>
    </row>
    <row r="26" spans="1:14" ht="13.5" customHeight="1">
      <c r="A26" s="102" t="s">
        <v>25</v>
      </c>
      <c r="B26" s="103">
        <v>376</v>
      </c>
      <c r="C26" s="104">
        <v>0</v>
      </c>
      <c r="D26" s="97">
        <f t="shared" si="8"/>
        <v>376</v>
      </c>
      <c r="E26" s="103">
        <v>295</v>
      </c>
      <c r="F26" s="104">
        <v>0</v>
      </c>
      <c r="G26" s="121">
        <f t="shared" si="9"/>
        <v>295</v>
      </c>
      <c r="H26" s="98">
        <f t="shared" si="2"/>
        <v>-81</v>
      </c>
      <c r="I26" s="99">
        <f t="shared" si="5"/>
        <v>0.7845744680851063</v>
      </c>
      <c r="J26" s="126">
        <v>500</v>
      </c>
      <c r="K26" s="104">
        <v>0</v>
      </c>
      <c r="L26" s="124">
        <f t="shared" si="10"/>
        <v>500</v>
      </c>
      <c r="M26" s="98">
        <f t="shared" si="4"/>
        <v>205</v>
      </c>
      <c r="N26" s="101">
        <f t="shared" si="6"/>
        <v>1.694915254237288</v>
      </c>
    </row>
    <row r="27" spans="1:14" ht="13.5" customHeight="1">
      <c r="A27" s="127" t="s">
        <v>26</v>
      </c>
      <c r="B27" s="105">
        <v>6898</v>
      </c>
      <c r="C27" s="104">
        <v>0</v>
      </c>
      <c r="D27" s="97">
        <f t="shared" si="8"/>
        <v>6898</v>
      </c>
      <c r="E27" s="105">
        <v>7499</v>
      </c>
      <c r="F27" s="104">
        <v>0</v>
      </c>
      <c r="G27" s="121">
        <f t="shared" si="9"/>
        <v>7499</v>
      </c>
      <c r="H27" s="98">
        <f t="shared" si="2"/>
        <v>601</v>
      </c>
      <c r="I27" s="99">
        <f t="shared" si="5"/>
        <v>1.0871267033922876</v>
      </c>
      <c r="J27" s="105">
        <f>J28+J31</f>
        <v>8529</v>
      </c>
      <c r="K27" s="104">
        <v>0</v>
      </c>
      <c r="L27" s="124">
        <f t="shared" si="10"/>
        <v>8529</v>
      </c>
      <c r="M27" s="98">
        <f t="shared" si="4"/>
        <v>1030</v>
      </c>
      <c r="N27" s="101">
        <f t="shared" si="6"/>
        <v>1.1373516468862515</v>
      </c>
    </row>
    <row r="28" spans="1:14" ht="13.5" customHeight="1">
      <c r="A28" s="106" t="s">
        <v>27</v>
      </c>
      <c r="B28" s="103">
        <v>5044</v>
      </c>
      <c r="C28" s="104">
        <v>0</v>
      </c>
      <c r="D28" s="97">
        <f t="shared" si="8"/>
        <v>5044</v>
      </c>
      <c r="E28" s="103">
        <v>5484</v>
      </c>
      <c r="F28" s="104">
        <v>0</v>
      </c>
      <c r="G28" s="121">
        <f t="shared" si="9"/>
        <v>5484</v>
      </c>
      <c r="H28" s="98">
        <f t="shared" si="2"/>
        <v>440</v>
      </c>
      <c r="I28" s="99">
        <f t="shared" si="5"/>
        <v>1.0872323552735923</v>
      </c>
      <c r="J28" s="126">
        <f>J29+J30</f>
        <v>6318</v>
      </c>
      <c r="K28" s="128">
        <v>0</v>
      </c>
      <c r="L28" s="124">
        <f t="shared" si="10"/>
        <v>6318</v>
      </c>
      <c r="M28" s="98">
        <f t="shared" si="4"/>
        <v>834</v>
      </c>
      <c r="N28" s="101">
        <f t="shared" si="6"/>
        <v>1.1520787746170678</v>
      </c>
    </row>
    <row r="29" spans="1:14" ht="13.5" customHeight="1">
      <c r="A29" s="127" t="s">
        <v>28</v>
      </c>
      <c r="B29" s="103">
        <v>5015</v>
      </c>
      <c r="C29" s="104">
        <v>0</v>
      </c>
      <c r="D29" s="97">
        <f t="shared" si="8"/>
        <v>5015</v>
      </c>
      <c r="E29" s="103">
        <v>5454</v>
      </c>
      <c r="F29" s="104">
        <v>0</v>
      </c>
      <c r="G29" s="121">
        <f t="shared" si="9"/>
        <v>5454</v>
      </c>
      <c r="H29" s="98">
        <f t="shared" si="2"/>
        <v>439</v>
      </c>
      <c r="I29" s="99">
        <f t="shared" si="5"/>
        <v>1.0875373878364905</v>
      </c>
      <c r="J29" s="105">
        <f>5800+486</f>
        <v>6286</v>
      </c>
      <c r="K29" s="104">
        <v>0</v>
      </c>
      <c r="L29" s="124">
        <f t="shared" si="10"/>
        <v>6286</v>
      </c>
      <c r="M29" s="98">
        <f t="shared" si="4"/>
        <v>832</v>
      </c>
      <c r="N29" s="101">
        <f t="shared" si="6"/>
        <v>1.1525485881921524</v>
      </c>
    </row>
    <row r="30" spans="1:14" ht="13.5" customHeight="1">
      <c r="A30" s="106" t="s">
        <v>29</v>
      </c>
      <c r="B30" s="103">
        <v>29</v>
      </c>
      <c r="C30" s="104">
        <v>0</v>
      </c>
      <c r="D30" s="97">
        <f t="shared" si="8"/>
        <v>29</v>
      </c>
      <c r="E30" s="103">
        <v>30</v>
      </c>
      <c r="F30" s="104">
        <v>0</v>
      </c>
      <c r="G30" s="121">
        <f t="shared" si="9"/>
        <v>30</v>
      </c>
      <c r="H30" s="98">
        <f t="shared" si="2"/>
        <v>1</v>
      </c>
      <c r="I30" s="99">
        <f t="shared" si="5"/>
        <v>1.0344827586206897</v>
      </c>
      <c r="J30" s="105">
        <v>32</v>
      </c>
      <c r="K30" s="104">
        <v>0</v>
      </c>
      <c r="L30" s="124">
        <f t="shared" si="10"/>
        <v>32</v>
      </c>
      <c r="M30" s="98">
        <f t="shared" si="4"/>
        <v>2</v>
      </c>
      <c r="N30" s="101">
        <f t="shared" si="6"/>
        <v>1.0666666666666667</v>
      </c>
    </row>
    <row r="31" spans="1:14" ht="13.5" customHeight="1">
      <c r="A31" s="106" t="s">
        <v>30</v>
      </c>
      <c r="B31" s="103">
        <v>1854</v>
      </c>
      <c r="C31" s="104">
        <v>0</v>
      </c>
      <c r="D31" s="97">
        <f t="shared" si="8"/>
        <v>1854</v>
      </c>
      <c r="E31" s="103">
        <v>2015</v>
      </c>
      <c r="F31" s="104">
        <v>0</v>
      </c>
      <c r="G31" s="121">
        <f t="shared" si="9"/>
        <v>2015</v>
      </c>
      <c r="H31" s="98">
        <f t="shared" si="2"/>
        <v>161</v>
      </c>
      <c r="I31" s="99">
        <f t="shared" si="5"/>
        <v>1.086839266450917</v>
      </c>
      <c r="J31" s="105">
        <v>2211</v>
      </c>
      <c r="K31" s="104">
        <v>0</v>
      </c>
      <c r="L31" s="124">
        <f t="shared" si="10"/>
        <v>2211</v>
      </c>
      <c r="M31" s="98">
        <f t="shared" si="4"/>
        <v>196</v>
      </c>
      <c r="N31" s="101">
        <f t="shared" si="6"/>
        <v>1.0972704714640198</v>
      </c>
    </row>
    <row r="32" spans="1:14" ht="13.5" customHeight="1">
      <c r="A32" s="127" t="s">
        <v>31</v>
      </c>
      <c r="B32" s="103">
        <v>0</v>
      </c>
      <c r="C32" s="104">
        <v>0</v>
      </c>
      <c r="D32" s="97">
        <f t="shared" si="8"/>
        <v>0</v>
      </c>
      <c r="E32" s="103">
        <v>0</v>
      </c>
      <c r="F32" s="104">
        <v>0</v>
      </c>
      <c r="G32" s="121">
        <f t="shared" si="9"/>
        <v>0</v>
      </c>
      <c r="H32" s="98">
        <f t="shared" si="2"/>
        <v>0</v>
      </c>
      <c r="I32" s="99"/>
      <c r="J32" s="105">
        <v>0</v>
      </c>
      <c r="K32" s="104">
        <v>0</v>
      </c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276</v>
      </c>
      <c r="C33" s="104">
        <v>0</v>
      </c>
      <c r="D33" s="97">
        <f t="shared" si="8"/>
        <v>276</v>
      </c>
      <c r="E33" s="103">
        <v>263</v>
      </c>
      <c r="F33" s="104">
        <v>0</v>
      </c>
      <c r="G33" s="121">
        <f t="shared" si="9"/>
        <v>263</v>
      </c>
      <c r="H33" s="98">
        <f t="shared" si="2"/>
        <v>-13</v>
      </c>
      <c r="I33" s="99">
        <f t="shared" si="5"/>
        <v>0.9528985507246377</v>
      </c>
      <c r="J33" s="105">
        <v>270</v>
      </c>
      <c r="K33" s="104">
        <v>0</v>
      </c>
      <c r="L33" s="124">
        <f t="shared" si="10"/>
        <v>270</v>
      </c>
      <c r="M33" s="98">
        <f t="shared" si="4"/>
        <v>7</v>
      </c>
      <c r="N33" s="101">
        <f t="shared" si="6"/>
        <v>1.026615969581749</v>
      </c>
    </row>
    <row r="34" spans="1:14" ht="13.5" customHeight="1">
      <c r="A34" s="106" t="s">
        <v>33</v>
      </c>
      <c r="B34" s="103">
        <v>507</v>
      </c>
      <c r="C34" s="104">
        <v>0</v>
      </c>
      <c r="D34" s="97">
        <f t="shared" si="8"/>
        <v>507</v>
      </c>
      <c r="E34" s="103">
        <v>508</v>
      </c>
      <c r="F34" s="104">
        <v>0</v>
      </c>
      <c r="G34" s="121">
        <f t="shared" si="9"/>
        <v>508</v>
      </c>
      <c r="H34" s="98">
        <f t="shared" si="2"/>
        <v>1</v>
      </c>
      <c r="I34" s="99">
        <f t="shared" si="5"/>
        <v>1.0019723865877712</v>
      </c>
      <c r="J34" s="126">
        <v>508</v>
      </c>
      <c r="K34" s="104">
        <v>0</v>
      </c>
      <c r="L34" s="124">
        <f t="shared" si="10"/>
        <v>508</v>
      </c>
      <c r="M34" s="98">
        <f t="shared" si="4"/>
        <v>0</v>
      </c>
      <c r="N34" s="101">
        <f t="shared" si="6"/>
        <v>1</v>
      </c>
    </row>
    <row r="35" spans="1:14" ht="22.5" customHeight="1">
      <c r="A35" s="106" t="s">
        <v>34</v>
      </c>
      <c r="B35" s="103">
        <v>507</v>
      </c>
      <c r="C35" s="104">
        <v>0</v>
      </c>
      <c r="D35" s="97">
        <f t="shared" si="8"/>
        <v>507</v>
      </c>
      <c r="E35" s="103">
        <v>508</v>
      </c>
      <c r="F35" s="104">
        <v>0</v>
      </c>
      <c r="G35" s="121">
        <f t="shared" si="9"/>
        <v>508</v>
      </c>
      <c r="H35" s="98">
        <f t="shared" si="2"/>
        <v>1</v>
      </c>
      <c r="I35" s="99">
        <f t="shared" si="5"/>
        <v>1.0019723865877712</v>
      </c>
      <c r="J35" s="126">
        <v>508</v>
      </c>
      <c r="K35" s="104">
        <v>0</v>
      </c>
      <c r="L35" s="124">
        <f t="shared" si="10"/>
        <v>508</v>
      </c>
      <c r="M35" s="98">
        <f t="shared" si="4"/>
        <v>0</v>
      </c>
      <c r="N35" s="101">
        <f t="shared" si="6"/>
        <v>1</v>
      </c>
    </row>
    <row r="36" spans="1:14" ht="13.5" customHeight="1" thickBot="1">
      <c r="A36" s="129" t="s">
        <v>35</v>
      </c>
      <c r="B36" s="107">
        <v>0</v>
      </c>
      <c r="C36" s="108">
        <v>0</v>
      </c>
      <c r="D36" s="97">
        <f t="shared" si="8"/>
        <v>0</v>
      </c>
      <c r="E36" s="107">
        <v>0</v>
      </c>
      <c r="F36" s="108">
        <v>0</v>
      </c>
      <c r="G36" s="121">
        <f t="shared" si="9"/>
        <v>0</v>
      </c>
      <c r="H36" s="109">
        <f t="shared" si="2"/>
        <v>0</v>
      </c>
      <c r="I36" s="99"/>
      <c r="J36" s="130">
        <v>0</v>
      </c>
      <c r="K36" s="108">
        <v>0</v>
      </c>
      <c r="L36" s="124">
        <f t="shared" si="10"/>
        <v>0</v>
      </c>
      <c r="M36" s="109">
        <f t="shared" si="4"/>
        <v>0</v>
      </c>
      <c r="N36" s="101"/>
    </row>
    <row r="37" spans="1:14" ht="13.5" customHeight="1" thickBot="1">
      <c r="A37" s="112" t="s">
        <v>36</v>
      </c>
      <c r="B37" s="113">
        <f aca="true" t="shared" si="11" ref="B37:G37">SUM(B19+B21+B22+B23+B24+B27+B32+B33+B34+B36)</f>
        <v>12556</v>
      </c>
      <c r="C37" s="114">
        <f t="shared" si="11"/>
        <v>0</v>
      </c>
      <c r="D37" s="115">
        <f t="shared" si="11"/>
        <v>12556</v>
      </c>
      <c r="E37" s="113">
        <f t="shared" si="11"/>
        <v>13477</v>
      </c>
      <c r="F37" s="114">
        <f t="shared" si="11"/>
        <v>0</v>
      </c>
      <c r="G37" s="115">
        <f t="shared" si="11"/>
        <v>13477</v>
      </c>
      <c r="H37" s="116">
        <f t="shared" si="2"/>
        <v>921</v>
      </c>
      <c r="I37" s="117">
        <f t="shared" si="5"/>
        <v>1.0733513857916535</v>
      </c>
      <c r="J37" s="118">
        <f>SUM(J19+J21+J22+J23+J24+J27+J32+J33+J34+J36)</f>
        <v>15440</v>
      </c>
      <c r="K37" s="114">
        <f>SUM(K19+K21+K22+K23+K24+K27+K32+K33+K34+K36)</f>
        <v>0</v>
      </c>
      <c r="L37" s="115">
        <f>SUM(L19+L21+L22+L23+L24+L27+L32+L33+L34+L36)</f>
        <v>15440</v>
      </c>
      <c r="M37" s="116">
        <f t="shared" si="4"/>
        <v>1963</v>
      </c>
      <c r="N37" s="119">
        <f t="shared" si="6"/>
        <v>1.1456555613267048</v>
      </c>
    </row>
    <row r="38" spans="1:14" ht="13.5" customHeight="1" thickBot="1">
      <c r="A38" s="112" t="s">
        <v>37</v>
      </c>
      <c r="B38" s="470">
        <f>+D18-D37</f>
        <v>235</v>
      </c>
      <c r="C38" s="470"/>
      <c r="D38" s="470"/>
      <c r="E38" s="470">
        <f>+G18-G37</f>
        <v>0</v>
      </c>
      <c r="F38" s="470"/>
      <c r="G38" s="470">
        <v>-50784</v>
      </c>
      <c r="H38" s="131">
        <f>+E38-B38</f>
        <v>-235</v>
      </c>
      <c r="I38" s="117"/>
      <c r="J38" s="472">
        <f>+L18-L37</f>
        <v>0</v>
      </c>
      <c r="K38" s="472"/>
      <c r="L38" s="472">
        <v>0</v>
      </c>
      <c r="M38" s="116">
        <f>+J38-E38</f>
        <v>0</v>
      </c>
      <c r="N38" s="119">
        <f t="shared" si="6"/>
        <v>0</v>
      </c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169</v>
      </c>
      <c r="B43" s="469"/>
      <c r="C43" s="134">
        <v>496</v>
      </c>
      <c r="D43" s="468" t="s">
        <v>365</v>
      </c>
      <c r="E43" s="468"/>
      <c r="F43" s="468"/>
      <c r="G43" s="135">
        <v>75</v>
      </c>
      <c r="H43" s="467" t="s">
        <v>366</v>
      </c>
      <c r="I43" s="467"/>
      <c r="J43" s="467"/>
      <c r="K43" s="467"/>
      <c r="L43" s="136">
        <v>100</v>
      </c>
      <c r="O43"/>
      <c r="P43"/>
    </row>
    <row r="44" spans="1:16" ht="12.75">
      <c r="A44" s="463"/>
      <c r="B44" s="463"/>
      <c r="C44" s="137"/>
      <c r="D44" s="468" t="s">
        <v>367</v>
      </c>
      <c r="E44" s="468"/>
      <c r="F44" s="468"/>
      <c r="G44" s="138">
        <v>298</v>
      </c>
      <c r="H44" s="467" t="s">
        <v>368</v>
      </c>
      <c r="I44" s="467"/>
      <c r="J44" s="467"/>
      <c r="K44" s="467"/>
      <c r="L44" s="136">
        <v>200</v>
      </c>
      <c r="O44"/>
      <c r="P44"/>
    </row>
    <row r="45" spans="1:16" ht="12.75">
      <c r="A45" s="463"/>
      <c r="B45" s="463"/>
      <c r="C45" s="137"/>
      <c r="D45" s="468" t="s">
        <v>84</v>
      </c>
      <c r="E45" s="468"/>
      <c r="F45" s="468"/>
      <c r="G45" s="138">
        <v>91</v>
      </c>
      <c r="H45" s="467" t="s">
        <v>84</v>
      </c>
      <c r="I45" s="467"/>
      <c r="J45" s="467"/>
      <c r="K45" s="467"/>
      <c r="L45" s="136">
        <v>91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 t="s">
        <v>538</v>
      </c>
      <c r="I46" s="464"/>
      <c r="J46" s="464"/>
      <c r="K46" s="464"/>
      <c r="L46" s="136">
        <v>42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 t="s">
        <v>539</v>
      </c>
      <c r="I47" s="464"/>
      <c r="J47" s="464"/>
      <c r="K47" s="464"/>
      <c r="L47" s="136">
        <v>200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496</v>
      </c>
      <c r="D50" s="451" t="s">
        <v>3</v>
      </c>
      <c r="E50" s="451"/>
      <c r="F50" s="451"/>
      <c r="G50" s="141">
        <f>SUM(G43:G49)</f>
        <v>464</v>
      </c>
      <c r="H50" s="452" t="s">
        <v>3</v>
      </c>
      <c r="I50" s="452"/>
      <c r="J50" s="452"/>
      <c r="K50" s="452"/>
      <c r="L50" s="141">
        <f>SUM(L43:L49)</f>
        <v>633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147</v>
      </c>
      <c r="B54" s="446"/>
      <c r="C54" s="233">
        <v>197</v>
      </c>
      <c r="D54" s="447" t="s">
        <v>147</v>
      </c>
      <c r="E54" s="447"/>
      <c r="F54" s="447"/>
      <c r="G54" s="142">
        <v>211</v>
      </c>
      <c r="H54" s="467" t="s">
        <v>369</v>
      </c>
      <c r="I54" s="467"/>
      <c r="J54" s="467"/>
      <c r="K54" s="467"/>
      <c r="L54" s="136">
        <v>30</v>
      </c>
      <c r="O54"/>
      <c r="P54"/>
    </row>
    <row r="55" spans="1:16" ht="13.5" customHeight="1">
      <c r="A55" s="418" t="s">
        <v>170</v>
      </c>
      <c r="B55" s="419"/>
      <c r="C55" s="234">
        <v>346</v>
      </c>
      <c r="D55" s="420" t="s">
        <v>370</v>
      </c>
      <c r="E55" s="420"/>
      <c r="F55" s="420"/>
      <c r="G55" s="143">
        <v>364</v>
      </c>
      <c r="H55" s="464" t="s">
        <v>371</v>
      </c>
      <c r="I55" s="464"/>
      <c r="J55" s="464"/>
      <c r="K55" s="464"/>
      <c r="L55" s="144">
        <v>60</v>
      </c>
      <c r="O55"/>
      <c r="P55"/>
    </row>
    <row r="56" spans="1:16" ht="13.5" customHeight="1">
      <c r="A56" s="418" t="s">
        <v>171</v>
      </c>
      <c r="B56" s="419"/>
      <c r="C56" s="234">
        <v>152</v>
      </c>
      <c r="D56" s="420" t="s">
        <v>171</v>
      </c>
      <c r="E56" s="420"/>
      <c r="F56" s="420"/>
      <c r="G56" s="143">
        <v>8</v>
      </c>
      <c r="H56" s="464" t="s">
        <v>372</v>
      </c>
      <c r="I56" s="464"/>
      <c r="J56" s="464"/>
      <c r="K56" s="464"/>
      <c r="L56" s="144">
        <v>50</v>
      </c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 t="s">
        <v>373</v>
      </c>
      <c r="I57" s="464"/>
      <c r="J57" s="464"/>
      <c r="K57" s="464"/>
      <c r="L57" s="144">
        <v>50</v>
      </c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 t="s">
        <v>374</v>
      </c>
      <c r="I58" s="464"/>
      <c r="J58" s="464"/>
      <c r="K58" s="464"/>
      <c r="L58" s="146">
        <v>150</v>
      </c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 t="s">
        <v>375</v>
      </c>
      <c r="I59" s="464"/>
      <c r="J59" s="464"/>
      <c r="K59" s="464"/>
      <c r="L59" s="146">
        <v>200</v>
      </c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 t="s">
        <v>376</v>
      </c>
      <c r="I60" s="464"/>
      <c r="J60" s="464"/>
      <c r="K60" s="464"/>
      <c r="L60" s="144">
        <v>100</v>
      </c>
      <c r="O60"/>
      <c r="P60"/>
    </row>
    <row r="61" spans="1:16" ht="12.75">
      <c r="A61" s="511"/>
      <c r="B61" s="512"/>
      <c r="C61" s="236"/>
      <c r="D61" s="513"/>
      <c r="E61" s="513"/>
      <c r="F61" s="513"/>
      <c r="G61" s="147"/>
      <c r="H61" s="514" t="s">
        <v>377</v>
      </c>
      <c r="I61" s="514"/>
      <c r="J61" s="514"/>
      <c r="K61" s="514"/>
      <c r="L61" s="148">
        <v>100</v>
      </c>
      <c r="O61"/>
      <c r="P61"/>
    </row>
    <row r="62" spans="1:16" ht="13.5" thickBot="1">
      <c r="A62" s="418"/>
      <c r="B62" s="518"/>
      <c r="C62" s="234"/>
      <c r="D62" s="420"/>
      <c r="E62" s="420"/>
      <c r="F62" s="420"/>
      <c r="G62" s="143"/>
      <c r="H62" s="464" t="s">
        <v>520</v>
      </c>
      <c r="I62" s="464"/>
      <c r="J62" s="464"/>
      <c r="K62" s="464"/>
      <c r="L62" s="144">
        <v>260</v>
      </c>
      <c r="O62"/>
      <c r="P62"/>
    </row>
    <row r="63" spans="1:16" ht="13.5" thickBot="1">
      <c r="A63" s="515" t="s">
        <v>3</v>
      </c>
      <c r="B63" s="516"/>
      <c r="C63" s="237">
        <f>SUM(C54:C61)</f>
        <v>695</v>
      </c>
      <c r="D63" s="517" t="s">
        <v>3</v>
      </c>
      <c r="E63" s="517"/>
      <c r="F63" s="517"/>
      <c r="G63" s="149">
        <f>SUM(G54:G61)</f>
        <v>583</v>
      </c>
      <c r="H63" s="452" t="s">
        <v>3</v>
      </c>
      <c r="I63" s="452"/>
      <c r="J63" s="452"/>
      <c r="K63" s="452"/>
      <c r="L63" s="141">
        <f>SUM(L54:L62)</f>
        <v>1000</v>
      </c>
      <c r="M63" s="20"/>
      <c r="N63" s="20"/>
      <c r="O63"/>
      <c r="P63"/>
    </row>
    <row r="64" spans="1:14" s="1" customFormat="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13.5" thickBo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s="1" customFormat="1" ht="26.25" customHeight="1" thickBot="1">
      <c r="A66" s="499" t="s">
        <v>509</v>
      </c>
      <c r="B66" s="500"/>
      <c r="C66" s="500"/>
      <c r="D66" s="500"/>
      <c r="E66" s="501"/>
      <c r="F66" s="502" t="s">
        <v>510</v>
      </c>
      <c r="G66" s="503"/>
      <c r="H66" s="503"/>
      <c r="I66" s="503"/>
      <c r="J66" s="503"/>
      <c r="K66" s="503"/>
      <c r="L66" s="504"/>
      <c r="M66" s="22"/>
      <c r="N66" s="22"/>
    </row>
    <row r="67" spans="1:14" s="1" customFormat="1" ht="14.25" customHeight="1" thickBot="1">
      <c r="A67" s="58" t="s">
        <v>68</v>
      </c>
      <c r="B67" s="59" t="s">
        <v>122</v>
      </c>
      <c r="C67" s="505" t="s">
        <v>69</v>
      </c>
      <c r="D67" s="505"/>
      <c r="E67" s="60" t="s">
        <v>123</v>
      </c>
      <c r="F67" s="506" t="s">
        <v>68</v>
      </c>
      <c r="G67" s="507"/>
      <c r="H67" s="59" t="s">
        <v>122</v>
      </c>
      <c r="I67" s="505" t="s">
        <v>69</v>
      </c>
      <c r="J67" s="505"/>
      <c r="K67" s="505"/>
      <c r="L67" s="61" t="s">
        <v>123</v>
      </c>
      <c r="M67" s="22"/>
      <c r="N67" s="22"/>
    </row>
    <row r="68" spans="1:14" s="1" customFormat="1" ht="12.75">
      <c r="A68" s="62" t="s">
        <v>126</v>
      </c>
      <c r="B68" s="56">
        <v>126</v>
      </c>
      <c r="C68" s="483" t="s">
        <v>129</v>
      </c>
      <c r="D68" s="483"/>
      <c r="E68" s="63">
        <v>80</v>
      </c>
      <c r="F68" s="484" t="s">
        <v>126</v>
      </c>
      <c r="G68" s="485"/>
      <c r="H68" s="56">
        <v>97</v>
      </c>
      <c r="I68" s="483" t="s">
        <v>129</v>
      </c>
      <c r="J68" s="485"/>
      <c r="K68" s="485"/>
      <c r="L68" s="63">
        <v>0</v>
      </c>
      <c r="M68" s="22"/>
      <c r="N68" s="22"/>
    </row>
    <row r="69" spans="1:14" s="1" customFormat="1" ht="12.75">
      <c r="A69" s="64" t="s">
        <v>124</v>
      </c>
      <c r="B69" s="57">
        <v>188</v>
      </c>
      <c r="C69" s="478" t="s">
        <v>521</v>
      </c>
      <c r="D69" s="478"/>
      <c r="E69" s="65">
        <v>139</v>
      </c>
      <c r="F69" s="486" t="s">
        <v>127</v>
      </c>
      <c r="G69" s="479"/>
      <c r="H69" s="57">
        <v>0</v>
      </c>
      <c r="I69" s="478"/>
      <c r="J69" s="479"/>
      <c r="K69" s="479"/>
      <c r="L69" s="65"/>
      <c r="M69" s="22"/>
      <c r="N69" s="22"/>
    </row>
    <row r="70" spans="1:14" s="1" customFormat="1" ht="12.75">
      <c r="A70" s="64" t="s">
        <v>125</v>
      </c>
      <c r="B70" s="57">
        <v>2</v>
      </c>
      <c r="C70" s="478"/>
      <c r="D70" s="478"/>
      <c r="E70" s="65"/>
      <c r="F70" s="478" t="s">
        <v>125</v>
      </c>
      <c r="G70" s="478"/>
      <c r="H70" s="57"/>
      <c r="I70" s="478"/>
      <c r="J70" s="479"/>
      <c r="K70" s="479"/>
      <c r="L70" s="65"/>
      <c r="M70" s="22"/>
      <c r="N70" s="22"/>
    </row>
    <row r="71" spans="1:14" s="1" customFormat="1" ht="13.5" thickBot="1">
      <c r="A71" s="68"/>
      <c r="B71" s="67"/>
      <c r="C71" s="480"/>
      <c r="D71" s="480"/>
      <c r="E71" s="69"/>
      <c r="F71" s="481"/>
      <c r="G71" s="482"/>
      <c r="H71" s="67"/>
      <c r="I71" s="480"/>
      <c r="J71" s="482"/>
      <c r="K71" s="482"/>
      <c r="L71" s="69"/>
      <c r="M71" s="22"/>
      <c r="N71" s="22"/>
    </row>
    <row r="72" spans="1:14" s="1" customFormat="1" ht="13.5" thickBot="1">
      <c r="A72" s="76" t="s">
        <v>3</v>
      </c>
      <c r="B72" s="77">
        <f>SUM(B68:B71)</f>
        <v>316</v>
      </c>
      <c r="C72" s="473" t="s">
        <v>3</v>
      </c>
      <c r="D72" s="473"/>
      <c r="E72" s="70">
        <f>SUM(E68:E71)</f>
        <v>219</v>
      </c>
      <c r="F72" s="474" t="s">
        <v>3</v>
      </c>
      <c r="G72" s="475"/>
      <c r="H72" s="66">
        <f>SUM(H68:H71)</f>
        <v>97</v>
      </c>
      <c r="I72" s="473" t="s">
        <v>3</v>
      </c>
      <c r="J72" s="475"/>
      <c r="K72" s="475"/>
      <c r="L72" s="70">
        <f>SUM(L68:L71)</f>
        <v>0</v>
      </c>
      <c r="M72" s="22"/>
      <c r="N72" s="22"/>
    </row>
    <row r="73" spans="1:14" s="1" customFormat="1" ht="13.5" thickBot="1">
      <c r="A73" s="78" t="s">
        <v>212</v>
      </c>
      <c r="B73" s="79">
        <f>B72-E72</f>
        <v>97</v>
      </c>
      <c r="C73" s="22"/>
      <c r="D73" s="22"/>
      <c r="E73" s="22"/>
      <c r="F73" s="476" t="s">
        <v>212</v>
      </c>
      <c r="G73" s="477"/>
      <c r="H73" s="80">
        <f>H72-L72</f>
        <v>97</v>
      </c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2" s="1" customFormat="1" ht="12.75">
      <c r="A76" s="23"/>
      <c r="B76" s="24"/>
      <c r="C76" s="24"/>
      <c r="D76" s="24"/>
      <c r="E76" s="2"/>
      <c r="F76" s="4"/>
      <c r="G76" s="4"/>
      <c r="H76" s="23"/>
      <c r="I76" s="24"/>
      <c r="J76" s="24"/>
      <c r="K76" s="24"/>
      <c r="L76" s="2"/>
    </row>
    <row r="77" spans="1:12" s="1" customFormat="1" ht="13.5" thickBot="1">
      <c r="A77" s="23"/>
      <c r="B77" s="24"/>
      <c r="C77" s="24"/>
      <c r="D77" s="24"/>
      <c r="E77" s="2"/>
      <c r="F77" s="4"/>
      <c r="G77" s="4"/>
      <c r="H77" s="23"/>
      <c r="I77" s="24"/>
      <c r="J77" s="24" t="s">
        <v>215</v>
      </c>
      <c r="K77" s="24"/>
      <c r="L77" s="2"/>
    </row>
    <row r="78" spans="1:15" s="1" customFormat="1" ht="12.75">
      <c r="A78" s="519" t="s">
        <v>64</v>
      </c>
      <c r="B78" s="522" t="s">
        <v>245</v>
      </c>
      <c r="C78" s="525" t="s">
        <v>246</v>
      </c>
      <c r="D78" s="526"/>
      <c r="E78" s="526"/>
      <c r="F78" s="526"/>
      <c r="G78" s="526"/>
      <c r="H78" s="526"/>
      <c r="I78" s="527"/>
      <c r="J78" s="528" t="s">
        <v>247</v>
      </c>
      <c r="K78" s="7"/>
      <c r="L78" s="531" t="s">
        <v>41</v>
      </c>
      <c r="M78" s="532"/>
      <c r="N78" s="83">
        <v>2005</v>
      </c>
      <c r="O78" s="84">
        <v>2006</v>
      </c>
    </row>
    <row r="79" spans="1:15" s="1" customFormat="1" ht="12.75">
      <c r="A79" s="520"/>
      <c r="B79" s="523"/>
      <c r="C79" s="533" t="s">
        <v>65</v>
      </c>
      <c r="D79" s="535" t="s">
        <v>66</v>
      </c>
      <c r="E79" s="536"/>
      <c r="F79" s="536"/>
      <c r="G79" s="536"/>
      <c r="H79" s="536"/>
      <c r="I79" s="537"/>
      <c r="J79" s="529"/>
      <c r="K79" s="7"/>
      <c r="L79" s="87" t="s">
        <v>128</v>
      </c>
      <c r="M79" s="86"/>
      <c r="N79" s="82">
        <v>0</v>
      </c>
      <c r="O79" s="85">
        <v>0</v>
      </c>
    </row>
    <row r="80" spans="1:15" s="1" customFormat="1" ht="13.5" thickBot="1">
      <c r="A80" s="521"/>
      <c r="B80" s="524"/>
      <c r="C80" s="534"/>
      <c r="D80" s="28">
        <v>1</v>
      </c>
      <c r="E80" s="28">
        <v>2</v>
      </c>
      <c r="F80" s="28">
        <v>3</v>
      </c>
      <c r="G80" s="28">
        <v>4</v>
      </c>
      <c r="H80" s="28">
        <v>5</v>
      </c>
      <c r="I80" s="75">
        <v>6</v>
      </c>
      <c r="J80" s="530"/>
      <c r="K80" s="7"/>
      <c r="L80" s="86" t="s">
        <v>42</v>
      </c>
      <c r="M80" s="87"/>
      <c r="N80" s="25">
        <v>0</v>
      </c>
      <c r="O80" s="26">
        <v>0</v>
      </c>
    </row>
    <row r="81" spans="1:15" s="1" customFormat="1" ht="13.5" thickBot="1">
      <c r="A81" s="29">
        <v>14344</v>
      </c>
      <c r="B81" s="30">
        <v>4005</v>
      </c>
      <c r="C81" s="73">
        <f>SUM(D81:I81)</f>
        <v>508</v>
      </c>
      <c r="D81" s="74">
        <v>90</v>
      </c>
      <c r="E81" s="74">
        <v>315</v>
      </c>
      <c r="F81" s="74">
        <v>12</v>
      </c>
      <c r="G81" s="74">
        <v>0</v>
      </c>
      <c r="H81" s="73">
        <v>91</v>
      </c>
      <c r="I81" s="81">
        <v>0</v>
      </c>
      <c r="J81" s="31">
        <f>SUM(A81-B81-C81)</f>
        <v>9831</v>
      </c>
      <c r="K81" s="7"/>
      <c r="L81" s="88" t="s">
        <v>43</v>
      </c>
      <c r="M81" s="89"/>
      <c r="N81" s="71">
        <v>0</v>
      </c>
      <c r="O81" s="72">
        <v>0</v>
      </c>
    </row>
    <row r="82" spans="1:12" s="1" customFormat="1" ht="12.75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"/>
    </row>
    <row r="83" spans="1:12" s="1" customFormat="1" ht="13.5" thickBot="1">
      <c r="A83" s="23"/>
      <c r="B83" s="24"/>
      <c r="C83" s="24"/>
      <c r="D83" s="24"/>
      <c r="E83" s="2"/>
      <c r="F83" s="227"/>
      <c r="G83" s="4"/>
      <c r="H83" s="23"/>
      <c r="I83" s="24"/>
      <c r="J83" s="24"/>
      <c r="K83" s="24"/>
      <c r="L83" s="24" t="s">
        <v>215</v>
      </c>
    </row>
    <row r="84" spans="1:12" s="1" customFormat="1" ht="12.75">
      <c r="A84" s="543" t="s">
        <v>95</v>
      </c>
      <c r="B84" s="545" t="s">
        <v>248</v>
      </c>
      <c r="C84" s="547" t="s">
        <v>249</v>
      </c>
      <c r="D84" s="548"/>
      <c r="E84" s="548"/>
      <c r="F84" s="549"/>
      <c r="G84" s="550" t="s">
        <v>250</v>
      </c>
      <c r="H84" s="538" t="s">
        <v>67</v>
      </c>
      <c r="I84" s="540" t="s">
        <v>251</v>
      </c>
      <c r="J84" s="541"/>
      <c r="K84" s="541"/>
      <c r="L84" s="542"/>
    </row>
    <row r="85" spans="1:12" s="1" customFormat="1" ht="18.75" thickBot="1">
      <c r="A85" s="544"/>
      <c r="B85" s="546"/>
      <c r="C85" s="32" t="s">
        <v>204</v>
      </c>
      <c r="D85" s="33" t="s">
        <v>68</v>
      </c>
      <c r="E85" s="33" t="s">
        <v>69</v>
      </c>
      <c r="F85" s="34" t="s">
        <v>205</v>
      </c>
      <c r="G85" s="551"/>
      <c r="H85" s="539"/>
      <c r="I85" s="200" t="s">
        <v>252</v>
      </c>
      <c r="J85" s="201" t="s">
        <v>68</v>
      </c>
      <c r="K85" s="201" t="s">
        <v>69</v>
      </c>
      <c r="L85" s="202" t="s">
        <v>253</v>
      </c>
    </row>
    <row r="86" spans="1:12" s="1" customFormat="1" ht="12.75">
      <c r="A86" s="35" t="s">
        <v>70</v>
      </c>
      <c r="B86" s="36">
        <v>785</v>
      </c>
      <c r="C86" s="37" t="s">
        <v>71</v>
      </c>
      <c r="D86" s="38" t="s">
        <v>71</v>
      </c>
      <c r="E86" s="38" t="s">
        <v>71</v>
      </c>
      <c r="F86" s="39" t="s">
        <v>71</v>
      </c>
      <c r="G86" s="40">
        <v>629</v>
      </c>
      <c r="H86" s="197" t="s">
        <v>71</v>
      </c>
      <c r="I86" s="203" t="s">
        <v>71</v>
      </c>
      <c r="J86" s="204" t="s">
        <v>71</v>
      </c>
      <c r="K86" s="204" t="s">
        <v>71</v>
      </c>
      <c r="L86" s="205" t="s">
        <v>71</v>
      </c>
    </row>
    <row r="87" spans="1:12" s="1" customFormat="1" ht="12.75">
      <c r="A87" s="41" t="s">
        <v>72</v>
      </c>
      <c r="B87" s="42">
        <v>43</v>
      </c>
      <c r="C87" s="43">
        <v>43</v>
      </c>
      <c r="D87" s="44">
        <v>47</v>
      </c>
      <c r="E87" s="44">
        <v>31</v>
      </c>
      <c r="F87" s="45">
        <f>C87+D87-E87</f>
        <v>59</v>
      </c>
      <c r="G87" s="46">
        <v>59</v>
      </c>
      <c r="H87" s="198">
        <f>+G87-F87</f>
        <v>0</v>
      </c>
      <c r="I87" s="43">
        <v>59</v>
      </c>
      <c r="J87" s="44">
        <v>0</v>
      </c>
      <c r="K87" s="44">
        <v>0</v>
      </c>
      <c r="L87" s="45">
        <f>I87+J87-K87</f>
        <v>59</v>
      </c>
    </row>
    <row r="88" spans="1:12" s="1" customFormat="1" ht="12.75">
      <c r="A88" s="41" t="s">
        <v>73</v>
      </c>
      <c r="B88" s="42">
        <v>117</v>
      </c>
      <c r="C88" s="43">
        <v>126</v>
      </c>
      <c r="D88" s="44">
        <v>190</v>
      </c>
      <c r="E88" s="44">
        <v>219</v>
      </c>
      <c r="F88" s="45">
        <f>C88+D88-E88</f>
        <v>97</v>
      </c>
      <c r="G88" s="46">
        <v>98</v>
      </c>
      <c r="H88" s="198">
        <f>+G88-F88</f>
        <v>1</v>
      </c>
      <c r="I88" s="43">
        <v>97</v>
      </c>
      <c r="J88" s="44">
        <v>0</v>
      </c>
      <c r="K88" s="44">
        <v>0</v>
      </c>
      <c r="L88" s="45">
        <f>I88+J88-K88</f>
        <v>97</v>
      </c>
    </row>
    <row r="89" spans="1:12" s="1" customFormat="1" ht="12.75">
      <c r="A89" s="41" t="s">
        <v>96</v>
      </c>
      <c r="B89" s="42">
        <v>557</v>
      </c>
      <c r="C89" s="43">
        <v>27</v>
      </c>
      <c r="D89" s="44">
        <v>588</v>
      </c>
      <c r="E89" s="44">
        <v>464</v>
      </c>
      <c r="F89" s="45">
        <f>C89+D89-E89</f>
        <v>151</v>
      </c>
      <c r="G89" s="46">
        <v>151</v>
      </c>
      <c r="H89" s="198">
        <f>+G89-F89</f>
        <v>0</v>
      </c>
      <c r="I89" s="206">
        <v>151</v>
      </c>
      <c r="J89" s="196">
        <v>508</v>
      </c>
      <c r="K89" s="196">
        <v>633</v>
      </c>
      <c r="L89" s="45">
        <f>I89+J89-K89</f>
        <v>26</v>
      </c>
    </row>
    <row r="90" spans="1:12" s="1" customFormat="1" ht="12.75">
      <c r="A90" s="41" t="s">
        <v>74</v>
      </c>
      <c r="B90" s="42">
        <v>68</v>
      </c>
      <c r="C90" s="53" t="s">
        <v>71</v>
      </c>
      <c r="D90" s="38" t="s">
        <v>71</v>
      </c>
      <c r="E90" s="54" t="s">
        <v>71</v>
      </c>
      <c r="F90" s="55" t="s">
        <v>71</v>
      </c>
      <c r="G90" s="46">
        <v>321</v>
      </c>
      <c r="H90" s="53" t="s">
        <v>71</v>
      </c>
      <c r="I90" s="37" t="s">
        <v>71</v>
      </c>
      <c r="J90" s="38" t="s">
        <v>71</v>
      </c>
      <c r="K90" s="38" t="s">
        <v>71</v>
      </c>
      <c r="L90" s="207">
        <v>0</v>
      </c>
    </row>
    <row r="91" spans="1:12" s="1" customFormat="1" ht="13.5" thickBot="1">
      <c r="A91" s="47" t="s">
        <v>75</v>
      </c>
      <c r="B91" s="48">
        <v>102</v>
      </c>
      <c r="C91" s="49">
        <v>144</v>
      </c>
      <c r="D91" s="50">
        <v>109</v>
      </c>
      <c r="E91" s="50">
        <v>112</v>
      </c>
      <c r="F91" s="51">
        <f>C91+D91-E91</f>
        <v>141</v>
      </c>
      <c r="G91" s="52">
        <v>88</v>
      </c>
      <c r="H91" s="199">
        <f>+G91-F91</f>
        <v>-53</v>
      </c>
      <c r="I91" s="49">
        <v>141</v>
      </c>
      <c r="J91" s="50">
        <v>116</v>
      </c>
      <c r="K91" s="50">
        <v>130</v>
      </c>
      <c r="L91" s="51">
        <f>I91+J91-K91</f>
        <v>127</v>
      </c>
    </row>
    <row r="92" spans="1:12" s="1" customFormat="1" ht="12.75">
      <c r="A92" s="23"/>
      <c r="B92" s="24"/>
      <c r="C92" s="24"/>
      <c r="D92" s="24"/>
      <c r="E92" s="2"/>
      <c r="F92" s="227"/>
      <c r="G92" s="4"/>
      <c r="H92" s="23"/>
      <c r="I92" s="24"/>
      <c r="J92" s="24"/>
      <c r="K92" s="24"/>
      <c r="L92" s="2"/>
    </row>
    <row r="93" spans="1:12" s="1" customFormat="1" ht="12.75">
      <c r="A93" s="23"/>
      <c r="B93" s="24"/>
      <c r="C93" s="24"/>
      <c r="D93" s="24"/>
      <c r="E93" s="2"/>
      <c r="F93" s="4"/>
      <c r="G93" s="4"/>
      <c r="H93" s="23"/>
      <c r="I93" s="24"/>
      <c r="J93" s="24"/>
      <c r="K93" s="24"/>
      <c r="L93" s="2"/>
    </row>
    <row r="94" spans="8:12" ht="13.5" thickBot="1">
      <c r="H94" s="24" t="s">
        <v>215</v>
      </c>
      <c r="L94" s="24" t="s">
        <v>215</v>
      </c>
    </row>
    <row r="95" spans="1:12" ht="13.5" thickBot="1">
      <c r="A95" s="421" t="s">
        <v>254</v>
      </c>
      <c r="B95" s="412" t="s">
        <v>3</v>
      </c>
      <c r="C95" s="429" t="s">
        <v>76</v>
      </c>
      <c r="D95" s="429"/>
      <c r="E95" s="429"/>
      <c r="F95" s="429"/>
      <c r="G95" s="429"/>
      <c r="H95" s="429"/>
      <c r="I95" s="27"/>
      <c r="J95" s="431" t="s">
        <v>44</v>
      </c>
      <c r="K95" s="431"/>
      <c r="L95" s="431"/>
    </row>
    <row r="96" spans="1:12" ht="13.5" thickBot="1">
      <c r="A96" s="421"/>
      <c r="B96" s="412"/>
      <c r="C96" s="150" t="s">
        <v>77</v>
      </c>
      <c r="D96" s="151" t="s">
        <v>78</v>
      </c>
      <c r="E96" s="151" t="s">
        <v>79</v>
      </c>
      <c r="F96" s="151" t="s">
        <v>80</v>
      </c>
      <c r="G96" s="152" t="s">
        <v>81</v>
      </c>
      <c r="H96" s="153" t="s">
        <v>65</v>
      </c>
      <c r="I96" s="27"/>
      <c r="J96" s="154"/>
      <c r="K96" s="155" t="s">
        <v>45</v>
      </c>
      <c r="L96" s="156" t="s">
        <v>46</v>
      </c>
    </row>
    <row r="97" spans="1:12" ht="12.75">
      <c r="A97" s="157" t="s">
        <v>82</v>
      </c>
      <c r="B97" s="158">
        <v>552</v>
      </c>
      <c r="C97" s="159">
        <v>0</v>
      </c>
      <c r="D97" s="159">
        <v>0</v>
      </c>
      <c r="E97" s="159">
        <v>0</v>
      </c>
      <c r="F97" s="159">
        <v>0</v>
      </c>
      <c r="G97" s="158">
        <v>0</v>
      </c>
      <c r="H97" s="160">
        <f>SUM(C97:G97)</f>
        <v>0</v>
      </c>
      <c r="I97" s="27"/>
      <c r="J97" s="161">
        <v>2006</v>
      </c>
      <c r="K97" s="162">
        <v>5390</v>
      </c>
      <c r="L97" s="163">
        <f>+G29</f>
        <v>5454</v>
      </c>
    </row>
    <row r="98" spans="1:12" ht="13.5" thickBot="1">
      <c r="A98" s="164" t="s">
        <v>83</v>
      </c>
      <c r="B98" s="165">
        <v>863</v>
      </c>
      <c r="C98" s="166">
        <v>0</v>
      </c>
      <c r="D98" s="166">
        <v>0</v>
      </c>
      <c r="E98" s="166">
        <v>0</v>
      </c>
      <c r="F98" s="166">
        <v>0</v>
      </c>
      <c r="G98" s="165">
        <v>0</v>
      </c>
      <c r="H98" s="167">
        <f>SUM(C98:G98)</f>
        <v>0</v>
      </c>
      <c r="I98" s="27"/>
      <c r="J98" s="168">
        <v>2007</v>
      </c>
      <c r="K98" s="169">
        <f>L29</f>
        <v>6286</v>
      </c>
      <c r="L98" s="170"/>
    </row>
    <row r="99" ht="12.75" customHeight="1"/>
    <row r="100" ht="13.5" thickBot="1">
      <c r="J100" s="242" t="s">
        <v>255</v>
      </c>
    </row>
    <row r="101" spans="1:10" ht="21" customHeight="1" thickBot="1">
      <c r="A101" s="421" t="s">
        <v>47</v>
      </c>
      <c r="B101" s="422" t="s">
        <v>48</v>
      </c>
      <c r="C101" s="422"/>
      <c r="D101" s="422"/>
      <c r="E101" s="423" t="s">
        <v>134</v>
      </c>
      <c r="F101" s="423"/>
      <c r="G101" s="423"/>
      <c r="H101" s="430" t="s">
        <v>49</v>
      </c>
      <c r="I101" s="430"/>
      <c r="J101" s="430"/>
    </row>
    <row r="102" spans="1:10" ht="12.75">
      <c r="A102" s="421"/>
      <c r="B102" s="171">
        <v>2005</v>
      </c>
      <c r="C102" s="171">
        <v>2006</v>
      </c>
      <c r="D102" s="171" t="s">
        <v>50</v>
      </c>
      <c r="E102" s="171">
        <v>2005</v>
      </c>
      <c r="F102" s="171">
        <v>2006</v>
      </c>
      <c r="G102" s="172" t="s">
        <v>50</v>
      </c>
      <c r="H102" s="173">
        <v>2005</v>
      </c>
      <c r="I102" s="171">
        <v>2006</v>
      </c>
      <c r="J102" s="172" t="s">
        <v>50</v>
      </c>
    </row>
    <row r="103" spans="1:10" ht="18.75">
      <c r="A103" s="174" t="s">
        <v>51</v>
      </c>
      <c r="B103" s="175">
        <v>3</v>
      </c>
      <c r="C103" s="175">
        <v>3</v>
      </c>
      <c r="D103" s="175">
        <f aca="true" t="shared" si="12" ref="D103:D113">+C103-B103</f>
        <v>0</v>
      </c>
      <c r="E103" s="175">
        <v>3</v>
      </c>
      <c r="F103" s="175">
        <v>3</v>
      </c>
      <c r="G103" s="176">
        <f aca="true" t="shared" si="13" ref="G103:G113">+F103-E103</f>
        <v>0</v>
      </c>
      <c r="H103" s="177">
        <v>21724</v>
      </c>
      <c r="I103" s="178">
        <v>20316</v>
      </c>
      <c r="J103" s="179">
        <f aca="true" t="shared" si="14" ref="J103:J113">+I103-H103</f>
        <v>-1408</v>
      </c>
    </row>
    <row r="104" spans="1:10" ht="12.75">
      <c r="A104" s="174" t="s">
        <v>85</v>
      </c>
      <c r="B104" s="175">
        <v>7.1</v>
      </c>
      <c r="C104" s="175">
        <v>6.9</v>
      </c>
      <c r="D104" s="175">
        <f t="shared" si="12"/>
        <v>-0.1999999999999993</v>
      </c>
      <c r="E104" s="175">
        <v>7.1</v>
      </c>
      <c r="F104" s="175">
        <v>6.9</v>
      </c>
      <c r="G104" s="176">
        <f t="shared" si="13"/>
        <v>-0.1999999999999993</v>
      </c>
      <c r="H104" s="177">
        <v>16835</v>
      </c>
      <c r="I104" s="180">
        <v>17485</v>
      </c>
      <c r="J104" s="179">
        <f t="shared" si="14"/>
        <v>650</v>
      </c>
    </row>
    <row r="105" spans="1:10" ht="12.75">
      <c r="A105" s="174" t="s">
        <v>52</v>
      </c>
      <c r="B105" s="175">
        <v>1</v>
      </c>
      <c r="C105" s="175">
        <v>1</v>
      </c>
      <c r="D105" s="175">
        <f t="shared" si="12"/>
        <v>0</v>
      </c>
      <c r="E105" s="175">
        <v>1</v>
      </c>
      <c r="F105" s="175">
        <v>1</v>
      </c>
      <c r="G105" s="176">
        <f t="shared" si="13"/>
        <v>0</v>
      </c>
      <c r="H105" s="177">
        <v>15140</v>
      </c>
      <c r="I105" s="180">
        <v>15946</v>
      </c>
      <c r="J105" s="179">
        <f t="shared" si="14"/>
        <v>806</v>
      </c>
    </row>
    <row r="106" spans="1:10" ht="12.75">
      <c r="A106" s="174" t="s">
        <v>53</v>
      </c>
      <c r="B106" s="175">
        <v>0</v>
      </c>
      <c r="C106" s="175">
        <v>0</v>
      </c>
      <c r="D106" s="175">
        <f t="shared" si="12"/>
        <v>0</v>
      </c>
      <c r="E106" s="175">
        <v>0</v>
      </c>
      <c r="F106" s="175">
        <v>0</v>
      </c>
      <c r="G106" s="176">
        <f t="shared" si="13"/>
        <v>0</v>
      </c>
      <c r="H106" s="177">
        <v>0</v>
      </c>
      <c r="I106" s="180">
        <v>0</v>
      </c>
      <c r="J106" s="179">
        <f t="shared" si="14"/>
        <v>0</v>
      </c>
    </row>
    <row r="107" spans="1:10" ht="12.75">
      <c r="A107" s="174" t="s">
        <v>86</v>
      </c>
      <c r="B107" s="175">
        <v>0</v>
      </c>
      <c r="C107" s="175">
        <v>0</v>
      </c>
      <c r="D107" s="175">
        <f t="shared" si="12"/>
        <v>0</v>
      </c>
      <c r="E107" s="175">
        <v>0</v>
      </c>
      <c r="F107" s="175">
        <v>0</v>
      </c>
      <c r="G107" s="176">
        <f t="shared" si="13"/>
        <v>0</v>
      </c>
      <c r="H107" s="177">
        <v>0</v>
      </c>
      <c r="I107" s="180">
        <v>0</v>
      </c>
      <c r="J107" s="179">
        <f t="shared" si="14"/>
        <v>0</v>
      </c>
    </row>
    <row r="108" spans="1:10" ht="12.75">
      <c r="A108" s="174" t="s">
        <v>54</v>
      </c>
      <c r="B108" s="175">
        <v>0</v>
      </c>
      <c r="C108" s="175">
        <v>0</v>
      </c>
      <c r="D108" s="175">
        <f t="shared" si="12"/>
        <v>0</v>
      </c>
      <c r="E108" s="175">
        <v>0</v>
      </c>
      <c r="F108" s="175">
        <v>0</v>
      </c>
      <c r="G108" s="176">
        <f t="shared" si="13"/>
        <v>0</v>
      </c>
      <c r="H108" s="177">
        <v>0</v>
      </c>
      <c r="I108" s="180">
        <v>0</v>
      </c>
      <c r="J108" s="179">
        <f t="shared" si="14"/>
        <v>0</v>
      </c>
    </row>
    <row r="109" spans="1:10" ht="12.75">
      <c r="A109" s="174" t="s">
        <v>55</v>
      </c>
      <c r="B109" s="175">
        <v>0</v>
      </c>
      <c r="C109" s="175">
        <v>0</v>
      </c>
      <c r="D109" s="175">
        <f t="shared" si="12"/>
        <v>0</v>
      </c>
      <c r="E109" s="175">
        <v>0</v>
      </c>
      <c r="F109" s="175">
        <v>0</v>
      </c>
      <c r="G109" s="176">
        <f t="shared" si="13"/>
        <v>0</v>
      </c>
      <c r="H109" s="177">
        <v>0</v>
      </c>
      <c r="I109" s="180">
        <v>0</v>
      </c>
      <c r="J109" s="179">
        <f t="shared" si="14"/>
        <v>0</v>
      </c>
    </row>
    <row r="110" spans="1:10" ht="12.75">
      <c r="A110" s="174" t="s">
        <v>56</v>
      </c>
      <c r="B110" s="175">
        <v>6.7</v>
      </c>
      <c r="C110" s="175">
        <v>7</v>
      </c>
      <c r="D110" s="175">
        <f t="shared" si="12"/>
        <v>0.2999999999999998</v>
      </c>
      <c r="E110" s="175">
        <v>6.7</v>
      </c>
      <c r="F110" s="175">
        <v>7</v>
      </c>
      <c r="G110" s="176">
        <f t="shared" si="13"/>
        <v>0.2999999999999998</v>
      </c>
      <c r="H110" s="177">
        <v>12066</v>
      </c>
      <c r="I110" s="180">
        <v>12783</v>
      </c>
      <c r="J110" s="179">
        <f t="shared" si="14"/>
        <v>717</v>
      </c>
    </row>
    <row r="111" spans="1:10" ht="12.75">
      <c r="A111" s="174" t="s">
        <v>57</v>
      </c>
      <c r="B111" s="175">
        <v>1</v>
      </c>
      <c r="C111" s="175">
        <v>1</v>
      </c>
      <c r="D111" s="175">
        <f t="shared" si="12"/>
        <v>0</v>
      </c>
      <c r="E111" s="175">
        <v>1</v>
      </c>
      <c r="F111" s="175">
        <v>1</v>
      </c>
      <c r="G111" s="176">
        <f t="shared" si="13"/>
        <v>0</v>
      </c>
      <c r="H111" s="177">
        <v>15766</v>
      </c>
      <c r="I111" s="180">
        <v>16671</v>
      </c>
      <c r="J111" s="179">
        <f t="shared" si="14"/>
        <v>905</v>
      </c>
    </row>
    <row r="112" spans="1:10" ht="12.75">
      <c r="A112" s="174" t="s">
        <v>58</v>
      </c>
      <c r="B112" s="175">
        <v>10.3</v>
      </c>
      <c r="C112" s="175">
        <v>10.5</v>
      </c>
      <c r="D112" s="175">
        <f t="shared" si="12"/>
        <v>0.1999999999999993</v>
      </c>
      <c r="E112" s="175">
        <v>10.3</v>
      </c>
      <c r="F112" s="175">
        <v>11.1</v>
      </c>
      <c r="G112" s="176">
        <f t="shared" si="13"/>
        <v>0.7999999999999989</v>
      </c>
      <c r="H112" s="177">
        <v>11599</v>
      </c>
      <c r="I112" s="180">
        <v>13047</v>
      </c>
      <c r="J112" s="179">
        <f t="shared" si="14"/>
        <v>1448</v>
      </c>
    </row>
    <row r="113" spans="1:10" ht="13.5" thickBot="1">
      <c r="A113" s="181" t="s">
        <v>3</v>
      </c>
      <c r="B113" s="182">
        <f>SUM(B103:B112)</f>
        <v>29.1</v>
      </c>
      <c r="C113" s="182">
        <f>SUM(C103:C112)</f>
        <v>29.4</v>
      </c>
      <c r="D113" s="182">
        <f t="shared" si="12"/>
        <v>0.29999999999999716</v>
      </c>
      <c r="E113" s="182">
        <f>SUM(E103:E112)</f>
        <v>29.1</v>
      </c>
      <c r="F113" s="182">
        <f>SUM(F103:F112)</f>
        <v>30</v>
      </c>
      <c r="G113" s="183">
        <f t="shared" si="13"/>
        <v>0.8999999999999986</v>
      </c>
      <c r="H113" s="184">
        <v>14348</v>
      </c>
      <c r="I113" s="185">
        <v>15433</v>
      </c>
      <c r="J113" s="186">
        <f t="shared" si="14"/>
        <v>1085</v>
      </c>
    </row>
    <row r="114" ht="13.5" thickBot="1"/>
    <row r="115" spans="1:16" ht="12.75">
      <c r="A115" s="432" t="s">
        <v>59</v>
      </c>
      <c r="B115" s="432"/>
      <c r="C115" s="432"/>
      <c r="D115" s="27"/>
      <c r="E115" s="432" t="s">
        <v>60</v>
      </c>
      <c r="F115" s="432"/>
      <c r="G115" s="432"/>
      <c r="H115"/>
      <c r="I115"/>
      <c r="J115"/>
      <c r="K115"/>
      <c r="L115"/>
      <c r="M115"/>
      <c r="N115"/>
      <c r="O115"/>
      <c r="P115"/>
    </row>
    <row r="116" spans="1:16" ht="13.5" thickBot="1">
      <c r="A116" s="154" t="s">
        <v>61</v>
      </c>
      <c r="B116" s="155" t="s">
        <v>62</v>
      </c>
      <c r="C116" s="156" t="s">
        <v>46</v>
      </c>
      <c r="D116" s="27"/>
      <c r="E116" s="154"/>
      <c r="F116" s="433" t="s">
        <v>63</v>
      </c>
      <c r="G116" s="433"/>
      <c r="H116"/>
      <c r="I116"/>
      <c r="J116"/>
      <c r="K116"/>
      <c r="L116"/>
      <c r="M116"/>
      <c r="N116"/>
      <c r="O116"/>
      <c r="P116"/>
    </row>
    <row r="117" spans="1:16" ht="12.75">
      <c r="A117" s="161">
        <v>2006</v>
      </c>
      <c r="B117" s="162">
        <v>30</v>
      </c>
      <c r="C117" s="163">
        <v>30</v>
      </c>
      <c r="D117" s="27"/>
      <c r="E117" s="161">
        <v>2006</v>
      </c>
      <c r="F117" s="416">
        <v>68</v>
      </c>
      <c r="G117" s="416"/>
      <c r="H117"/>
      <c r="I117"/>
      <c r="J117"/>
      <c r="K117"/>
      <c r="L117"/>
      <c r="M117"/>
      <c r="N117"/>
      <c r="O117"/>
      <c r="P117"/>
    </row>
    <row r="118" spans="1:16" ht="13.5" thickBot="1">
      <c r="A118" s="168">
        <v>2007</v>
      </c>
      <c r="B118" s="169">
        <v>30</v>
      </c>
      <c r="C118" s="369" t="s">
        <v>508</v>
      </c>
      <c r="D118" s="27"/>
      <c r="E118" s="168">
        <v>2007</v>
      </c>
      <c r="F118" s="417">
        <v>70</v>
      </c>
      <c r="G118" s="417"/>
      <c r="H118"/>
      <c r="I118"/>
      <c r="J118"/>
      <c r="K118"/>
      <c r="L118"/>
      <c r="M118"/>
      <c r="N118"/>
      <c r="O118"/>
      <c r="P118"/>
    </row>
  </sheetData>
  <mergeCells count="125">
    <mergeCell ref="F118:G118"/>
    <mergeCell ref="A66:E66"/>
    <mergeCell ref="F66:L66"/>
    <mergeCell ref="C67:D67"/>
    <mergeCell ref="F67:G67"/>
    <mergeCell ref="I67:K67"/>
    <mergeCell ref="C68:D68"/>
    <mergeCell ref="A84:A85"/>
    <mergeCell ref="B84:B85"/>
    <mergeCell ref="F69:G69"/>
    <mergeCell ref="A62:B62"/>
    <mergeCell ref="D62:F62"/>
    <mergeCell ref="A115:C115"/>
    <mergeCell ref="E115:G115"/>
    <mergeCell ref="A95:A96"/>
    <mergeCell ref="B95:B96"/>
    <mergeCell ref="F71:G71"/>
    <mergeCell ref="B78:B80"/>
    <mergeCell ref="F72:G72"/>
    <mergeCell ref="F116:G116"/>
    <mergeCell ref="F117:G117"/>
    <mergeCell ref="H84:H85"/>
    <mergeCell ref="I84:L84"/>
    <mergeCell ref="C95:H95"/>
    <mergeCell ref="J95:L95"/>
    <mergeCell ref="C84:F84"/>
    <mergeCell ref="G84:G85"/>
    <mergeCell ref="E101:G101"/>
    <mergeCell ref="H101:J101"/>
    <mergeCell ref="A3:A6"/>
    <mergeCell ref="B3:N3"/>
    <mergeCell ref="H4:I4"/>
    <mergeCell ref="M4:N4"/>
    <mergeCell ref="I71:K71"/>
    <mergeCell ref="B4:D4"/>
    <mergeCell ref="E4:G4"/>
    <mergeCell ref="J4:L4"/>
    <mergeCell ref="F68:G68"/>
    <mergeCell ref="I68:K68"/>
    <mergeCell ref="C69:D69"/>
    <mergeCell ref="H62:K62"/>
    <mergeCell ref="L41:L42"/>
    <mergeCell ref="L52:L53"/>
    <mergeCell ref="I69:K69"/>
    <mergeCell ref="F70:G70"/>
    <mergeCell ref="I70:K70"/>
    <mergeCell ref="A101:A102"/>
    <mergeCell ref="B101:D101"/>
    <mergeCell ref="C70:D70"/>
    <mergeCell ref="C71:D71"/>
    <mergeCell ref="C72:D72"/>
    <mergeCell ref="C78:I78"/>
    <mergeCell ref="A78:A80"/>
    <mergeCell ref="I72:K72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H63:K63"/>
    <mergeCell ref="A59:B59"/>
    <mergeCell ref="D59:F59"/>
    <mergeCell ref="H59:K59"/>
    <mergeCell ref="A60:B60"/>
    <mergeCell ref="D60:F60"/>
    <mergeCell ref="H60:K60"/>
    <mergeCell ref="L78:M78"/>
    <mergeCell ref="A61:B61"/>
    <mergeCell ref="D61:F61"/>
    <mergeCell ref="H61:K61"/>
    <mergeCell ref="A63:B63"/>
    <mergeCell ref="D63:F63"/>
    <mergeCell ref="J78:J80"/>
    <mergeCell ref="F73:G73"/>
    <mergeCell ref="C79:C80"/>
    <mergeCell ref="D79:I7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  <rowBreaks count="1" manualBreakCount="1">
    <brk id="75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9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307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6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8277</v>
      </c>
      <c r="C8" s="14"/>
      <c r="D8" s="192">
        <f t="shared" si="0"/>
        <v>8277</v>
      </c>
      <c r="E8" s="15">
        <v>8644</v>
      </c>
      <c r="F8" s="14"/>
      <c r="G8" s="192">
        <f t="shared" si="1"/>
        <v>8644</v>
      </c>
      <c r="H8" s="220">
        <f t="shared" si="2"/>
        <v>367</v>
      </c>
      <c r="I8" s="223">
        <f aca="true" t="shared" si="5" ref="I8:I21">+G8/D8</f>
        <v>1.0443397366195482</v>
      </c>
      <c r="J8" s="15">
        <f>13678+0</f>
        <v>13678</v>
      </c>
      <c r="K8" s="14"/>
      <c r="L8" s="192">
        <f t="shared" si="3"/>
        <v>13678</v>
      </c>
      <c r="M8" s="220">
        <f t="shared" si="4"/>
        <v>5034</v>
      </c>
      <c r="N8" s="221">
        <f aca="true" t="shared" si="6" ref="N8:N21">+L8/G8</f>
        <v>1.5823692734844979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17</v>
      </c>
      <c r="C11" s="14"/>
      <c r="D11" s="192">
        <f t="shared" si="0"/>
        <v>17</v>
      </c>
      <c r="E11" s="15">
        <v>5</v>
      </c>
      <c r="F11" s="14"/>
      <c r="G11" s="192">
        <f t="shared" si="1"/>
        <v>5</v>
      </c>
      <c r="H11" s="220">
        <f t="shared" si="2"/>
        <v>-12</v>
      </c>
      <c r="I11" s="223">
        <f t="shared" si="5"/>
        <v>0.29411764705882354</v>
      </c>
      <c r="J11" s="15">
        <v>877</v>
      </c>
      <c r="K11" s="14"/>
      <c r="L11" s="192">
        <f t="shared" si="3"/>
        <v>877</v>
      </c>
      <c r="M11" s="220">
        <f t="shared" si="4"/>
        <v>872</v>
      </c>
      <c r="N11" s="221">
        <f t="shared" si="6"/>
        <v>175.4</v>
      </c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/>
      <c r="F12" s="14"/>
      <c r="G12" s="192">
        <f t="shared" si="1"/>
        <v>0</v>
      </c>
      <c r="H12" s="220">
        <f t="shared" si="2"/>
        <v>0</v>
      </c>
      <c r="I12" s="223"/>
      <c r="J12" s="15"/>
      <c r="K12" s="14"/>
      <c r="L12" s="192">
        <f t="shared" si="3"/>
        <v>0</v>
      </c>
      <c r="M12" s="220">
        <f t="shared" si="4"/>
        <v>0</v>
      </c>
      <c r="N12" s="221"/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13440</v>
      </c>
      <c r="C15" s="14">
        <f>SUM(C16:C17)</f>
        <v>0</v>
      </c>
      <c r="D15" s="192">
        <f t="shared" si="0"/>
        <v>13440</v>
      </c>
      <c r="E15" s="15">
        <v>14711</v>
      </c>
      <c r="F15" s="14">
        <f>SUM(F16:F17)</f>
        <v>0</v>
      </c>
      <c r="G15" s="192">
        <f t="shared" si="1"/>
        <v>14711</v>
      </c>
      <c r="H15" s="220">
        <f t="shared" si="2"/>
        <v>1271</v>
      </c>
      <c r="I15" s="223">
        <f t="shared" si="5"/>
        <v>1.0945684523809525</v>
      </c>
      <c r="J15" s="17">
        <v>11211</v>
      </c>
      <c r="K15" s="17">
        <f>SUM(K16:K17)</f>
        <v>0</v>
      </c>
      <c r="L15" s="192">
        <f t="shared" si="3"/>
        <v>11211</v>
      </c>
      <c r="M15" s="220">
        <f t="shared" si="4"/>
        <v>-3500</v>
      </c>
      <c r="N15" s="221">
        <f t="shared" si="6"/>
        <v>0.7620827951872748</v>
      </c>
    </row>
    <row r="16" spans="1:14" ht="13.5" customHeight="1">
      <c r="A16" s="231" t="s">
        <v>219</v>
      </c>
      <c r="B16" s="15">
        <v>13440</v>
      </c>
      <c r="C16" s="14"/>
      <c r="D16" s="192">
        <f t="shared" si="0"/>
        <v>13440</v>
      </c>
      <c r="E16" s="15">
        <v>14711</v>
      </c>
      <c r="F16" s="14"/>
      <c r="G16" s="192">
        <f t="shared" si="1"/>
        <v>14711</v>
      </c>
      <c r="H16" s="220">
        <f t="shared" si="2"/>
        <v>1271</v>
      </c>
      <c r="I16" s="223">
        <f t="shared" si="5"/>
        <v>1.0945684523809525</v>
      </c>
      <c r="J16" s="17">
        <v>1754</v>
      </c>
      <c r="K16" s="14"/>
      <c r="L16" s="192">
        <f t="shared" si="3"/>
        <v>1754</v>
      </c>
      <c r="M16" s="220">
        <f t="shared" si="4"/>
        <v>-12957</v>
      </c>
      <c r="N16" s="221">
        <f t="shared" si="6"/>
        <v>0.11923050778329142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9457</v>
      </c>
      <c r="K17" s="190"/>
      <c r="L17" s="193">
        <f t="shared" si="3"/>
        <v>9457</v>
      </c>
      <c r="M17" s="366">
        <f t="shared" si="4"/>
        <v>9457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21734</v>
      </c>
      <c r="C18" s="214">
        <f t="shared" si="7"/>
        <v>0</v>
      </c>
      <c r="D18" s="215">
        <f t="shared" si="7"/>
        <v>21734</v>
      </c>
      <c r="E18" s="213">
        <f t="shared" si="7"/>
        <v>23360</v>
      </c>
      <c r="F18" s="214">
        <f t="shared" si="7"/>
        <v>0</v>
      </c>
      <c r="G18" s="215">
        <f t="shared" si="7"/>
        <v>23360</v>
      </c>
      <c r="H18" s="217">
        <f t="shared" si="2"/>
        <v>1626</v>
      </c>
      <c r="I18" s="132">
        <f t="shared" si="5"/>
        <v>1.0748136560228214</v>
      </c>
      <c r="J18" s="225">
        <f>SUM(J7+J8+J9+J10+J11+J13+J15)</f>
        <v>25766</v>
      </c>
      <c r="K18" s="214">
        <f>SUM(K7+K8+K9+K10+K11+K13+K15)</f>
        <v>0</v>
      </c>
      <c r="L18" s="215">
        <f>SUM(L7+L8+L9+L10+L11+L13+L15)</f>
        <v>25766</v>
      </c>
      <c r="M18" s="217">
        <f t="shared" si="4"/>
        <v>2406</v>
      </c>
      <c r="N18" s="226">
        <f t="shared" si="6"/>
        <v>1.1029965753424658</v>
      </c>
    </row>
    <row r="19" spans="1:14" ht="13.5" customHeight="1">
      <c r="A19" s="120" t="s">
        <v>18</v>
      </c>
      <c r="B19" s="95">
        <v>4462</v>
      </c>
      <c r="C19" s="96"/>
      <c r="D19" s="97">
        <f aca="true" t="shared" si="8" ref="D19:D36">SUM(B19:C19)</f>
        <v>4462</v>
      </c>
      <c r="E19" s="95">
        <v>3995</v>
      </c>
      <c r="F19" s="96"/>
      <c r="G19" s="121">
        <f aca="true" t="shared" si="9" ref="G19:G36">SUM(E19:F19)</f>
        <v>3995</v>
      </c>
      <c r="H19" s="122">
        <f t="shared" si="2"/>
        <v>-467</v>
      </c>
      <c r="I19" s="123">
        <f t="shared" si="5"/>
        <v>0.895338413267593</v>
      </c>
      <c r="J19" s="100">
        <f>3597+450+720</f>
        <v>4767</v>
      </c>
      <c r="K19" s="96"/>
      <c r="L19" s="124">
        <f aca="true" t="shared" si="10" ref="L19:L36">SUM(J19:K19)</f>
        <v>4767</v>
      </c>
      <c r="M19" s="122">
        <f t="shared" si="4"/>
        <v>772</v>
      </c>
      <c r="N19" s="125">
        <f t="shared" si="6"/>
        <v>1.1932415519399249</v>
      </c>
    </row>
    <row r="20" spans="1:14" ht="21" customHeight="1">
      <c r="A20" s="106" t="s">
        <v>19</v>
      </c>
      <c r="B20" s="95">
        <v>952</v>
      </c>
      <c r="C20" s="96"/>
      <c r="D20" s="97">
        <f t="shared" si="8"/>
        <v>952</v>
      </c>
      <c r="E20" s="95">
        <v>450</v>
      </c>
      <c r="F20" s="96"/>
      <c r="G20" s="121">
        <f t="shared" si="9"/>
        <v>450</v>
      </c>
      <c r="H20" s="98">
        <f t="shared" si="2"/>
        <v>-502</v>
      </c>
      <c r="I20" s="99">
        <f t="shared" si="5"/>
        <v>0.4726890756302521</v>
      </c>
      <c r="J20" s="100">
        <v>79</v>
      </c>
      <c r="K20" s="96"/>
      <c r="L20" s="124">
        <f t="shared" si="10"/>
        <v>79</v>
      </c>
      <c r="M20" s="98">
        <f t="shared" si="4"/>
        <v>-371</v>
      </c>
      <c r="N20" s="101">
        <f t="shared" si="6"/>
        <v>0.17555555555555555</v>
      </c>
    </row>
    <row r="21" spans="1:14" ht="13.5" customHeight="1">
      <c r="A21" s="102" t="s">
        <v>20</v>
      </c>
      <c r="B21" s="103">
        <v>1389</v>
      </c>
      <c r="C21" s="104"/>
      <c r="D21" s="97">
        <f t="shared" si="8"/>
        <v>1389</v>
      </c>
      <c r="E21" s="103">
        <v>1935</v>
      </c>
      <c r="F21" s="104"/>
      <c r="G21" s="121">
        <f t="shared" si="9"/>
        <v>1935</v>
      </c>
      <c r="H21" s="98">
        <f t="shared" si="2"/>
        <v>546</v>
      </c>
      <c r="I21" s="99">
        <f t="shared" si="5"/>
        <v>1.3930885529157668</v>
      </c>
      <c r="J21" s="105">
        <f>1715+272</f>
        <v>1987</v>
      </c>
      <c r="K21" s="104"/>
      <c r="L21" s="124">
        <f t="shared" si="10"/>
        <v>1987</v>
      </c>
      <c r="M21" s="98">
        <f t="shared" si="4"/>
        <v>52</v>
      </c>
      <c r="N21" s="101">
        <f t="shared" si="6"/>
        <v>1.02687338501292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881</v>
      </c>
      <c r="C24" s="104"/>
      <c r="D24" s="97">
        <f t="shared" si="8"/>
        <v>881</v>
      </c>
      <c r="E24" s="105">
        <v>861</v>
      </c>
      <c r="F24" s="104"/>
      <c r="G24" s="121">
        <f t="shared" si="9"/>
        <v>861</v>
      </c>
      <c r="H24" s="98">
        <f t="shared" si="2"/>
        <v>-20</v>
      </c>
      <c r="I24" s="99">
        <f aca="true" t="shared" si="11" ref="I24:I37">+G24/D24</f>
        <v>0.9772985244040863</v>
      </c>
      <c r="J24" s="105">
        <f>SUM(J25:J26)</f>
        <v>899</v>
      </c>
      <c r="K24" s="104"/>
      <c r="L24" s="124">
        <f t="shared" si="10"/>
        <v>899</v>
      </c>
      <c r="M24" s="98">
        <f t="shared" si="4"/>
        <v>38</v>
      </c>
      <c r="N24" s="101">
        <f aca="true" t="shared" si="12" ref="N24:N37">+L24/G24</f>
        <v>1.0441347270615564</v>
      </c>
    </row>
    <row r="25" spans="1:14" ht="13.5" customHeight="1">
      <c r="A25" s="106" t="s">
        <v>24</v>
      </c>
      <c r="B25" s="103">
        <v>354</v>
      </c>
      <c r="C25" s="104"/>
      <c r="D25" s="97">
        <f t="shared" si="8"/>
        <v>354</v>
      </c>
      <c r="E25" s="103">
        <v>268</v>
      </c>
      <c r="F25" s="104"/>
      <c r="G25" s="121">
        <f t="shared" si="9"/>
        <v>268</v>
      </c>
      <c r="H25" s="98">
        <f t="shared" si="2"/>
        <v>-86</v>
      </c>
      <c r="I25" s="99">
        <f t="shared" si="11"/>
        <v>0.7570621468926554</v>
      </c>
      <c r="J25" s="126">
        <v>240</v>
      </c>
      <c r="K25" s="104"/>
      <c r="L25" s="124">
        <f t="shared" si="10"/>
        <v>240</v>
      </c>
      <c r="M25" s="98">
        <f t="shared" si="4"/>
        <v>-28</v>
      </c>
      <c r="N25" s="101">
        <f t="shared" si="12"/>
        <v>0.8955223880597015</v>
      </c>
    </row>
    <row r="26" spans="1:14" ht="13.5" customHeight="1">
      <c r="A26" s="102" t="s">
        <v>25</v>
      </c>
      <c r="B26" s="103">
        <v>527</v>
      </c>
      <c r="C26" s="104"/>
      <c r="D26" s="97">
        <f t="shared" si="8"/>
        <v>527</v>
      </c>
      <c r="E26" s="103">
        <v>593</v>
      </c>
      <c r="F26" s="104"/>
      <c r="G26" s="121">
        <f t="shared" si="9"/>
        <v>593</v>
      </c>
      <c r="H26" s="98">
        <f t="shared" si="2"/>
        <v>66</v>
      </c>
      <c r="I26" s="99">
        <f t="shared" si="11"/>
        <v>1.125237191650854</v>
      </c>
      <c r="J26" s="126">
        <f>59+600</f>
        <v>659</v>
      </c>
      <c r="K26" s="104"/>
      <c r="L26" s="124">
        <f t="shared" si="10"/>
        <v>659</v>
      </c>
      <c r="M26" s="98">
        <f t="shared" si="4"/>
        <v>66</v>
      </c>
      <c r="N26" s="101">
        <f t="shared" si="12"/>
        <v>1.1112984822934233</v>
      </c>
    </row>
    <row r="27" spans="1:14" ht="13.5" customHeight="1">
      <c r="A27" s="127" t="s">
        <v>26</v>
      </c>
      <c r="B27" s="105">
        <v>14179</v>
      </c>
      <c r="C27" s="104"/>
      <c r="D27" s="97">
        <f t="shared" si="8"/>
        <v>14179</v>
      </c>
      <c r="E27" s="105">
        <v>15527</v>
      </c>
      <c r="F27" s="104"/>
      <c r="G27" s="121">
        <f t="shared" si="9"/>
        <v>15527</v>
      </c>
      <c r="H27" s="98">
        <f t="shared" si="2"/>
        <v>1348</v>
      </c>
      <c r="I27" s="99">
        <f t="shared" si="11"/>
        <v>1.0950701742012836</v>
      </c>
      <c r="J27" s="105">
        <f>J28+J31</f>
        <v>17289.4</v>
      </c>
      <c r="K27" s="104"/>
      <c r="L27" s="124">
        <f t="shared" si="10"/>
        <v>17289.4</v>
      </c>
      <c r="M27" s="98">
        <f t="shared" si="4"/>
        <v>1762.4000000000015</v>
      </c>
      <c r="N27" s="101">
        <f t="shared" si="12"/>
        <v>1.113505506537</v>
      </c>
    </row>
    <row r="28" spans="1:14" ht="13.5" customHeight="1">
      <c r="A28" s="106" t="s">
        <v>27</v>
      </c>
      <c r="B28" s="103">
        <v>10360</v>
      </c>
      <c r="C28" s="104"/>
      <c r="D28" s="97">
        <f t="shared" si="8"/>
        <v>10360</v>
      </c>
      <c r="E28" s="103">
        <v>11343</v>
      </c>
      <c r="F28" s="104"/>
      <c r="G28" s="121">
        <f t="shared" si="9"/>
        <v>11343</v>
      </c>
      <c r="H28" s="98">
        <f t="shared" si="2"/>
        <v>983</v>
      </c>
      <c r="I28" s="99">
        <f t="shared" si="11"/>
        <v>1.0948841698841698</v>
      </c>
      <c r="J28" s="126">
        <f>J29+J30</f>
        <v>12620</v>
      </c>
      <c r="K28" s="128"/>
      <c r="L28" s="124">
        <f t="shared" si="10"/>
        <v>12620</v>
      </c>
      <c r="M28" s="98">
        <f t="shared" si="4"/>
        <v>1277</v>
      </c>
      <c r="N28" s="101">
        <f t="shared" si="12"/>
        <v>1.1125804460900997</v>
      </c>
    </row>
    <row r="29" spans="1:14" ht="13.5" customHeight="1">
      <c r="A29" s="127" t="s">
        <v>28</v>
      </c>
      <c r="B29" s="103">
        <v>10323</v>
      </c>
      <c r="C29" s="104"/>
      <c r="D29" s="97">
        <f t="shared" si="8"/>
        <v>10323</v>
      </c>
      <c r="E29" s="103">
        <v>11308</v>
      </c>
      <c r="F29" s="104"/>
      <c r="G29" s="121">
        <f t="shared" si="9"/>
        <v>11308</v>
      </c>
      <c r="H29" s="98">
        <f t="shared" si="2"/>
        <v>985</v>
      </c>
      <c r="I29" s="99">
        <f t="shared" si="11"/>
        <v>1.095417998643805</v>
      </c>
      <c r="J29" s="105">
        <f>12100+485</f>
        <v>12585</v>
      </c>
      <c r="K29" s="104"/>
      <c r="L29" s="124">
        <f t="shared" si="10"/>
        <v>12585</v>
      </c>
      <c r="M29" s="98">
        <f t="shared" si="4"/>
        <v>1277</v>
      </c>
      <c r="N29" s="101">
        <f t="shared" si="12"/>
        <v>1.1129288998938804</v>
      </c>
    </row>
    <row r="30" spans="1:14" ht="13.5" customHeight="1">
      <c r="A30" s="106" t="s">
        <v>29</v>
      </c>
      <c r="B30" s="103">
        <v>37</v>
      </c>
      <c r="C30" s="104"/>
      <c r="D30" s="97">
        <f t="shared" si="8"/>
        <v>37</v>
      </c>
      <c r="E30" s="103">
        <v>35</v>
      </c>
      <c r="F30" s="104"/>
      <c r="G30" s="121">
        <f t="shared" si="9"/>
        <v>35</v>
      </c>
      <c r="H30" s="98">
        <f t="shared" si="2"/>
        <v>-2</v>
      </c>
      <c r="I30" s="99">
        <f t="shared" si="11"/>
        <v>0.9459459459459459</v>
      </c>
      <c r="J30" s="105">
        <v>35</v>
      </c>
      <c r="K30" s="104"/>
      <c r="L30" s="124">
        <f t="shared" si="10"/>
        <v>35</v>
      </c>
      <c r="M30" s="98">
        <f t="shared" si="4"/>
        <v>0</v>
      </c>
      <c r="N30" s="101">
        <f t="shared" si="12"/>
        <v>1</v>
      </c>
    </row>
    <row r="31" spans="1:14" ht="13.5" customHeight="1">
      <c r="A31" s="106" t="s">
        <v>30</v>
      </c>
      <c r="B31" s="103">
        <v>3820</v>
      </c>
      <c r="C31" s="104"/>
      <c r="D31" s="97">
        <f t="shared" si="8"/>
        <v>3820</v>
      </c>
      <c r="E31" s="103">
        <v>4184</v>
      </c>
      <c r="F31" s="104"/>
      <c r="G31" s="121">
        <f t="shared" si="9"/>
        <v>4184</v>
      </c>
      <c r="H31" s="98">
        <f t="shared" si="2"/>
        <v>364</v>
      </c>
      <c r="I31" s="99">
        <f t="shared" si="11"/>
        <v>1.0952879581151833</v>
      </c>
      <c r="J31" s="105">
        <f>J28*0.37</f>
        <v>4669.4</v>
      </c>
      <c r="K31" s="104"/>
      <c r="L31" s="124">
        <f t="shared" si="10"/>
        <v>4669.4</v>
      </c>
      <c r="M31" s="98">
        <f t="shared" si="4"/>
        <v>485.39999999999964</v>
      </c>
      <c r="N31" s="101">
        <f t="shared" si="12"/>
        <v>1.1160133843212237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/>
      <c r="F32" s="104"/>
      <c r="G32" s="121">
        <f t="shared" si="9"/>
        <v>0</v>
      </c>
      <c r="H32" s="98">
        <f t="shared" si="2"/>
        <v>0</v>
      </c>
      <c r="I32" s="99"/>
      <c r="J32" s="105"/>
      <c r="K32" s="104"/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175</v>
      </c>
      <c r="C33" s="104"/>
      <c r="D33" s="97">
        <f t="shared" si="8"/>
        <v>175</v>
      </c>
      <c r="E33" s="103">
        <v>162</v>
      </c>
      <c r="F33" s="104"/>
      <c r="G33" s="121">
        <f t="shared" si="9"/>
        <v>162</v>
      </c>
      <c r="H33" s="98">
        <f t="shared" si="2"/>
        <v>-13</v>
      </c>
      <c r="I33" s="99">
        <f t="shared" si="11"/>
        <v>0.9257142857142857</v>
      </c>
      <c r="J33" s="105">
        <v>162</v>
      </c>
      <c r="K33" s="104"/>
      <c r="L33" s="124">
        <f t="shared" si="10"/>
        <v>162</v>
      </c>
      <c r="M33" s="98">
        <f t="shared" si="4"/>
        <v>0</v>
      </c>
      <c r="N33" s="101">
        <f t="shared" si="12"/>
        <v>1</v>
      </c>
    </row>
    <row r="34" spans="1:14" ht="13.5" customHeight="1">
      <c r="A34" s="106" t="s">
        <v>33</v>
      </c>
      <c r="B34" s="103">
        <v>648</v>
      </c>
      <c r="C34" s="104"/>
      <c r="D34" s="97">
        <f t="shared" si="8"/>
        <v>648</v>
      </c>
      <c r="E34" s="103">
        <v>669</v>
      </c>
      <c r="F34" s="104"/>
      <c r="G34" s="121">
        <f t="shared" si="9"/>
        <v>669</v>
      </c>
      <c r="H34" s="98">
        <f t="shared" si="2"/>
        <v>21</v>
      </c>
      <c r="I34" s="99">
        <f t="shared" si="11"/>
        <v>1.0324074074074074</v>
      </c>
      <c r="J34" s="126">
        <v>662</v>
      </c>
      <c r="K34" s="104"/>
      <c r="L34" s="124">
        <f t="shared" si="10"/>
        <v>662</v>
      </c>
      <c r="M34" s="98">
        <f t="shared" si="4"/>
        <v>-7</v>
      </c>
      <c r="N34" s="101">
        <f t="shared" si="12"/>
        <v>0.9895366218236173</v>
      </c>
    </row>
    <row r="35" spans="1:14" ht="22.5" customHeight="1">
      <c r="A35" s="106" t="s">
        <v>34</v>
      </c>
      <c r="B35" s="103">
        <v>648</v>
      </c>
      <c r="C35" s="104"/>
      <c r="D35" s="97">
        <f t="shared" si="8"/>
        <v>648</v>
      </c>
      <c r="E35" s="103">
        <v>669</v>
      </c>
      <c r="F35" s="104"/>
      <c r="G35" s="121">
        <f t="shared" si="9"/>
        <v>669</v>
      </c>
      <c r="H35" s="98">
        <f t="shared" si="2"/>
        <v>21</v>
      </c>
      <c r="I35" s="99">
        <f t="shared" si="11"/>
        <v>1.0324074074074074</v>
      </c>
      <c r="J35" s="126"/>
      <c r="K35" s="104"/>
      <c r="L35" s="124">
        <f t="shared" si="10"/>
        <v>0</v>
      </c>
      <c r="M35" s="98">
        <f t="shared" si="4"/>
        <v>-669</v>
      </c>
      <c r="N35" s="101">
        <f t="shared" si="12"/>
        <v>0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21734</v>
      </c>
      <c r="C37" s="114">
        <f t="shared" si="13"/>
        <v>0</v>
      </c>
      <c r="D37" s="115">
        <f t="shared" si="13"/>
        <v>21734</v>
      </c>
      <c r="E37" s="113">
        <f t="shared" si="13"/>
        <v>23149</v>
      </c>
      <c r="F37" s="114">
        <f t="shared" si="13"/>
        <v>0</v>
      </c>
      <c r="G37" s="115">
        <f t="shared" si="13"/>
        <v>23149</v>
      </c>
      <c r="H37" s="116">
        <f t="shared" si="2"/>
        <v>1415</v>
      </c>
      <c r="I37" s="117">
        <f t="shared" si="11"/>
        <v>1.0651053648661084</v>
      </c>
      <c r="J37" s="118">
        <f>SUM(J19+J21+J22+J23+J24+J27+J32+J33+J34+J36)</f>
        <v>25766.4</v>
      </c>
      <c r="K37" s="114">
        <f>SUM(K19+K21+K22+K23+K24+K27+K32+K33+K34+K36)</f>
        <v>0</v>
      </c>
      <c r="L37" s="115">
        <f>SUM(L19+L21+L22+L23+L24+L27+L32+L33+L34+L36)</f>
        <v>25766.4</v>
      </c>
      <c r="M37" s="116">
        <f t="shared" si="4"/>
        <v>2617.4000000000015</v>
      </c>
      <c r="N37" s="119">
        <f t="shared" si="12"/>
        <v>1.1130675191152966</v>
      </c>
    </row>
    <row r="38" spans="1:14" ht="13.5" customHeight="1" thickBot="1">
      <c r="A38" s="112" t="s">
        <v>37</v>
      </c>
      <c r="B38" s="470">
        <f>+D18-D37</f>
        <v>0</v>
      </c>
      <c r="C38" s="470"/>
      <c r="D38" s="470"/>
      <c r="E38" s="471">
        <v>211.62</v>
      </c>
      <c r="F38" s="471"/>
      <c r="G38" s="471">
        <v>-50784</v>
      </c>
      <c r="H38" s="131">
        <f>+E38-B38</f>
        <v>211.62</v>
      </c>
      <c r="I38" s="132"/>
      <c r="J38" s="472">
        <f>+L18-L37</f>
        <v>-0.4000000000014552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190</v>
      </c>
      <c r="B43" s="469"/>
      <c r="C43" s="134">
        <v>79</v>
      </c>
      <c r="D43" s="468" t="s">
        <v>308</v>
      </c>
      <c r="E43" s="468"/>
      <c r="F43" s="468"/>
      <c r="G43" s="135">
        <v>48</v>
      </c>
      <c r="H43" s="467" t="s">
        <v>120</v>
      </c>
      <c r="I43" s="467"/>
      <c r="J43" s="467"/>
      <c r="K43" s="467"/>
      <c r="L43" s="136">
        <v>200</v>
      </c>
      <c r="O43"/>
      <c r="P43"/>
    </row>
    <row r="44" spans="1:16" ht="12.75">
      <c r="A44" s="463" t="s">
        <v>309</v>
      </c>
      <c r="B44" s="463"/>
      <c r="C44" s="137">
        <v>200</v>
      </c>
      <c r="D44" s="468" t="s">
        <v>143</v>
      </c>
      <c r="E44" s="468"/>
      <c r="F44" s="468"/>
      <c r="G44" s="138">
        <v>135</v>
      </c>
      <c r="H44" s="467" t="s">
        <v>310</v>
      </c>
      <c r="I44" s="467"/>
      <c r="J44" s="467"/>
      <c r="K44" s="467"/>
      <c r="L44" s="136">
        <v>50</v>
      </c>
      <c r="O44"/>
      <c r="P44"/>
    </row>
    <row r="45" spans="1:16" ht="12.75">
      <c r="A45" s="463" t="s">
        <v>311</v>
      </c>
      <c r="B45" s="463"/>
      <c r="C45" s="137">
        <v>302</v>
      </c>
      <c r="D45" s="468" t="s">
        <v>312</v>
      </c>
      <c r="E45" s="468"/>
      <c r="F45" s="468"/>
      <c r="G45" s="138">
        <v>306</v>
      </c>
      <c r="H45" s="467" t="s">
        <v>84</v>
      </c>
      <c r="I45" s="467"/>
      <c r="J45" s="467"/>
      <c r="K45" s="467"/>
      <c r="L45" s="136">
        <v>306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581</v>
      </c>
      <c r="D50" s="451" t="s">
        <v>3</v>
      </c>
      <c r="E50" s="451"/>
      <c r="F50" s="451"/>
      <c r="G50" s="141">
        <f>SUM(G43:G49)</f>
        <v>489</v>
      </c>
      <c r="H50" s="452" t="s">
        <v>3</v>
      </c>
      <c r="I50" s="452"/>
      <c r="J50" s="452"/>
      <c r="K50" s="452"/>
      <c r="L50" s="141">
        <f>SUM(L43:L49)</f>
        <v>556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110</v>
      </c>
      <c r="B54" s="446"/>
      <c r="C54" s="233">
        <v>97</v>
      </c>
      <c r="D54" s="447" t="s">
        <v>110</v>
      </c>
      <c r="E54" s="447"/>
      <c r="F54" s="447"/>
      <c r="G54" s="142">
        <v>58</v>
      </c>
      <c r="H54" s="467" t="s">
        <v>313</v>
      </c>
      <c r="I54" s="467"/>
      <c r="J54" s="467"/>
      <c r="K54" s="467"/>
      <c r="L54" s="136">
        <v>50</v>
      </c>
      <c r="O54"/>
      <c r="P54"/>
    </row>
    <row r="55" spans="1:16" ht="13.5" customHeight="1">
      <c r="A55" s="418" t="s">
        <v>314</v>
      </c>
      <c r="B55" s="419"/>
      <c r="C55" s="234">
        <v>24</v>
      </c>
      <c r="D55" s="420" t="s">
        <v>315</v>
      </c>
      <c r="E55" s="420"/>
      <c r="F55" s="420"/>
      <c r="G55" s="143">
        <v>8</v>
      </c>
      <c r="H55" s="464" t="s">
        <v>316</v>
      </c>
      <c r="I55" s="464"/>
      <c r="J55" s="464"/>
      <c r="K55" s="464"/>
      <c r="L55" s="144">
        <v>25</v>
      </c>
      <c r="O55"/>
      <c r="P55"/>
    </row>
    <row r="56" spans="1:16" ht="13.5" customHeight="1">
      <c r="A56" s="418" t="s">
        <v>317</v>
      </c>
      <c r="B56" s="419"/>
      <c r="C56" s="234">
        <v>34</v>
      </c>
      <c r="D56" s="420" t="s">
        <v>318</v>
      </c>
      <c r="E56" s="420"/>
      <c r="F56" s="420"/>
      <c r="G56" s="143">
        <v>39</v>
      </c>
      <c r="H56" s="464" t="s">
        <v>319</v>
      </c>
      <c r="I56" s="464"/>
      <c r="J56" s="464"/>
      <c r="K56" s="464"/>
      <c r="L56" s="144">
        <v>165</v>
      </c>
      <c r="O56"/>
      <c r="P56"/>
    </row>
    <row r="57" spans="1:16" ht="13.5" customHeight="1">
      <c r="A57" s="418" t="s">
        <v>320</v>
      </c>
      <c r="B57" s="419"/>
      <c r="C57" s="234">
        <v>23</v>
      </c>
      <c r="D57" s="420" t="s">
        <v>321</v>
      </c>
      <c r="E57" s="420"/>
      <c r="F57" s="420"/>
      <c r="G57" s="143">
        <v>25</v>
      </c>
      <c r="H57" s="464"/>
      <c r="I57" s="464"/>
      <c r="J57" s="464"/>
      <c r="K57" s="464"/>
      <c r="L57" s="144"/>
      <c r="O57"/>
      <c r="P57"/>
    </row>
    <row r="58" spans="1:16" ht="13.5" customHeight="1">
      <c r="A58" s="418" t="s">
        <v>322</v>
      </c>
      <c r="B58" s="419"/>
      <c r="C58" s="235">
        <v>11</v>
      </c>
      <c r="D58" s="420" t="s">
        <v>319</v>
      </c>
      <c r="E58" s="420"/>
      <c r="F58" s="420"/>
      <c r="G58" s="145">
        <v>138</v>
      </c>
      <c r="H58" s="464"/>
      <c r="I58" s="464"/>
      <c r="J58" s="464"/>
      <c r="K58" s="464"/>
      <c r="L58" s="146"/>
      <c r="O58"/>
      <c r="P58"/>
    </row>
    <row r="59" spans="1:16" ht="13.5" customHeight="1">
      <c r="A59" s="418" t="s">
        <v>319</v>
      </c>
      <c r="B59" s="419"/>
      <c r="C59" s="235">
        <v>165</v>
      </c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354</v>
      </c>
      <c r="D62" s="517" t="s">
        <v>3</v>
      </c>
      <c r="E62" s="517"/>
      <c r="F62" s="517"/>
      <c r="G62" s="149">
        <f>SUM(G54:G61)</f>
        <v>268</v>
      </c>
      <c r="H62" s="452" t="s">
        <v>3</v>
      </c>
      <c r="I62" s="452"/>
      <c r="J62" s="452"/>
      <c r="K62" s="452"/>
      <c r="L62" s="141">
        <f>SUM(L54:L61)</f>
        <v>240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119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119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0</v>
      </c>
      <c r="C68" s="478"/>
      <c r="D68" s="478"/>
      <c r="E68" s="65"/>
      <c r="F68" s="486" t="s">
        <v>127</v>
      </c>
      <c r="G68" s="479"/>
      <c r="H68" s="57">
        <v>169.62</v>
      </c>
      <c r="I68" s="478"/>
      <c r="J68" s="479"/>
      <c r="K68" s="479"/>
      <c r="L68" s="65"/>
      <c r="M68" s="22"/>
      <c r="N68" s="22"/>
    </row>
    <row r="69" spans="1:14" s="1" customFormat="1" ht="12.75">
      <c r="A69" s="64"/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119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288.62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119</v>
      </c>
      <c r="C72" s="22"/>
      <c r="D72" s="22"/>
      <c r="E72" s="22"/>
      <c r="F72" s="476" t="s">
        <v>212</v>
      </c>
      <c r="G72" s="477"/>
      <c r="H72" s="80">
        <f>H71-L71</f>
        <v>288.62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25">
        <v>0</v>
      </c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34639</v>
      </c>
      <c r="B80" s="30">
        <v>4767</v>
      </c>
      <c r="C80" s="73">
        <v>662</v>
      </c>
      <c r="D80" s="74">
        <v>110</v>
      </c>
      <c r="E80" s="74">
        <v>232</v>
      </c>
      <c r="F80" s="74">
        <v>5</v>
      </c>
      <c r="G80" s="74">
        <v>0</v>
      </c>
      <c r="H80" s="73">
        <v>315</v>
      </c>
      <c r="I80" s="81">
        <v>0</v>
      </c>
      <c r="J80" s="31">
        <f>SUM(A80-B80-C80)</f>
        <v>29210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1732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2151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24</v>
      </c>
      <c r="C86" s="43">
        <v>24</v>
      </c>
      <c r="D86" s="44">
        <v>0</v>
      </c>
      <c r="E86" s="44">
        <v>0</v>
      </c>
      <c r="F86" s="45">
        <f>C86+D86-E86</f>
        <v>24</v>
      </c>
      <c r="G86" s="46">
        <v>24</v>
      </c>
      <c r="H86" s="198">
        <f>+G86-F86</f>
        <v>0</v>
      </c>
      <c r="I86" s="43">
        <v>24</v>
      </c>
      <c r="J86" s="44">
        <v>42</v>
      </c>
      <c r="K86" s="44">
        <v>0</v>
      </c>
      <c r="L86" s="45">
        <f>I86+J86-K86</f>
        <v>66</v>
      </c>
    </row>
    <row r="87" spans="1:12" s="1" customFormat="1" ht="12.75">
      <c r="A87" s="41" t="s">
        <v>73</v>
      </c>
      <c r="B87" s="42"/>
      <c r="C87" s="43">
        <v>119</v>
      </c>
      <c r="D87" s="44">
        <v>0</v>
      </c>
      <c r="E87" s="44">
        <v>0</v>
      </c>
      <c r="F87" s="45">
        <f>C87+D87-E87</f>
        <v>119</v>
      </c>
      <c r="G87" s="46"/>
      <c r="H87" s="198">
        <f>+G87-F87</f>
        <v>-119</v>
      </c>
      <c r="I87" s="395">
        <v>119</v>
      </c>
      <c r="J87" s="396">
        <v>169.62</v>
      </c>
      <c r="K87" s="396">
        <v>0</v>
      </c>
      <c r="L87" s="397">
        <f>I87+J87-K87</f>
        <v>288.62</v>
      </c>
    </row>
    <row r="88" spans="1:12" s="1" customFormat="1" ht="12.75">
      <c r="A88" s="41" t="s">
        <v>96</v>
      </c>
      <c r="B88" s="42">
        <v>70</v>
      </c>
      <c r="C88" s="43">
        <v>70</v>
      </c>
      <c r="D88" s="44">
        <v>669</v>
      </c>
      <c r="E88" s="44">
        <v>489</v>
      </c>
      <c r="F88" s="45">
        <f>C88+D88-E88</f>
        <v>250</v>
      </c>
      <c r="G88" s="46">
        <v>249</v>
      </c>
      <c r="H88" s="198">
        <f>+G88-F88</f>
        <v>-1</v>
      </c>
      <c r="I88" s="206">
        <v>250</v>
      </c>
      <c r="J88" s="196">
        <v>662</v>
      </c>
      <c r="K88" s="196">
        <v>556</v>
      </c>
      <c r="L88" s="45">
        <f>I88+J88-K88</f>
        <v>356</v>
      </c>
    </row>
    <row r="89" spans="1:12" s="1" customFormat="1" ht="12.75">
      <c r="A89" s="41" t="s">
        <v>74</v>
      </c>
      <c r="B89" s="42">
        <v>1638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1878</v>
      </c>
      <c r="H89" s="53" t="s">
        <v>71</v>
      </c>
      <c r="I89" s="37" t="s">
        <v>71</v>
      </c>
      <c r="J89" s="38" t="s">
        <v>71</v>
      </c>
      <c r="K89" s="38" t="s">
        <v>71</v>
      </c>
      <c r="L89" s="336" t="s">
        <v>71</v>
      </c>
    </row>
    <row r="90" spans="1:12" s="1" customFormat="1" ht="13.5" thickBot="1">
      <c r="A90" s="47" t="s">
        <v>75</v>
      </c>
      <c r="B90" s="48">
        <v>148</v>
      </c>
      <c r="C90" s="49">
        <v>295</v>
      </c>
      <c r="D90" s="50">
        <v>226</v>
      </c>
      <c r="E90" s="50">
        <v>223</v>
      </c>
      <c r="F90" s="51">
        <f>C90+D90-E90</f>
        <v>298</v>
      </c>
      <c r="G90" s="52">
        <v>202</v>
      </c>
      <c r="H90" s="199">
        <f>+G90-F90</f>
        <v>-96</v>
      </c>
      <c r="I90" s="49">
        <v>298</v>
      </c>
      <c r="J90" s="50">
        <v>250</v>
      </c>
      <c r="K90" s="50">
        <v>250</v>
      </c>
      <c r="L90" s="51">
        <f>I90+J90-K90</f>
        <v>298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323</v>
      </c>
      <c r="B96" s="158">
        <v>106</v>
      </c>
      <c r="C96" s="159">
        <v>12</v>
      </c>
      <c r="D96" s="159"/>
      <c r="E96" s="159"/>
      <c r="F96" s="159"/>
      <c r="G96" s="158"/>
      <c r="H96" s="160">
        <f>SUM(C96:G96)</f>
        <v>12</v>
      </c>
      <c r="I96" s="27"/>
      <c r="J96" s="161">
        <v>2006</v>
      </c>
      <c r="K96" s="162">
        <v>11308</v>
      </c>
      <c r="L96" s="163">
        <f>+G29</f>
        <v>11308</v>
      </c>
    </row>
    <row r="97" spans="1:12" ht="13.5" thickBot="1">
      <c r="A97" s="164" t="s">
        <v>83</v>
      </c>
      <c r="B97" s="165">
        <v>1715</v>
      </c>
      <c r="C97" s="166">
        <v>279</v>
      </c>
      <c r="D97" s="166"/>
      <c r="E97" s="166"/>
      <c r="F97" s="166"/>
      <c r="G97" s="165"/>
      <c r="H97" s="167">
        <f>SUM(C97:G97)</f>
        <v>279</v>
      </c>
      <c r="I97" s="27"/>
      <c r="J97" s="168">
        <v>2007</v>
      </c>
      <c r="K97" s="169">
        <f>L29</f>
        <v>12585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2</v>
      </c>
      <c r="C102" s="175">
        <v>3</v>
      </c>
      <c r="D102" s="175">
        <f aca="true" t="shared" si="14" ref="D102:D112">+C102-B102</f>
        <v>1</v>
      </c>
      <c r="E102" s="175">
        <v>2</v>
      </c>
      <c r="F102" s="175">
        <v>3</v>
      </c>
      <c r="G102" s="176">
        <f aca="true" t="shared" si="15" ref="G102:G112">+F102-E102</f>
        <v>1</v>
      </c>
      <c r="H102" s="177">
        <v>26064</v>
      </c>
      <c r="I102" s="178">
        <v>26712</v>
      </c>
      <c r="J102" s="179">
        <f aca="true" t="shared" si="16" ref="J102:J112">+I102-H102</f>
        <v>648</v>
      </c>
    </row>
    <row r="103" spans="1:10" ht="12.75">
      <c r="A103" s="174" t="s">
        <v>85</v>
      </c>
      <c r="B103" s="175">
        <v>18.27</v>
      </c>
      <c r="C103" s="175">
        <v>16.94</v>
      </c>
      <c r="D103" s="175">
        <f t="shared" si="14"/>
        <v>-1.3299999999999983</v>
      </c>
      <c r="E103" s="175">
        <v>17.89</v>
      </c>
      <c r="F103" s="175">
        <v>18.69</v>
      </c>
      <c r="G103" s="176">
        <f t="shared" si="15"/>
        <v>0.8000000000000007</v>
      </c>
      <c r="H103" s="177">
        <v>19897</v>
      </c>
      <c r="I103" s="180">
        <v>23252</v>
      </c>
      <c r="J103" s="179">
        <f t="shared" si="16"/>
        <v>3355</v>
      </c>
    </row>
    <row r="104" spans="1:10" ht="12.75">
      <c r="A104" s="174" t="s">
        <v>52</v>
      </c>
      <c r="B104" s="175">
        <v>3.92</v>
      </c>
      <c r="C104" s="175">
        <v>5.59</v>
      </c>
      <c r="D104" s="175">
        <f t="shared" si="14"/>
        <v>1.67</v>
      </c>
      <c r="E104" s="175">
        <v>5</v>
      </c>
      <c r="F104" s="175">
        <v>5</v>
      </c>
      <c r="G104" s="176">
        <f t="shared" si="15"/>
        <v>0</v>
      </c>
      <c r="H104" s="177">
        <v>12985</v>
      </c>
      <c r="I104" s="180">
        <v>13101</v>
      </c>
      <c r="J104" s="179">
        <f t="shared" si="16"/>
        <v>116</v>
      </c>
    </row>
    <row r="105" spans="1:10" ht="12.75">
      <c r="A105" s="174" t="s">
        <v>53</v>
      </c>
      <c r="B105" s="175">
        <v>10.58</v>
      </c>
      <c r="C105" s="175">
        <v>10</v>
      </c>
      <c r="D105" s="175">
        <f t="shared" si="14"/>
        <v>-0.5800000000000001</v>
      </c>
      <c r="E105" s="175">
        <v>10</v>
      </c>
      <c r="F105" s="175">
        <v>10</v>
      </c>
      <c r="G105" s="176">
        <f t="shared" si="15"/>
        <v>0</v>
      </c>
      <c r="H105" s="177">
        <v>15434</v>
      </c>
      <c r="I105" s="180">
        <v>15347</v>
      </c>
      <c r="J105" s="179">
        <f t="shared" si="16"/>
        <v>-87</v>
      </c>
    </row>
    <row r="106" spans="1:10" ht="12.75">
      <c r="A106" s="174" t="s">
        <v>86</v>
      </c>
      <c r="B106" s="175">
        <v>0.05</v>
      </c>
      <c r="C106" s="175"/>
      <c r="D106" s="175">
        <f t="shared" si="14"/>
        <v>-0.05</v>
      </c>
      <c r="E106" s="175"/>
      <c r="F106" s="175"/>
      <c r="G106" s="176">
        <f t="shared" si="15"/>
        <v>0</v>
      </c>
      <c r="H106" s="177">
        <v>2729</v>
      </c>
      <c r="I106" s="180">
        <v>0</v>
      </c>
      <c r="J106" s="179">
        <f t="shared" si="16"/>
        <v>-2729</v>
      </c>
    </row>
    <row r="107" spans="1:10" ht="12.75">
      <c r="A107" s="174" t="s">
        <v>54</v>
      </c>
      <c r="B107" s="175"/>
      <c r="C107" s="175"/>
      <c r="D107" s="175">
        <f t="shared" si="14"/>
        <v>0</v>
      </c>
      <c r="E107" s="175"/>
      <c r="F107" s="175"/>
      <c r="G107" s="176">
        <f t="shared" si="15"/>
        <v>0</v>
      </c>
      <c r="H107" s="177"/>
      <c r="I107" s="180"/>
      <c r="J107" s="179">
        <f t="shared" si="16"/>
        <v>0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/>
      <c r="C109" s="175"/>
      <c r="D109" s="175">
        <f t="shared" si="14"/>
        <v>0</v>
      </c>
      <c r="E109" s="175"/>
      <c r="F109" s="175"/>
      <c r="G109" s="176">
        <f t="shared" si="15"/>
        <v>0</v>
      </c>
      <c r="H109" s="177"/>
      <c r="I109" s="180"/>
      <c r="J109" s="179">
        <f t="shared" si="16"/>
        <v>0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4"/>
        <v>0</v>
      </c>
      <c r="E110" s="175">
        <v>1</v>
      </c>
      <c r="F110" s="175">
        <v>1</v>
      </c>
      <c r="G110" s="176">
        <f t="shared" si="15"/>
        <v>0</v>
      </c>
      <c r="H110" s="177">
        <v>23566</v>
      </c>
      <c r="I110" s="180">
        <v>26023</v>
      </c>
      <c r="J110" s="179">
        <f t="shared" si="16"/>
        <v>2457</v>
      </c>
    </row>
    <row r="111" spans="1:10" ht="12.75">
      <c r="A111" s="174" t="s">
        <v>58</v>
      </c>
      <c r="B111" s="175">
        <v>20.9</v>
      </c>
      <c r="C111" s="175">
        <v>20.14</v>
      </c>
      <c r="D111" s="175">
        <f t="shared" si="14"/>
        <v>-0.759999999999998</v>
      </c>
      <c r="E111" s="175">
        <v>23</v>
      </c>
      <c r="F111" s="175">
        <v>20</v>
      </c>
      <c r="G111" s="176">
        <f t="shared" si="15"/>
        <v>-3</v>
      </c>
      <c r="H111" s="177">
        <v>10834</v>
      </c>
      <c r="I111" s="180">
        <v>13285</v>
      </c>
      <c r="J111" s="179">
        <f t="shared" si="16"/>
        <v>2451</v>
      </c>
    </row>
    <row r="112" spans="1:10" ht="13.5" thickBot="1">
      <c r="A112" s="181" t="s">
        <v>3</v>
      </c>
      <c r="B112" s="182">
        <f>SUM(B102:B111)</f>
        <v>56.71999999999999</v>
      </c>
      <c r="C112" s="182">
        <f>SUM(C102:C111)</f>
        <v>56.67</v>
      </c>
      <c r="D112" s="182">
        <f t="shared" si="14"/>
        <v>-0.04999999999999005</v>
      </c>
      <c r="E112" s="182">
        <f>SUM(E102:E111)</f>
        <v>58.89</v>
      </c>
      <c r="F112" s="182">
        <f>SUM(F102:F111)</f>
        <v>57.69</v>
      </c>
      <c r="G112" s="183">
        <f t="shared" si="15"/>
        <v>-1.2000000000000028</v>
      </c>
      <c r="H112" s="184">
        <v>15140</v>
      </c>
      <c r="I112" s="185">
        <v>17191</v>
      </c>
      <c r="J112" s="186">
        <f t="shared" si="16"/>
        <v>2051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59</v>
      </c>
      <c r="C116" s="163">
        <v>58</v>
      </c>
      <c r="D116" s="27"/>
      <c r="E116" s="161">
        <v>2006</v>
      </c>
      <c r="F116" s="416">
        <v>119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59</v>
      </c>
      <c r="C117" s="369" t="s">
        <v>508</v>
      </c>
      <c r="D117" s="27"/>
      <c r="E117" s="168">
        <v>2007</v>
      </c>
      <c r="F117" s="417">
        <v>119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B94:B95"/>
    <mergeCell ref="C94:H94"/>
    <mergeCell ref="J94:L94"/>
    <mergeCell ref="A100:A101"/>
    <mergeCell ref="B100:D100"/>
    <mergeCell ref="E100:G100"/>
    <mergeCell ref="H100:J100"/>
    <mergeCell ref="A94:A95"/>
    <mergeCell ref="L41:L42"/>
    <mergeCell ref="A83:A84"/>
    <mergeCell ref="B83:B84"/>
    <mergeCell ref="C83:F83"/>
    <mergeCell ref="G83:G84"/>
    <mergeCell ref="H83:H84"/>
    <mergeCell ref="I83:L83"/>
    <mergeCell ref="L77:M77"/>
    <mergeCell ref="C78:C79"/>
    <mergeCell ref="D78:I78"/>
    <mergeCell ref="B4:D4"/>
    <mergeCell ref="E4:G4"/>
    <mergeCell ref="J4:L4"/>
    <mergeCell ref="A3:A6"/>
    <mergeCell ref="B3:N3"/>
    <mergeCell ref="H4:I4"/>
    <mergeCell ref="M4:N4"/>
    <mergeCell ref="A77:A79"/>
    <mergeCell ref="B77:B79"/>
    <mergeCell ref="C77:I77"/>
    <mergeCell ref="L52:L53"/>
    <mergeCell ref="I70:K70"/>
    <mergeCell ref="C71:D71"/>
    <mergeCell ref="F71:G71"/>
    <mergeCell ref="I71:K71"/>
    <mergeCell ref="F68:G68"/>
    <mergeCell ref="I68:K68"/>
    <mergeCell ref="B38:D38"/>
    <mergeCell ref="E38:G38"/>
    <mergeCell ref="A45:B45"/>
    <mergeCell ref="D45:F45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H41:K42"/>
    <mergeCell ref="A44:B44"/>
    <mergeCell ref="D44:F44"/>
    <mergeCell ref="H44:K44"/>
    <mergeCell ref="H45:K45"/>
    <mergeCell ref="A46:B46"/>
    <mergeCell ref="D46:F46"/>
    <mergeCell ref="H46:K46"/>
    <mergeCell ref="H47:K47"/>
    <mergeCell ref="A48:B48"/>
    <mergeCell ref="D48:F48"/>
    <mergeCell ref="H48:K48"/>
    <mergeCell ref="A47:B47"/>
    <mergeCell ref="D47:F47"/>
    <mergeCell ref="D49:F49"/>
    <mergeCell ref="H49:K49"/>
    <mergeCell ref="A50:B50"/>
    <mergeCell ref="D50:F50"/>
    <mergeCell ref="H50:K50"/>
    <mergeCell ref="A49:B49"/>
    <mergeCell ref="H52:K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2:B62"/>
    <mergeCell ref="D62:F62"/>
    <mergeCell ref="F72:G72"/>
    <mergeCell ref="J77:J79"/>
    <mergeCell ref="I69:K69"/>
    <mergeCell ref="C70:D70"/>
    <mergeCell ref="H62:K62"/>
    <mergeCell ref="C69:D69"/>
    <mergeCell ref="F69:G69"/>
    <mergeCell ref="F70:G7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SheetLayoutView="100" workbookViewId="0" topLeftCell="A16">
      <selection activeCell="J16" sqref="J1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256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 t="s">
        <v>99</v>
      </c>
      <c r="C7" s="188" t="s">
        <v>206</v>
      </c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5814</v>
      </c>
      <c r="C8" s="14">
        <v>481</v>
      </c>
      <c r="D8" s="192">
        <f t="shared" si="0"/>
        <v>6295</v>
      </c>
      <c r="E8" s="15">
        <v>6595</v>
      </c>
      <c r="F8" s="14"/>
      <c r="G8" s="192">
        <f t="shared" si="1"/>
        <v>6595</v>
      </c>
      <c r="H8" s="220">
        <f t="shared" si="2"/>
        <v>300</v>
      </c>
      <c r="I8" s="223">
        <f aca="true" t="shared" si="5" ref="I8:I21">+G8/D8</f>
        <v>1.0476568705321685</v>
      </c>
      <c r="J8" s="15">
        <f>9740.88+553</f>
        <v>10293.88</v>
      </c>
      <c r="K8" s="14"/>
      <c r="L8" s="192">
        <f t="shared" si="3"/>
        <v>10293.88</v>
      </c>
      <c r="M8" s="220">
        <f t="shared" si="4"/>
        <v>3698.879999999999</v>
      </c>
      <c r="N8" s="221">
        <f aca="true" t="shared" si="6" ref="N8:N21">+L8/G8</f>
        <v>1.5608612585291886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>
        <v>13</v>
      </c>
      <c r="C10" s="14"/>
      <c r="D10" s="192">
        <f t="shared" si="0"/>
        <v>13</v>
      </c>
      <c r="E10" s="15">
        <v>11</v>
      </c>
      <c r="F10" s="14"/>
      <c r="G10" s="192">
        <f t="shared" si="1"/>
        <v>11</v>
      </c>
      <c r="H10" s="220">
        <f t="shared" si="2"/>
        <v>-2</v>
      </c>
      <c r="I10" s="223">
        <f t="shared" si="5"/>
        <v>0.8461538461538461</v>
      </c>
      <c r="J10" s="15"/>
      <c r="K10" s="14"/>
      <c r="L10" s="192">
        <f t="shared" si="3"/>
        <v>0</v>
      </c>
      <c r="M10" s="220">
        <f t="shared" si="4"/>
        <v>-11</v>
      </c>
      <c r="N10" s="221"/>
    </row>
    <row r="11" spans="1:14" ht="13.5" customHeight="1">
      <c r="A11" s="229" t="s">
        <v>12</v>
      </c>
      <c r="B11" s="15">
        <v>47</v>
      </c>
      <c r="C11" s="14">
        <v>194</v>
      </c>
      <c r="D11" s="192">
        <f t="shared" si="0"/>
        <v>241</v>
      </c>
      <c r="E11" s="15">
        <v>347</v>
      </c>
      <c r="F11" s="14"/>
      <c r="G11" s="192">
        <f t="shared" si="1"/>
        <v>347</v>
      </c>
      <c r="H11" s="220">
        <f t="shared" si="2"/>
        <v>106</v>
      </c>
      <c r="I11" s="223">
        <f t="shared" si="5"/>
        <v>1.4398340248962656</v>
      </c>
      <c r="J11" s="15">
        <v>254</v>
      </c>
      <c r="K11" s="14"/>
      <c r="L11" s="192">
        <f t="shared" si="3"/>
        <v>254</v>
      </c>
      <c r="M11" s="220">
        <f t="shared" si="4"/>
        <v>-93</v>
      </c>
      <c r="N11" s="221">
        <f t="shared" si="6"/>
        <v>0.7319884726224783</v>
      </c>
    </row>
    <row r="12" spans="1:14" ht="13.5" customHeight="1">
      <c r="A12" s="230" t="s">
        <v>13</v>
      </c>
      <c r="B12" s="15">
        <v>2</v>
      </c>
      <c r="C12" s="14" t="s">
        <v>99</v>
      </c>
      <c r="D12" s="192">
        <f t="shared" si="0"/>
        <v>2</v>
      </c>
      <c r="E12" s="15">
        <v>93</v>
      </c>
      <c r="F12" s="14"/>
      <c r="G12" s="192">
        <f t="shared" si="1"/>
        <v>93</v>
      </c>
      <c r="H12" s="220">
        <f t="shared" si="2"/>
        <v>91</v>
      </c>
      <c r="I12" s="223">
        <f t="shared" si="5"/>
        <v>46.5</v>
      </c>
      <c r="J12" s="15"/>
      <c r="K12" s="14"/>
      <c r="L12" s="192">
        <f t="shared" si="3"/>
        <v>0</v>
      </c>
      <c r="M12" s="220">
        <f t="shared" si="4"/>
        <v>-93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10966</v>
      </c>
      <c r="C15" s="14">
        <f>SUM(C16:C17)</f>
        <v>0</v>
      </c>
      <c r="D15" s="192">
        <f t="shared" si="0"/>
        <v>10966</v>
      </c>
      <c r="E15" s="15">
        <v>12002</v>
      </c>
      <c r="F15" s="14">
        <f>SUM(F16:F17)</f>
        <v>0</v>
      </c>
      <c r="G15" s="192">
        <f t="shared" si="1"/>
        <v>12002</v>
      </c>
      <c r="H15" s="220">
        <f t="shared" si="2"/>
        <v>1036</v>
      </c>
      <c r="I15" s="223">
        <f t="shared" si="5"/>
        <v>1.094473828196243</v>
      </c>
      <c r="J15" s="17">
        <f>SUM(J16:J17)</f>
        <v>9469</v>
      </c>
      <c r="K15" s="17">
        <f>SUM(K16:K17)</f>
        <v>0</v>
      </c>
      <c r="L15" s="192">
        <f t="shared" si="3"/>
        <v>9469</v>
      </c>
      <c r="M15" s="220">
        <f t="shared" si="4"/>
        <v>-2533</v>
      </c>
      <c r="N15" s="221">
        <f t="shared" si="6"/>
        <v>0.7889518413597734</v>
      </c>
    </row>
    <row r="16" spans="1:14" ht="13.5" customHeight="1">
      <c r="A16" s="231" t="s">
        <v>219</v>
      </c>
      <c r="B16" s="15">
        <v>10966</v>
      </c>
      <c r="C16" s="14"/>
      <c r="D16" s="192">
        <f>D15</f>
        <v>10966</v>
      </c>
      <c r="E16" s="15"/>
      <c r="F16" s="14"/>
      <c r="G16" s="192">
        <v>12002</v>
      </c>
      <c r="H16" s="220">
        <f t="shared" si="2"/>
        <v>1036</v>
      </c>
      <c r="I16" s="223">
        <f t="shared" si="5"/>
        <v>1.094473828196243</v>
      </c>
      <c r="J16" s="17">
        <f>1448</f>
        <v>1448</v>
      </c>
      <c r="K16" s="14"/>
      <c r="L16" s="192">
        <f t="shared" si="3"/>
        <v>1448</v>
      </c>
      <c r="M16" s="220">
        <f t="shared" si="4"/>
        <v>-10554</v>
      </c>
      <c r="N16" s="221">
        <f t="shared" si="6"/>
        <v>0.12064655890684886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8021</v>
      </c>
      <c r="K17" s="190"/>
      <c r="L17" s="193">
        <f t="shared" si="3"/>
        <v>8021</v>
      </c>
      <c r="M17" s="366">
        <f t="shared" si="4"/>
        <v>8021</v>
      </c>
      <c r="N17" s="367"/>
    </row>
    <row r="18" spans="1:14" ht="13.5" customHeight="1" thickBot="1">
      <c r="A18" s="209" t="s">
        <v>17</v>
      </c>
      <c r="B18" s="213">
        <v>16840</v>
      </c>
      <c r="C18" s="214">
        <v>675</v>
      </c>
      <c r="D18" s="215">
        <f>SUM(D7+D8+D9+D10+D11+D13+D15)</f>
        <v>17515</v>
      </c>
      <c r="E18" s="213">
        <f>SUM(E7+E8+E9+E10+E11+E13+E15)</f>
        <v>18955</v>
      </c>
      <c r="F18" s="214">
        <f>SUM(F7+F8+F9+F10+F11+F13+F15)</f>
        <v>0</v>
      </c>
      <c r="G18" s="215">
        <f>SUM(G7+G8+G9+G10+G11+G13+G15)</f>
        <v>18955</v>
      </c>
      <c r="H18" s="217">
        <f t="shared" si="2"/>
        <v>1440</v>
      </c>
      <c r="I18" s="132">
        <f t="shared" si="5"/>
        <v>1.0822152440765058</v>
      </c>
      <c r="J18" s="225">
        <f>SUM(J7+J8+J9+J10+J11+J13+J15)</f>
        <v>20016.879999999997</v>
      </c>
      <c r="K18" s="214">
        <f>SUM(K7+K8+K9+K10+K11+K13+K15)</f>
        <v>0</v>
      </c>
      <c r="L18" s="215">
        <f>SUM(L7+L8+L9+L10+L11+L13+L15)</f>
        <v>20016.879999999997</v>
      </c>
      <c r="M18" s="217">
        <f t="shared" si="4"/>
        <v>1061.8799999999974</v>
      </c>
      <c r="N18" s="226">
        <f t="shared" si="6"/>
        <v>1.056021102611448</v>
      </c>
    </row>
    <row r="19" spans="1:14" ht="13.5" customHeight="1">
      <c r="A19" s="120" t="s">
        <v>18</v>
      </c>
      <c r="B19" s="95">
        <v>1239</v>
      </c>
      <c r="C19" s="96"/>
      <c r="D19" s="97">
        <f aca="true" t="shared" si="7" ref="D19:D36">SUM(B19:C19)</f>
        <v>1239</v>
      </c>
      <c r="E19" s="95">
        <v>1505</v>
      </c>
      <c r="F19" s="96"/>
      <c r="G19" s="121">
        <f aca="true" t="shared" si="8" ref="G19:G36">SUM(E19:F19)</f>
        <v>1505</v>
      </c>
      <c r="H19" s="122">
        <f t="shared" si="2"/>
        <v>266</v>
      </c>
      <c r="I19" s="123">
        <f t="shared" si="5"/>
        <v>1.2146892655367232</v>
      </c>
      <c r="J19" s="100">
        <f>1348+214</f>
        <v>1562</v>
      </c>
      <c r="K19" s="96"/>
      <c r="L19" s="124">
        <f aca="true" t="shared" si="9" ref="L19:L36">SUM(J19:K19)</f>
        <v>1562</v>
      </c>
      <c r="M19" s="122">
        <f t="shared" si="4"/>
        <v>57</v>
      </c>
      <c r="N19" s="125">
        <f t="shared" si="6"/>
        <v>1.037873754152824</v>
      </c>
    </row>
    <row r="20" spans="1:14" ht="21" customHeight="1">
      <c r="A20" s="106" t="s">
        <v>19</v>
      </c>
      <c r="B20" s="95">
        <v>683</v>
      </c>
      <c r="C20" s="96"/>
      <c r="D20" s="97">
        <f t="shared" si="7"/>
        <v>683</v>
      </c>
      <c r="E20" s="95">
        <v>864</v>
      </c>
      <c r="F20" s="96"/>
      <c r="G20" s="121">
        <f t="shared" si="8"/>
        <v>864</v>
      </c>
      <c r="H20" s="98">
        <f t="shared" si="2"/>
        <v>181</v>
      </c>
      <c r="I20" s="99">
        <f t="shared" si="5"/>
        <v>1.2650073206442167</v>
      </c>
      <c r="J20" s="100">
        <v>600</v>
      </c>
      <c r="K20" s="96"/>
      <c r="L20" s="124">
        <f t="shared" si="9"/>
        <v>600</v>
      </c>
      <c r="M20" s="98">
        <f t="shared" si="4"/>
        <v>-264</v>
      </c>
      <c r="N20" s="101">
        <f t="shared" si="6"/>
        <v>0.6944444444444444</v>
      </c>
    </row>
    <row r="21" spans="1:14" ht="13.5" customHeight="1">
      <c r="A21" s="102" t="s">
        <v>20</v>
      </c>
      <c r="B21" s="103">
        <v>991</v>
      </c>
      <c r="C21" s="104">
        <v>256</v>
      </c>
      <c r="D21" s="97">
        <f t="shared" si="7"/>
        <v>1247</v>
      </c>
      <c r="E21" s="103">
        <v>1413</v>
      </c>
      <c r="F21" s="104"/>
      <c r="G21" s="121">
        <f t="shared" si="8"/>
        <v>1413</v>
      </c>
      <c r="H21" s="98">
        <f t="shared" si="2"/>
        <v>166</v>
      </c>
      <c r="I21" s="99">
        <f t="shared" si="5"/>
        <v>1.1331194867682437</v>
      </c>
      <c r="J21" s="105">
        <f>1900-350</f>
        <v>1550</v>
      </c>
      <c r="K21" s="104"/>
      <c r="L21" s="124">
        <f t="shared" si="9"/>
        <v>1550</v>
      </c>
      <c r="M21" s="98">
        <f t="shared" si="4"/>
        <v>137</v>
      </c>
      <c r="N21" s="101">
        <f t="shared" si="6"/>
        <v>1.0969568294409058</v>
      </c>
    </row>
    <row r="22" spans="1:14" ht="13.5" customHeight="1">
      <c r="A22" s="106" t="s">
        <v>21</v>
      </c>
      <c r="B22" s="103"/>
      <c r="C22" s="104"/>
      <c r="D22" s="97">
        <f t="shared" si="7"/>
        <v>0</v>
      </c>
      <c r="E22" s="103"/>
      <c r="F22" s="104"/>
      <c r="G22" s="121">
        <f t="shared" si="8"/>
        <v>0</v>
      </c>
      <c r="H22" s="98">
        <f t="shared" si="2"/>
        <v>0</v>
      </c>
      <c r="I22" s="99"/>
      <c r="J22" s="105"/>
      <c r="K22" s="104"/>
      <c r="L22" s="124">
        <f t="shared" si="9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7"/>
        <v>0</v>
      </c>
      <c r="E23" s="103"/>
      <c r="F23" s="104"/>
      <c r="G23" s="121">
        <f t="shared" si="8"/>
        <v>0</v>
      </c>
      <c r="H23" s="98">
        <f t="shared" si="2"/>
        <v>0</v>
      </c>
      <c r="I23" s="99"/>
      <c r="J23" s="105"/>
      <c r="K23" s="104"/>
      <c r="L23" s="124">
        <f t="shared" si="9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1793</v>
      </c>
      <c r="C24" s="104">
        <v>121</v>
      </c>
      <c r="D24" s="97">
        <f t="shared" si="7"/>
        <v>1914</v>
      </c>
      <c r="E24" s="105">
        <v>2118</v>
      </c>
      <c r="F24" s="104"/>
      <c r="G24" s="121">
        <f t="shared" si="8"/>
        <v>2118</v>
      </c>
      <c r="H24" s="98">
        <f t="shared" si="2"/>
        <v>204</v>
      </c>
      <c r="I24" s="99">
        <f aca="true" t="shared" si="10" ref="I24:I37">+G24/D24</f>
        <v>1.1065830721003134</v>
      </c>
      <c r="J24" s="105">
        <f>SUM(J25:J26)</f>
        <v>1900</v>
      </c>
      <c r="K24" s="104"/>
      <c r="L24" s="124">
        <f t="shared" si="9"/>
        <v>1900</v>
      </c>
      <c r="M24" s="98">
        <f t="shared" si="4"/>
        <v>-218</v>
      </c>
      <c r="N24" s="101">
        <f aca="true" t="shared" si="11" ref="N24:N37">+L24/G24</f>
        <v>0.8970727101038716</v>
      </c>
    </row>
    <row r="25" spans="1:14" ht="13.5" customHeight="1">
      <c r="A25" s="106" t="s">
        <v>24</v>
      </c>
      <c r="B25" s="103">
        <v>1310</v>
      </c>
      <c r="C25" s="104">
        <v>95</v>
      </c>
      <c r="D25" s="97">
        <f t="shared" si="7"/>
        <v>1405</v>
      </c>
      <c r="E25" s="103">
        <v>1459</v>
      </c>
      <c r="F25" s="104"/>
      <c r="G25" s="121">
        <f t="shared" si="8"/>
        <v>1459</v>
      </c>
      <c r="H25" s="98">
        <f t="shared" si="2"/>
        <v>54</v>
      </c>
      <c r="I25" s="99">
        <f t="shared" si="10"/>
        <v>1.0384341637010677</v>
      </c>
      <c r="J25" s="126">
        <f>850+400</f>
        <v>1250</v>
      </c>
      <c r="K25" s="104"/>
      <c r="L25" s="124">
        <f t="shared" si="9"/>
        <v>1250</v>
      </c>
      <c r="M25" s="98">
        <f t="shared" si="4"/>
        <v>-209</v>
      </c>
      <c r="N25" s="101">
        <f t="shared" si="11"/>
        <v>0.8567511994516792</v>
      </c>
    </row>
    <row r="26" spans="1:14" ht="13.5" customHeight="1">
      <c r="A26" s="102" t="s">
        <v>25</v>
      </c>
      <c r="B26" s="103">
        <v>483</v>
      </c>
      <c r="C26" s="104">
        <v>26</v>
      </c>
      <c r="D26" s="97">
        <f t="shared" si="7"/>
        <v>509</v>
      </c>
      <c r="E26" s="103">
        <v>636</v>
      </c>
      <c r="F26" s="104"/>
      <c r="G26" s="121">
        <f t="shared" si="8"/>
        <v>636</v>
      </c>
      <c r="H26" s="98">
        <f t="shared" si="2"/>
        <v>127</v>
      </c>
      <c r="I26" s="99">
        <f t="shared" si="10"/>
        <v>1.2495088408644401</v>
      </c>
      <c r="J26" s="126">
        <f>550+100</f>
        <v>650</v>
      </c>
      <c r="K26" s="104"/>
      <c r="L26" s="124">
        <f t="shared" si="9"/>
        <v>650</v>
      </c>
      <c r="M26" s="98">
        <f t="shared" si="4"/>
        <v>14</v>
      </c>
      <c r="N26" s="101">
        <f t="shared" si="11"/>
        <v>1.0220125786163523</v>
      </c>
    </row>
    <row r="27" spans="1:14" ht="13.5" customHeight="1">
      <c r="A27" s="127" t="s">
        <v>26</v>
      </c>
      <c r="B27" s="105">
        <v>12023</v>
      </c>
      <c r="C27" s="104">
        <v>64</v>
      </c>
      <c r="D27" s="97">
        <f t="shared" si="7"/>
        <v>12087</v>
      </c>
      <c r="E27" s="105">
        <v>13008</v>
      </c>
      <c r="F27" s="104"/>
      <c r="G27" s="121">
        <f t="shared" si="8"/>
        <v>13008</v>
      </c>
      <c r="H27" s="98">
        <f t="shared" si="2"/>
        <v>921</v>
      </c>
      <c r="I27" s="99">
        <f t="shared" si="10"/>
        <v>1.0761975676346487</v>
      </c>
      <c r="J27" s="105">
        <v>14222</v>
      </c>
      <c r="K27" s="104"/>
      <c r="L27" s="124">
        <f t="shared" si="9"/>
        <v>14222</v>
      </c>
      <c r="M27" s="98">
        <f t="shared" si="4"/>
        <v>1214</v>
      </c>
      <c r="N27" s="101">
        <f t="shared" si="11"/>
        <v>1.0933271832718328</v>
      </c>
    </row>
    <row r="28" spans="1:14" ht="13.5" customHeight="1">
      <c r="A28" s="106" t="s">
        <v>27</v>
      </c>
      <c r="B28" s="103">
        <v>6154</v>
      </c>
      <c r="C28" s="104">
        <v>47</v>
      </c>
      <c r="D28" s="97">
        <f t="shared" si="7"/>
        <v>6201</v>
      </c>
      <c r="E28" s="103">
        <v>6866</v>
      </c>
      <c r="F28" s="104"/>
      <c r="G28" s="121">
        <f t="shared" si="8"/>
        <v>6866</v>
      </c>
      <c r="H28" s="98">
        <f t="shared" si="2"/>
        <v>665</v>
      </c>
      <c r="I28" s="99">
        <f t="shared" si="10"/>
        <v>1.1072407676181262</v>
      </c>
      <c r="J28" s="126">
        <v>7446</v>
      </c>
      <c r="K28" s="128"/>
      <c r="L28" s="124">
        <f t="shared" si="9"/>
        <v>7446</v>
      </c>
      <c r="M28" s="98">
        <f t="shared" si="4"/>
        <v>580</v>
      </c>
      <c r="N28" s="101">
        <f t="shared" si="11"/>
        <v>1.0844742207981357</v>
      </c>
    </row>
    <row r="29" spans="1:14" ht="13.5" customHeight="1">
      <c r="A29" s="127" t="s">
        <v>28</v>
      </c>
      <c r="B29" s="103">
        <v>6154</v>
      </c>
      <c r="C29" s="104">
        <v>47</v>
      </c>
      <c r="D29" s="97">
        <f t="shared" si="7"/>
        <v>6201</v>
      </c>
      <c r="E29" s="103">
        <v>6866</v>
      </c>
      <c r="F29" s="104"/>
      <c r="G29" s="121">
        <f t="shared" si="8"/>
        <v>6866</v>
      </c>
      <c r="H29" s="98">
        <f t="shared" si="2"/>
        <v>665</v>
      </c>
      <c r="I29" s="99">
        <f t="shared" si="10"/>
        <v>1.1072407676181262</v>
      </c>
      <c r="J29" s="105">
        <v>7346</v>
      </c>
      <c r="K29" s="104"/>
      <c r="L29" s="124">
        <f t="shared" si="9"/>
        <v>7346</v>
      </c>
      <c r="M29" s="98">
        <f t="shared" si="4"/>
        <v>480</v>
      </c>
      <c r="N29" s="101">
        <f t="shared" si="11"/>
        <v>1.069909699970871</v>
      </c>
    </row>
    <row r="30" spans="1:14" ht="13.5" customHeight="1">
      <c r="A30" s="106" t="s">
        <v>29</v>
      </c>
      <c r="B30" s="103">
        <v>0</v>
      </c>
      <c r="C30" s="104">
        <v>0</v>
      </c>
      <c r="D30" s="97">
        <f t="shared" si="7"/>
        <v>0</v>
      </c>
      <c r="E30" s="103">
        <v>0</v>
      </c>
      <c r="F30" s="104"/>
      <c r="G30" s="121">
        <f t="shared" si="8"/>
        <v>0</v>
      </c>
      <c r="H30" s="98">
        <f t="shared" si="2"/>
        <v>0</v>
      </c>
      <c r="I30" s="99"/>
      <c r="J30" s="105">
        <v>100</v>
      </c>
      <c r="K30" s="104"/>
      <c r="L30" s="124">
        <f t="shared" si="9"/>
        <v>100</v>
      </c>
      <c r="M30" s="98">
        <f t="shared" si="4"/>
        <v>100</v>
      </c>
      <c r="N30" s="101"/>
    </row>
    <row r="31" spans="1:14" ht="13.5" customHeight="1">
      <c r="A31" s="106" t="s">
        <v>30</v>
      </c>
      <c r="B31" s="103">
        <v>5869</v>
      </c>
      <c r="C31" s="104">
        <v>17</v>
      </c>
      <c r="D31" s="97">
        <f t="shared" si="7"/>
        <v>5886</v>
      </c>
      <c r="E31" s="103">
        <v>6142</v>
      </c>
      <c r="F31" s="104"/>
      <c r="G31" s="121">
        <f t="shared" si="8"/>
        <v>6142</v>
      </c>
      <c r="H31" s="98">
        <f t="shared" si="2"/>
        <v>256</v>
      </c>
      <c r="I31" s="99">
        <f t="shared" si="10"/>
        <v>1.0434930343187223</v>
      </c>
      <c r="J31" s="105">
        <v>6776</v>
      </c>
      <c r="K31" s="104"/>
      <c r="L31" s="124">
        <f t="shared" si="9"/>
        <v>6776</v>
      </c>
      <c r="M31" s="98">
        <f t="shared" si="4"/>
        <v>634</v>
      </c>
      <c r="N31" s="101">
        <f t="shared" si="11"/>
        <v>1.1032237056333443</v>
      </c>
    </row>
    <row r="32" spans="1:14" ht="13.5" customHeight="1">
      <c r="A32" s="127" t="s">
        <v>31</v>
      </c>
      <c r="B32" s="103">
        <v>2</v>
      </c>
      <c r="C32" s="104"/>
      <c r="D32" s="97">
        <f t="shared" si="7"/>
        <v>2</v>
      </c>
      <c r="E32" s="103">
        <v>1</v>
      </c>
      <c r="F32" s="104"/>
      <c r="G32" s="121">
        <f t="shared" si="8"/>
        <v>1</v>
      </c>
      <c r="H32" s="98">
        <f t="shared" si="2"/>
        <v>-1</v>
      </c>
      <c r="I32" s="99">
        <f t="shared" si="10"/>
        <v>0.5</v>
      </c>
      <c r="J32" s="105">
        <v>1</v>
      </c>
      <c r="K32" s="104"/>
      <c r="L32" s="124">
        <f t="shared" si="9"/>
        <v>1</v>
      </c>
      <c r="M32" s="98">
        <f t="shared" si="4"/>
        <v>0</v>
      </c>
      <c r="N32" s="101">
        <f t="shared" si="11"/>
        <v>1</v>
      </c>
    </row>
    <row r="33" spans="1:14" ht="13.5" customHeight="1">
      <c r="A33" s="127" t="s">
        <v>32</v>
      </c>
      <c r="B33" s="103">
        <v>147</v>
      </c>
      <c r="C33" s="104"/>
      <c r="D33" s="97">
        <f t="shared" si="7"/>
        <v>147</v>
      </c>
      <c r="E33" s="103">
        <v>203</v>
      </c>
      <c r="F33" s="104"/>
      <c r="G33" s="121">
        <f t="shared" si="8"/>
        <v>203</v>
      </c>
      <c r="H33" s="98">
        <f t="shared" si="2"/>
        <v>56</v>
      </c>
      <c r="I33" s="99">
        <f t="shared" si="10"/>
        <v>1.380952380952381</v>
      </c>
      <c r="J33" s="105">
        <v>130</v>
      </c>
      <c r="K33" s="104"/>
      <c r="L33" s="124">
        <f t="shared" si="9"/>
        <v>130</v>
      </c>
      <c r="M33" s="98">
        <f t="shared" si="4"/>
        <v>-73</v>
      </c>
      <c r="N33" s="101">
        <f t="shared" si="11"/>
        <v>0.6403940886699507</v>
      </c>
    </row>
    <row r="34" spans="1:14" ht="13.5" customHeight="1">
      <c r="A34" s="106" t="s">
        <v>33</v>
      </c>
      <c r="B34" s="103">
        <v>679</v>
      </c>
      <c r="C34" s="104"/>
      <c r="D34" s="97">
        <f t="shared" si="7"/>
        <v>679</v>
      </c>
      <c r="E34" s="103">
        <v>645</v>
      </c>
      <c r="F34" s="104"/>
      <c r="G34" s="121">
        <f t="shared" si="8"/>
        <v>645</v>
      </c>
      <c r="H34" s="98">
        <f t="shared" si="2"/>
        <v>-34</v>
      </c>
      <c r="I34" s="99">
        <f t="shared" si="10"/>
        <v>0.9499263622974963</v>
      </c>
      <c r="J34" s="126">
        <v>652</v>
      </c>
      <c r="K34" s="104"/>
      <c r="L34" s="124">
        <f t="shared" si="9"/>
        <v>652</v>
      </c>
      <c r="M34" s="98">
        <f t="shared" si="4"/>
        <v>7</v>
      </c>
      <c r="N34" s="101">
        <f t="shared" si="11"/>
        <v>1.0108527131782945</v>
      </c>
    </row>
    <row r="35" spans="1:14" ht="22.5" customHeight="1">
      <c r="A35" s="106" t="s">
        <v>34</v>
      </c>
      <c r="B35" s="103">
        <v>679</v>
      </c>
      <c r="C35" s="104"/>
      <c r="D35" s="97">
        <f t="shared" si="7"/>
        <v>679</v>
      </c>
      <c r="E35" s="103">
        <v>645</v>
      </c>
      <c r="F35" s="104"/>
      <c r="G35" s="121">
        <f t="shared" si="8"/>
        <v>645</v>
      </c>
      <c r="H35" s="98">
        <f t="shared" si="2"/>
        <v>-34</v>
      </c>
      <c r="I35" s="99">
        <f t="shared" si="10"/>
        <v>0.9499263622974963</v>
      </c>
      <c r="J35" s="126">
        <v>652</v>
      </c>
      <c r="K35" s="104"/>
      <c r="L35" s="124">
        <f t="shared" si="9"/>
        <v>652</v>
      </c>
      <c r="M35" s="98">
        <f t="shared" si="4"/>
        <v>7</v>
      </c>
      <c r="N35" s="101">
        <f t="shared" si="11"/>
        <v>1.0108527131782945</v>
      </c>
    </row>
    <row r="36" spans="1:14" ht="13.5" customHeight="1" thickBot="1">
      <c r="A36" s="129" t="s">
        <v>35</v>
      </c>
      <c r="B36" s="107"/>
      <c r="C36" s="108"/>
      <c r="D36" s="97">
        <f t="shared" si="7"/>
        <v>0</v>
      </c>
      <c r="E36" s="107"/>
      <c r="F36" s="108"/>
      <c r="G36" s="121">
        <f t="shared" si="8"/>
        <v>0</v>
      </c>
      <c r="H36" s="109">
        <f t="shared" si="2"/>
        <v>0</v>
      </c>
      <c r="I36" s="110"/>
      <c r="J36" s="130"/>
      <c r="K36" s="108"/>
      <c r="L36" s="124">
        <f t="shared" si="9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2" ref="B37:G37">SUM(B19+B21+B22+B23+B24+B27+B32+B33+B34+B36)</f>
        <v>16874</v>
      </c>
      <c r="C37" s="114">
        <f t="shared" si="12"/>
        <v>441</v>
      </c>
      <c r="D37" s="115">
        <f t="shared" si="12"/>
        <v>17315</v>
      </c>
      <c r="E37" s="113">
        <f t="shared" si="12"/>
        <v>18893</v>
      </c>
      <c r="F37" s="114">
        <f t="shared" si="12"/>
        <v>0</v>
      </c>
      <c r="G37" s="115">
        <f t="shared" si="12"/>
        <v>18893</v>
      </c>
      <c r="H37" s="116">
        <f t="shared" si="2"/>
        <v>1578</v>
      </c>
      <c r="I37" s="117">
        <f t="shared" si="10"/>
        <v>1.0911348541726826</v>
      </c>
      <c r="J37" s="118">
        <f>SUM(J19+J21+J22+J23+J24+J27+J32+J33+J34+J36)</f>
        <v>20017</v>
      </c>
      <c r="K37" s="114">
        <f>SUM(K19+K21+K22+K23+K24+K27+K32+K33+K34+K36)</f>
        <v>0</v>
      </c>
      <c r="L37" s="115">
        <f>SUM(L19+L21+L22+L23+L24+L27+L32+L33+L34+L36)</f>
        <v>20017</v>
      </c>
      <c r="M37" s="116">
        <f t="shared" si="4"/>
        <v>1124</v>
      </c>
      <c r="N37" s="119">
        <f t="shared" si="11"/>
        <v>1.059492933890859</v>
      </c>
    </row>
    <row r="38" spans="1:14" ht="13.5" customHeight="1" thickBot="1">
      <c r="A38" s="112" t="s">
        <v>37</v>
      </c>
      <c r="B38" s="470">
        <f>+D18-D37</f>
        <v>200</v>
      </c>
      <c r="C38" s="470"/>
      <c r="D38" s="470"/>
      <c r="E38" s="471">
        <v>62.21</v>
      </c>
      <c r="F38" s="471"/>
      <c r="G38" s="471">
        <v>-50784</v>
      </c>
      <c r="H38" s="131">
        <f>+E38-B38</f>
        <v>-137.79</v>
      </c>
      <c r="I38" s="132"/>
      <c r="J38" s="472">
        <f>+L18-L37</f>
        <v>-0.12000000000261934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172</v>
      </c>
      <c r="B43" s="469"/>
      <c r="C43" s="134">
        <v>181</v>
      </c>
      <c r="D43" s="468" t="s">
        <v>223</v>
      </c>
      <c r="E43" s="468"/>
      <c r="F43" s="468"/>
      <c r="G43" s="135">
        <v>468</v>
      </c>
      <c r="H43" s="467" t="s">
        <v>224</v>
      </c>
      <c r="I43" s="467"/>
      <c r="J43" s="467"/>
      <c r="K43" s="467"/>
      <c r="L43" s="136">
        <v>250</v>
      </c>
      <c r="O43"/>
      <c r="P43"/>
    </row>
    <row r="44" spans="1:16" ht="12.75">
      <c r="A44" s="463" t="s">
        <v>174</v>
      </c>
      <c r="B44" s="463"/>
      <c r="C44" s="137">
        <v>48</v>
      </c>
      <c r="D44" s="468" t="s">
        <v>225</v>
      </c>
      <c r="E44" s="468"/>
      <c r="F44" s="468"/>
      <c r="G44" s="138">
        <v>12</v>
      </c>
      <c r="H44" s="467" t="s">
        <v>226</v>
      </c>
      <c r="I44" s="467"/>
      <c r="J44" s="467"/>
      <c r="K44" s="467"/>
      <c r="L44" s="136">
        <v>550</v>
      </c>
      <c r="O44"/>
      <c r="P44"/>
    </row>
    <row r="45" spans="1:16" ht="12.75">
      <c r="A45" s="463" t="s">
        <v>175</v>
      </c>
      <c r="B45" s="463"/>
      <c r="C45" s="137">
        <v>189</v>
      </c>
      <c r="D45" s="468" t="s">
        <v>227</v>
      </c>
      <c r="E45" s="468"/>
      <c r="F45" s="468"/>
      <c r="G45" s="138">
        <v>11</v>
      </c>
      <c r="H45" s="467" t="s">
        <v>228</v>
      </c>
      <c r="I45" s="467"/>
      <c r="J45" s="467"/>
      <c r="K45" s="467"/>
      <c r="L45" s="136">
        <v>180</v>
      </c>
      <c r="O45"/>
      <c r="P45"/>
    </row>
    <row r="46" spans="1:16" ht="12.75">
      <c r="A46" s="463"/>
      <c r="B46" s="463"/>
      <c r="C46" s="139"/>
      <c r="D46" s="463" t="s">
        <v>173</v>
      </c>
      <c r="E46" s="463"/>
      <c r="F46" s="463"/>
      <c r="G46" s="140">
        <v>252</v>
      </c>
      <c r="H46" s="464" t="s">
        <v>229</v>
      </c>
      <c r="I46" s="464"/>
      <c r="J46" s="464"/>
      <c r="K46" s="464"/>
      <c r="L46" s="136">
        <v>30</v>
      </c>
      <c r="O46"/>
      <c r="P46"/>
    </row>
    <row r="47" spans="1:16" ht="12.75">
      <c r="A47" s="463"/>
      <c r="B47" s="463"/>
      <c r="C47" s="139"/>
      <c r="D47" s="463" t="s">
        <v>84</v>
      </c>
      <c r="E47" s="463"/>
      <c r="F47" s="463"/>
      <c r="G47" s="140">
        <v>471</v>
      </c>
      <c r="H47" s="464" t="s">
        <v>211</v>
      </c>
      <c r="I47" s="464"/>
      <c r="J47" s="464"/>
      <c r="K47" s="464"/>
      <c r="L47" s="136">
        <v>476</v>
      </c>
      <c r="O47"/>
      <c r="P47"/>
    </row>
    <row r="48" spans="1:16" ht="12.75">
      <c r="A48" s="464"/>
      <c r="B48" s="464"/>
      <c r="C48" s="139"/>
      <c r="D48" s="464"/>
      <c r="E48" s="464"/>
      <c r="F48" s="464"/>
      <c r="G48" s="140"/>
      <c r="H48" s="464" t="s">
        <v>540</v>
      </c>
      <c r="I48" s="464"/>
      <c r="J48" s="464"/>
      <c r="K48" s="464"/>
      <c r="L48" s="136">
        <v>150</v>
      </c>
      <c r="O48"/>
      <c r="P48"/>
    </row>
    <row r="49" spans="1:16" ht="12.75">
      <c r="A49" s="464"/>
      <c r="B49" s="464"/>
      <c r="C49" s="139"/>
      <c r="D49" s="464"/>
      <c r="E49" s="464"/>
      <c r="F49" s="464"/>
      <c r="G49" s="140"/>
      <c r="H49" s="464" t="s">
        <v>544</v>
      </c>
      <c r="I49" s="464"/>
      <c r="J49" s="464"/>
      <c r="K49" s="464"/>
      <c r="L49" s="136">
        <v>150</v>
      </c>
      <c r="O49"/>
      <c r="P49"/>
    </row>
    <row r="50" spans="1:16" ht="12.75">
      <c r="A50" s="463"/>
      <c r="B50" s="463"/>
      <c r="C50" s="139"/>
      <c r="D50" s="463"/>
      <c r="E50" s="463"/>
      <c r="F50" s="463"/>
      <c r="G50" s="140"/>
      <c r="H50" s="464" t="s">
        <v>543</v>
      </c>
      <c r="I50" s="464"/>
      <c r="J50" s="464"/>
      <c r="K50" s="464"/>
      <c r="L50" s="136">
        <v>500</v>
      </c>
      <c r="O50"/>
      <c r="P50"/>
    </row>
    <row r="51" spans="1:16" ht="12.75">
      <c r="A51" s="464"/>
      <c r="B51" s="464"/>
      <c r="C51" s="139"/>
      <c r="D51" s="464"/>
      <c r="E51" s="464"/>
      <c r="F51" s="464"/>
      <c r="G51" s="140"/>
      <c r="H51" s="464" t="s">
        <v>542</v>
      </c>
      <c r="I51" s="464"/>
      <c r="J51" s="464"/>
      <c r="K51" s="464"/>
      <c r="L51" s="136">
        <v>130</v>
      </c>
      <c r="O51"/>
      <c r="P51"/>
    </row>
    <row r="52" spans="1:16" ht="13.5" thickBot="1">
      <c r="A52" s="465"/>
      <c r="B52" s="465"/>
      <c r="C52" s="139"/>
      <c r="D52" s="466"/>
      <c r="E52" s="466"/>
      <c r="F52" s="466"/>
      <c r="G52" s="140"/>
      <c r="H52" s="467" t="s">
        <v>541</v>
      </c>
      <c r="I52" s="467"/>
      <c r="J52" s="467"/>
      <c r="K52" s="467"/>
      <c r="L52" s="136">
        <v>120</v>
      </c>
      <c r="O52"/>
      <c r="P52"/>
    </row>
    <row r="53" spans="1:16" ht="13.5" thickBot="1">
      <c r="A53" s="450"/>
      <c r="B53" s="450"/>
      <c r="C53" s="141">
        <f>SUM(C43:C52)</f>
        <v>418</v>
      </c>
      <c r="D53" s="451" t="s">
        <v>3</v>
      </c>
      <c r="E53" s="451"/>
      <c r="F53" s="451"/>
      <c r="G53" s="141">
        <f>SUM(G43:G52)</f>
        <v>1214</v>
      </c>
      <c r="H53" s="452" t="s">
        <v>3</v>
      </c>
      <c r="I53" s="452"/>
      <c r="J53" s="452"/>
      <c r="K53" s="452"/>
      <c r="L53" s="141">
        <f>SUM(L43:L52)</f>
        <v>2536</v>
      </c>
      <c r="M53" s="20"/>
      <c r="N53" s="20"/>
      <c r="O53"/>
      <c r="P53"/>
    </row>
    <row r="54" spans="1:16" s="1" customFormat="1" ht="13.5" customHeight="1" thickBot="1">
      <c r="A54" s="21"/>
      <c r="B54" s="5"/>
      <c r="C54" s="5"/>
      <c r="D54" s="5"/>
      <c r="E54" s="5"/>
      <c r="F54" s="5"/>
      <c r="G54" s="5"/>
      <c r="H54" s="6"/>
      <c r="I54" s="3"/>
      <c r="J54" s="3"/>
      <c r="K54" s="3"/>
      <c r="L54" s="3"/>
      <c r="M54" s="3"/>
      <c r="N54" s="3"/>
      <c r="O54" s="3"/>
      <c r="P54" s="3"/>
    </row>
    <row r="55" spans="1:16" ht="13.5" thickBot="1">
      <c r="A55" s="453" t="s">
        <v>230</v>
      </c>
      <c r="B55" s="454"/>
      <c r="C55" s="457" t="s">
        <v>39</v>
      </c>
      <c r="D55" s="459" t="s">
        <v>231</v>
      </c>
      <c r="E55" s="459"/>
      <c r="F55" s="459"/>
      <c r="G55" s="460" t="s">
        <v>39</v>
      </c>
      <c r="H55" s="461" t="s">
        <v>232</v>
      </c>
      <c r="I55" s="461"/>
      <c r="J55" s="461"/>
      <c r="K55" s="461"/>
      <c r="L55" s="444" t="s">
        <v>39</v>
      </c>
      <c r="O55"/>
      <c r="P55"/>
    </row>
    <row r="56" spans="1:16" ht="13.5" thickBot="1">
      <c r="A56" s="455"/>
      <c r="B56" s="456"/>
      <c r="C56" s="458"/>
      <c r="D56" s="459"/>
      <c r="E56" s="459"/>
      <c r="F56" s="459"/>
      <c r="G56" s="460"/>
      <c r="H56" s="461"/>
      <c r="I56" s="461"/>
      <c r="J56" s="461"/>
      <c r="K56" s="461"/>
      <c r="L56" s="444"/>
      <c r="O56"/>
      <c r="P56"/>
    </row>
    <row r="57" spans="1:16" ht="12.75">
      <c r="A57" s="445" t="s">
        <v>233</v>
      </c>
      <c r="B57" s="446"/>
      <c r="C57" s="233">
        <v>345</v>
      </c>
      <c r="D57" s="447" t="s">
        <v>179</v>
      </c>
      <c r="E57" s="447"/>
      <c r="F57" s="447"/>
      <c r="G57" s="142">
        <v>138</v>
      </c>
      <c r="H57" s="467" t="s">
        <v>234</v>
      </c>
      <c r="I57" s="467"/>
      <c r="J57" s="467"/>
      <c r="K57" s="467"/>
      <c r="L57" s="136">
        <v>100</v>
      </c>
      <c r="O57"/>
      <c r="P57"/>
    </row>
    <row r="58" spans="1:16" ht="13.5" customHeight="1">
      <c r="A58" s="418" t="s">
        <v>176</v>
      </c>
      <c r="B58" s="419"/>
      <c r="C58" s="234">
        <v>100</v>
      </c>
      <c r="D58" s="420" t="s">
        <v>235</v>
      </c>
      <c r="E58" s="420"/>
      <c r="F58" s="420"/>
      <c r="G58" s="143">
        <v>267</v>
      </c>
      <c r="H58" s="464" t="s">
        <v>236</v>
      </c>
      <c r="I58" s="464"/>
      <c r="J58" s="464"/>
      <c r="K58" s="464"/>
      <c r="L58" s="144">
        <v>50</v>
      </c>
      <c r="O58"/>
      <c r="P58"/>
    </row>
    <row r="59" spans="1:16" ht="13.5" customHeight="1">
      <c r="A59" s="418" t="s">
        <v>177</v>
      </c>
      <c r="B59" s="419"/>
      <c r="C59" s="234">
        <v>86</v>
      </c>
      <c r="D59" s="420" t="s">
        <v>237</v>
      </c>
      <c r="E59" s="420"/>
      <c r="F59" s="420"/>
      <c r="G59" s="143">
        <v>88</v>
      </c>
      <c r="H59" s="464" t="s">
        <v>177</v>
      </c>
      <c r="I59" s="464"/>
      <c r="J59" s="464"/>
      <c r="K59" s="464"/>
      <c r="L59" s="144">
        <v>80</v>
      </c>
      <c r="O59"/>
      <c r="P59"/>
    </row>
    <row r="60" spans="1:16" ht="13.5" customHeight="1">
      <c r="A60" s="418" t="s">
        <v>178</v>
      </c>
      <c r="B60" s="419"/>
      <c r="C60" s="234">
        <v>179</v>
      </c>
      <c r="D60" s="420" t="s">
        <v>238</v>
      </c>
      <c r="E60" s="420"/>
      <c r="F60" s="420"/>
      <c r="G60" s="143">
        <v>57</v>
      </c>
      <c r="H60" s="464" t="s">
        <v>239</v>
      </c>
      <c r="I60" s="464"/>
      <c r="J60" s="464"/>
      <c r="K60" s="464"/>
      <c r="L60" s="144">
        <v>250</v>
      </c>
      <c r="O60"/>
      <c r="P60"/>
    </row>
    <row r="61" spans="1:16" ht="13.5" customHeight="1">
      <c r="A61" s="418" t="s">
        <v>179</v>
      </c>
      <c r="B61" s="419"/>
      <c r="C61" s="235">
        <v>178</v>
      </c>
      <c r="D61" s="420" t="s">
        <v>240</v>
      </c>
      <c r="E61" s="420"/>
      <c r="F61" s="420"/>
      <c r="G61" s="145">
        <v>190</v>
      </c>
      <c r="H61" s="464" t="s">
        <v>241</v>
      </c>
      <c r="I61" s="464"/>
      <c r="J61" s="464"/>
      <c r="K61" s="464"/>
      <c r="L61" s="146">
        <v>150</v>
      </c>
      <c r="O61"/>
      <c r="P61"/>
    </row>
    <row r="62" spans="1:16" ht="13.5" customHeight="1">
      <c r="A62" s="418" t="s">
        <v>242</v>
      </c>
      <c r="B62" s="419"/>
      <c r="C62" s="235">
        <v>161</v>
      </c>
      <c r="D62" s="420" t="s">
        <v>243</v>
      </c>
      <c r="E62" s="420"/>
      <c r="F62" s="420"/>
      <c r="G62" s="145">
        <v>97</v>
      </c>
      <c r="H62" s="464" t="s">
        <v>151</v>
      </c>
      <c r="I62" s="464"/>
      <c r="J62" s="464"/>
      <c r="K62" s="464"/>
      <c r="L62" s="146">
        <v>220</v>
      </c>
      <c r="O62"/>
      <c r="P62"/>
    </row>
    <row r="63" spans="1:16" ht="13.5" customHeight="1">
      <c r="A63" s="418" t="s">
        <v>181</v>
      </c>
      <c r="B63" s="518"/>
      <c r="C63" s="234">
        <v>302</v>
      </c>
      <c r="D63" s="420" t="s">
        <v>239</v>
      </c>
      <c r="E63" s="420"/>
      <c r="F63" s="420"/>
      <c r="G63" s="143">
        <v>195</v>
      </c>
      <c r="H63" s="464" t="s">
        <v>180</v>
      </c>
      <c r="I63" s="464"/>
      <c r="J63" s="464"/>
      <c r="K63" s="464"/>
      <c r="L63" s="144">
        <v>200</v>
      </c>
      <c r="O63"/>
      <c r="P63"/>
    </row>
    <row r="64" spans="1:16" ht="13.5" thickBot="1">
      <c r="A64" s="511" t="s">
        <v>182</v>
      </c>
      <c r="B64" s="512"/>
      <c r="C64" s="236">
        <v>54</v>
      </c>
      <c r="D64" s="513" t="s">
        <v>244</v>
      </c>
      <c r="E64" s="513"/>
      <c r="F64" s="513"/>
      <c r="G64" s="147">
        <v>427</v>
      </c>
      <c r="H64" s="514" t="s">
        <v>520</v>
      </c>
      <c r="I64" s="514"/>
      <c r="J64" s="514"/>
      <c r="K64" s="514"/>
      <c r="L64" s="148">
        <v>200</v>
      </c>
      <c r="O64"/>
      <c r="P64"/>
    </row>
    <row r="65" spans="1:16" ht="13.5" thickBot="1">
      <c r="A65" s="515" t="s">
        <v>3</v>
      </c>
      <c r="B65" s="516"/>
      <c r="C65" s="237">
        <f>SUM(C57:C64)</f>
        <v>1405</v>
      </c>
      <c r="D65" s="517" t="s">
        <v>3</v>
      </c>
      <c r="E65" s="517"/>
      <c r="F65" s="517"/>
      <c r="G65" s="149">
        <f>SUM(G57:G64)</f>
        <v>1459</v>
      </c>
      <c r="H65" s="452" t="s">
        <v>3</v>
      </c>
      <c r="I65" s="452"/>
      <c r="J65" s="452"/>
      <c r="K65" s="452"/>
      <c r="L65" s="141">
        <f>SUM(L57:L64)</f>
        <v>1250</v>
      </c>
      <c r="M65" s="20"/>
      <c r="N65" s="20"/>
      <c r="O65"/>
      <c r="P65"/>
    </row>
    <row r="66" spans="1:14" s="1" customFormat="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s="1" customFormat="1" ht="13.5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1" customFormat="1" ht="26.25" customHeight="1" thickBot="1">
      <c r="A68" s="499" t="s">
        <v>509</v>
      </c>
      <c r="B68" s="500"/>
      <c r="C68" s="500"/>
      <c r="D68" s="500"/>
      <c r="E68" s="501"/>
      <c r="F68" s="502" t="s">
        <v>510</v>
      </c>
      <c r="G68" s="503"/>
      <c r="H68" s="503"/>
      <c r="I68" s="503"/>
      <c r="J68" s="503"/>
      <c r="K68" s="503"/>
      <c r="L68" s="504"/>
      <c r="M68" s="22"/>
      <c r="N68" s="22"/>
    </row>
    <row r="69" spans="1:14" s="1" customFormat="1" ht="14.25" customHeight="1" thickBot="1">
      <c r="A69" s="58" t="s">
        <v>68</v>
      </c>
      <c r="B69" s="59" t="s">
        <v>122</v>
      </c>
      <c r="C69" s="505" t="s">
        <v>69</v>
      </c>
      <c r="D69" s="505"/>
      <c r="E69" s="60" t="s">
        <v>123</v>
      </c>
      <c r="F69" s="506" t="s">
        <v>68</v>
      </c>
      <c r="G69" s="507"/>
      <c r="H69" s="59" t="s">
        <v>122</v>
      </c>
      <c r="I69" s="505" t="s">
        <v>69</v>
      </c>
      <c r="J69" s="505"/>
      <c r="K69" s="505"/>
      <c r="L69" s="61" t="s">
        <v>123</v>
      </c>
      <c r="M69" s="22"/>
      <c r="N69" s="22"/>
    </row>
    <row r="70" spans="1:14" s="1" customFormat="1" ht="12.75">
      <c r="A70" s="62" t="s">
        <v>126</v>
      </c>
      <c r="B70" s="56">
        <v>458</v>
      </c>
      <c r="C70" s="483" t="s">
        <v>129</v>
      </c>
      <c r="D70" s="483"/>
      <c r="E70" s="63">
        <v>0</v>
      </c>
      <c r="F70" s="484" t="s">
        <v>126</v>
      </c>
      <c r="G70" s="485"/>
      <c r="H70" s="56">
        <v>448</v>
      </c>
      <c r="I70" s="483" t="s">
        <v>129</v>
      </c>
      <c r="J70" s="485"/>
      <c r="K70" s="485"/>
      <c r="L70" s="63">
        <v>80</v>
      </c>
      <c r="M70" s="22"/>
      <c r="N70" s="22"/>
    </row>
    <row r="71" spans="1:14" s="1" customFormat="1" ht="12.75">
      <c r="A71" s="64" t="s">
        <v>124</v>
      </c>
      <c r="B71" s="57">
        <v>83</v>
      </c>
      <c r="C71" s="478" t="s">
        <v>511</v>
      </c>
      <c r="D71" s="478"/>
      <c r="E71" s="65">
        <v>93</v>
      </c>
      <c r="F71" s="486" t="s">
        <v>127</v>
      </c>
      <c r="G71" s="479"/>
      <c r="H71" s="57">
        <v>50.21</v>
      </c>
      <c r="I71" s="478"/>
      <c r="J71" s="479"/>
      <c r="K71" s="479"/>
      <c r="L71" s="65"/>
      <c r="M71" s="22"/>
      <c r="N71" s="22"/>
    </row>
    <row r="72" spans="1:14" s="1" customFormat="1" ht="12.75">
      <c r="A72" s="64" t="s">
        <v>125</v>
      </c>
      <c r="B72" s="57"/>
      <c r="C72" s="478"/>
      <c r="D72" s="478"/>
      <c r="E72" s="65"/>
      <c r="F72" s="478" t="s">
        <v>125</v>
      </c>
      <c r="G72" s="478"/>
      <c r="H72" s="57">
        <v>0</v>
      </c>
      <c r="I72" s="478"/>
      <c r="J72" s="479"/>
      <c r="K72" s="479"/>
      <c r="L72" s="65"/>
      <c r="M72" s="22"/>
      <c r="N72" s="22"/>
    </row>
    <row r="73" spans="1:14" s="1" customFormat="1" ht="13.5" thickBot="1">
      <c r="A73" s="68"/>
      <c r="B73" s="67"/>
      <c r="C73" s="480"/>
      <c r="D73" s="480"/>
      <c r="E73" s="69"/>
      <c r="F73" s="481"/>
      <c r="G73" s="482"/>
      <c r="H73" s="67"/>
      <c r="I73" s="480"/>
      <c r="J73" s="482"/>
      <c r="K73" s="482"/>
      <c r="L73" s="69"/>
      <c r="M73" s="22"/>
      <c r="N73" s="22"/>
    </row>
    <row r="74" spans="1:14" s="1" customFormat="1" ht="13.5" thickBot="1">
      <c r="A74" s="76" t="s">
        <v>3</v>
      </c>
      <c r="B74" s="77">
        <f>SUM(B70:B73)</f>
        <v>541</v>
      </c>
      <c r="C74" s="473" t="s">
        <v>3</v>
      </c>
      <c r="D74" s="473"/>
      <c r="E74" s="70">
        <f>SUM(E70:E73)</f>
        <v>93</v>
      </c>
      <c r="F74" s="474" t="s">
        <v>3</v>
      </c>
      <c r="G74" s="475"/>
      <c r="H74" s="66">
        <f>SUM(H70:H73)</f>
        <v>498.21</v>
      </c>
      <c r="I74" s="473" t="s">
        <v>3</v>
      </c>
      <c r="J74" s="475"/>
      <c r="K74" s="475"/>
      <c r="L74" s="70">
        <f>SUM(L70:L73)</f>
        <v>80</v>
      </c>
      <c r="M74" s="22"/>
      <c r="N74" s="22"/>
    </row>
    <row r="75" spans="1:14" s="1" customFormat="1" ht="13.5" thickBot="1">
      <c r="A75" s="78" t="s">
        <v>212</v>
      </c>
      <c r="B75" s="79">
        <f>B74-E74</f>
        <v>448</v>
      </c>
      <c r="C75" s="22"/>
      <c r="D75" s="22"/>
      <c r="E75" s="22"/>
      <c r="F75" s="476" t="s">
        <v>212</v>
      </c>
      <c r="G75" s="477"/>
      <c r="H75" s="80">
        <f>H74-L74</f>
        <v>418.21</v>
      </c>
      <c r="I75" s="22"/>
      <c r="J75" s="22"/>
      <c r="K75" s="22"/>
      <c r="L75" s="22"/>
      <c r="M75" s="22"/>
      <c r="N75" s="22"/>
    </row>
    <row r="76" spans="1:14" s="1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s="1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2" s="1" customFormat="1" ht="12.75">
      <c r="A78" s="23"/>
      <c r="B78" s="24"/>
      <c r="C78" s="24"/>
      <c r="D78" s="24"/>
      <c r="E78" s="2"/>
      <c r="F78" s="4"/>
      <c r="G78" s="4"/>
      <c r="H78" s="23"/>
      <c r="I78" s="24"/>
      <c r="J78" s="24"/>
      <c r="K78" s="24"/>
      <c r="L78" s="2"/>
    </row>
    <row r="79" spans="1:12" s="1" customFormat="1" ht="13.5" thickBot="1">
      <c r="A79" s="23"/>
      <c r="B79" s="24"/>
      <c r="C79" s="24"/>
      <c r="D79" s="24"/>
      <c r="E79" s="2"/>
      <c r="F79" s="4"/>
      <c r="G79" s="4"/>
      <c r="H79" s="23"/>
      <c r="I79" s="24"/>
      <c r="J79" s="24" t="s">
        <v>215</v>
      </c>
      <c r="K79" s="24"/>
      <c r="L79" s="2"/>
    </row>
    <row r="80" spans="1:15" s="1" customFormat="1" ht="12.75">
      <c r="A80" s="519" t="s">
        <v>64</v>
      </c>
      <c r="B80" s="522" t="s">
        <v>245</v>
      </c>
      <c r="C80" s="525" t="s">
        <v>246</v>
      </c>
      <c r="D80" s="526"/>
      <c r="E80" s="526"/>
      <c r="F80" s="526"/>
      <c r="G80" s="526"/>
      <c r="H80" s="526"/>
      <c r="I80" s="527"/>
      <c r="J80" s="528" t="s">
        <v>247</v>
      </c>
      <c r="K80" s="7"/>
      <c r="L80" s="531" t="s">
        <v>41</v>
      </c>
      <c r="M80" s="532"/>
      <c r="N80" s="83">
        <v>2005</v>
      </c>
      <c r="O80" s="84">
        <v>2006</v>
      </c>
    </row>
    <row r="81" spans="1:15" s="1" customFormat="1" ht="12.75">
      <c r="A81" s="520"/>
      <c r="B81" s="523"/>
      <c r="C81" s="533" t="s">
        <v>65</v>
      </c>
      <c r="D81" s="535" t="s">
        <v>66</v>
      </c>
      <c r="E81" s="536"/>
      <c r="F81" s="536"/>
      <c r="G81" s="536"/>
      <c r="H81" s="536"/>
      <c r="I81" s="537"/>
      <c r="J81" s="529"/>
      <c r="K81" s="7"/>
      <c r="L81" s="87" t="s">
        <v>128</v>
      </c>
      <c r="M81" s="86"/>
      <c r="N81" s="82"/>
      <c r="O81" s="85"/>
    </row>
    <row r="82" spans="1:15" s="1" customFormat="1" ht="13.5" thickBot="1">
      <c r="A82" s="521"/>
      <c r="B82" s="524"/>
      <c r="C82" s="534"/>
      <c r="D82" s="28">
        <v>1</v>
      </c>
      <c r="E82" s="28">
        <v>2</v>
      </c>
      <c r="F82" s="28">
        <v>3</v>
      </c>
      <c r="G82" s="28">
        <v>4</v>
      </c>
      <c r="H82" s="28">
        <v>5</v>
      </c>
      <c r="I82" s="75">
        <v>6</v>
      </c>
      <c r="J82" s="530"/>
      <c r="K82" s="7"/>
      <c r="L82" s="86" t="s">
        <v>42</v>
      </c>
      <c r="M82" s="87"/>
      <c r="N82" s="25">
        <v>0</v>
      </c>
      <c r="O82" s="26">
        <v>0</v>
      </c>
    </row>
    <row r="83" spans="1:15" s="1" customFormat="1" ht="13.5" thickBot="1">
      <c r="A83" s="29">
        <v>52462</v>
      </c>
      <c r="B83" s="30">
        <v>11437</v>
      </c>
      <c r="C83" s="73">
        <f>SUM(D83:I83)</f>
        <v>652</v>
      </c>
      <c r="D83" s="74">
        <v>0</v>
      </c>
      <c r="E83" s="74">
        <v>157</v>
      </c>
      <c r="F83" s="74">
        <v>19</v>
      </c>
      <c r="G83" s="74">
        <v>15</v>
      </c>
      <c r="H83" s="73">
        <v>461</v>
      </c>
      <c r="I83" s="81"/>
      <c r="J83" s="31">
        <f>SUM(A83-B83-C83)</f>
        <v>40373</v>
      </c>
      <c r="K83" s="7"/>
      <c r="L83" s="88" t="s">
        <v>43</v>
      </c>
      <c r="M83" s="89"/>
      <c r="N83" s="71">
        <v>0</v>
      </c>
      <c r="O83" s="72">
        <v>0</v>
      </c>
    </row>
    <row r="84" spans="1:12" s="1" customFormat="1" ht="12.75">
      <c r="A84" s="23"/>
      <c r="B84" s="24"/>
      <c r="C84" s="24"/>
      <c r="D84" s="24"/>
      <c r="E84" s="2"/>
      <c r="F84" s="227"/>
      <c r="G84" s="4"/>
      <c r="H84" s="23"/>
      <c r="I84" s="24"/>
      <c r="J84" s="24"/>
      <c r="K84" s="24"/>
      <c r="L84" s="2"/>
    </row>
    <row r="85" spans="1:12" s="1" customFormat="1" ht="13.5" thickBot="1">
      <c r="A85" s="23"/>
      <c r="B85" s="24"/>
      <c r="C85" s="24"/>
      <c r="D85" s="24"/>
      <c r="E85" s="2"/>
      <c r="F85" s="227"/>
      <c r="G85" s="4"/>
      <c r="H85" s="23"/>
      <c r="I85" s="24"/>
      <c r="J85" s="24"/>
      <c r="K85" s="24"/>
      <c r="L85" s="24" t="s">
        <v>215</v>
      </c>
    </row>
    <row r="86" spans="1:12" s="1" customFormat="1" ht="12.75">
      <c r="A86" s="543" t="s">
        <v>95</v>
      </c>
      <c r="B86" s="545" t="s">
        <v>248</v>
      </c>
      <c r="C86" s="547" t="s">
        <v>249</v>
      </c>
      <c r="D86" s="548"/>
      <c r="E86" s="548"/>
      <c r="F86" s="549"/>
      <c r="G86" s="550" t="s">
        <v>250</v>
      </c>
      <c r="H86" s="538" t="s">
        <v>67</v>
      </c>
      <c r="I86" s="540" t="s">
        <v>251</v>
      </c>
      <c r="J86" s="541"/>
      <c r="K86" s="541"/>
      <c r="L86" s="542"/>
    </row>
    <row r="87" spans="1:12" s="1" customFormat="1" ht="18.75" thickBot="1">
      <c r="A87" s="544"/>
      <c r="B87" s="546"/>
      <c r="C87" s="32" t="s">
        <v>204</v>
      </c>
      <c r="D87" s="33" t="s">
        <v>68</v>
      </c>
      <c r="E87" s="33" t="s">
        <v>69</v>
      </c>
      <c r="F87" s="34" t="s">
        <v>205</v>
      </c>
      <c r="G87" s="551"/>
      <c r="H87" s="539"/>
      <c r="I87" s="200" t="s">
        <v>252</v>
      </c>
      <c r="J87" s="201" t="s">
        <v>68</v>
      </c>
      <c r="K87" s="201" t="s">
        <v>69</v>
      </c>
      <c r="L87" s="202" t="s">
        <v>253</v>
      </c>
    </row>
    <row r="88" spans="1:12" s="1" customFormat="1" ht="12.75">
      <c r="A88" s="35" t="s">
        <v>70</v>
      </c>
      <c r="B88" s="36">
        <v>5786</v>
      </c>
      <c r="C88" s="240"/>
      <c r="D88" s="38" t="s">
        <v>71</v>
      </c>
      <c r="E88" s="38" t="s">
        <v>71</v>
      </c>
      <c r="F88" s="241"/>
      <c r="G88" s="40">
        <v>5576</v>
      </c>
      <c r="H88" s="197" t="s">
        <v>71</v>
      </c>
      <c r="I88" s="203" t="s">
        <v>71</v>
      </c>
      <c r="J88" s="204" t="s">
        <v>71</v>
      </c>
      <c r="K88" s="204" t="s">
        <v>71</v>
      </c>
      <c r="L88" s="205" t="s">
        <v>71</v>
      </c>
    </row>
    <row r="89" spans="1:12" s="1" customFormat="1" ht="12.75">
      <c r="A89" s="41" t="s">
        <v>72</v>
      </c>
      <c r="B89" s="42">
        <v>52</v>
      </c>
      <c r="C89" s="43">
        <v>52</v>
      </c>
      <c r="D89" s="44">
        <v>117</v>
      </c>
      <c r="E89" s="44">
        <v>0</v>
      </c>
      <c r="F89" s="45">
        <v>169</v>
      </c>
      <c r="G89" s="46">
        <v>169</v>
      </c>
      <c r="H89" s="198">
        <f>+G89-F89</f>
        <v>0</v>
      </c>
      <c r="I89" s="43">
        <v>169</v>
      </c>
      <c r="J89" s="44">
        <v>12</v>
      </c>
      <c r="K89" s="44">
        <v>0</v>
      </c>
      <c r="L89" s="45">
        <f>I89+J89-K89</f>
        <v>181</v>
      </c>
    </row>
    <row r="90" spans="1:12" s="1" customFormat="1" ht="12.75">
      <c r="A90" s="41" t="s">
        <v>73</v>
      </c>
      <c r="B90" s="42">
        <v>458</v>
      </c>
      <c r="C90" s="43">
        <v>458</v>
      </c>
      <c r="D90" s="44">
        <v>83</v>
      </c>
      <c r="E90" s="44">
        <v>93</v>
      </c>
      <c r="F90" s="45">
        <f>C90+D90-E90</f>
        <v>448</v>
      </c>
      <c r="G90" s="46">
        <v>448</v>
      </c>
      <c r="H90" s="198">
        <f>+G90-F90</f>
        <v>0</v>
      </c>
      <c r="I90" s="395">
        <v>448</v>
      </c>
      <c r="J90" s="396">
        <v>50.21</v>
      </c>
      <c r="K90" s="396">
        <v>80</v>
      </c>
      <c r="L90" s="397">
        <f>I90+J90-K90</f>
        <v>418.21</v>
      </c>
    </row>
    <row r="91" spans="1:12" s="1" customFormat="1" ht="12.75">
      <c r="A91" s="41" t="s">
        <v>96</v>
      </c>
      <c r="B91" s="42">
        <v>3899</v>
      </c>
      <c r="C91" s="43">
        <v>3899</v>
      </c>
      <c r="D91" s="44">
        <v>739</v>
      </c>
      <c r="E91" s="44">
        <v>1214</v>
      </c>
      <c r="F91" s="45">
        <f>C91+D91-E91</f>
        <v>3424</v>
      </c>
      <c r="G91" s="46">
        <v>3424</v>
      </c>
      <c r="H91" s="198">
        <f>+G91-F91</f>
        <v>0</v>
      </c>
      <c r="I91" s="206">
        <v>3424</v>
      </c>
      <c r="J91" s="196">
        <v>732</v>
      </c>
      <c r="K91" s="196">
        <f>L53</f>
        <v>2536</v>
      </c>
      <c r="L91" s="45">
        <f>I91+J91-K91</f>
        <v>1620</v>
      </c>
    </row>
    <row r="92" spans="1:12" s="1" customFormat="1" ht="12.75">
      <c r="A92" s="41" t="s">
        <v>74</v>
      </c>
      <c r="B92" s="42">
        <v>1377</v>
      </c>
      <c r="C92" s="53" t="s">
        <v>71</v>
      </c>
      <c r="D92" s="38" t="s">
        <v>71</v>
      </c>
      <c r="E92" s="54" t="s">
        <v>71</v>
      </c>
      <c r="F92" s="55" t="s">
        <v>71</v>
      </c>
      <c r="G92" s="46">
        <v>1535</v>
      </c>
      <c r="H92" s="53" t="s">
        <v>71</v>
      </c>
      <c r="I92" s="37" t="s">
        <v>71</v>
      </c>
      <c r="J92" s="38" t="s">
        <v>71</v>
      </c>
      <c r="K92" s="38" t="s">
        <v>71</v>
      </c>
      <c r="L92" s="207">
        <v>0</v>
      </c>
    </row>
    <row r="93" spans="1:12" s="1" customFormat="1" ht="13.5" thickBot="1">
      <c r="A93" s="47" t="s">
        <v>75</v>
      </c>
      <c r="B93" s="48">
        <v>89</v>
      </c>
      <c r="C93" s="49">
        <v>97</v>
      </c>
      <c r="D93" s="50">
        <v>210</v>
      </c>
      <c r="E93" s="50">
        <v>203</v>
      </c>
      <c r="F93" s="51">
        <f>C93+D93-E93</f>
        <v>104</v>
      </c>
      <c r="G93" s="52">
        <v>93</v>
      </c>
      <c r="H93" s="199">
        <v>0</v>
      </c>
      <c r="I93" s="49">
        <v>104</v>
      </c>
      <c r="J93" s="50">
        <v>147</v>
      </c>
      <c r="K93" s="50">
        <v>152</v>
      </c>
      <c r="L93" s="51">
        <f>I93+J93-K93</f>
        <v>99</v>
      </c>
    </row>
    <row r="94" spans="1:12" s="1" customFormat="1" ht="12.75">
      <c r="A94" s="23"/>
      <c r="B94" s="24"/>
      <c r="C94" s="24"/>
      <c r="D94" s="24"/>
      <c r="E94" s="2"/>
      <c r="F94" s="227"/>
      <c r="G94" s="4"/>
      <c r="H94" s="23"/>
      <c r="I94" s="24"/>
      <c r="J94" s="24"/>
      <c r="K94" s="24"/>
      <c r="L94" s="2"/>
    </row>
    <row r="95" spans="1:12" s="1" customFormat="1" ht="12.75">
      <c r="A95" s="23"/>
      <c r="B95" s="24"/>
      <c r="C95" s="24"/>
      <c r="D95" s="24"/>
      <c r="E95" s="2"/>
      <c r="F95" s="4"/>
      <c r="G95" s="4"/>
      <c r="H95" s="23"/>
      <c r="I95" s="24"/>
      <c r="J95" s="24"/>
      <c r="K95" s="24"/>
      <c r="L95" s="2"/>
    </row>
    <row r="96" spans="8:12" ht="13.5" thickBot="1">
      <c r="H96" s="24" t="s">
        <v>215</v>
      </c>
      <c r="L96" s="24" t="s">
        <v>215</v>
      </c>
    </row>
    <row r="97" spans="1:12" ht="13.5" thickBot="1">
      <c r="A97" s="421" t="s">
        <v>254</v>
      </c>
      <c r="B97" s="412" t="s">
        <v>3</v>
      </c>
      <c r="C97" s="429" t="s">
        <v>76</v>
      </c>
      <c r="D97" s="429"/>
      <c r="E97" s="429"/>
      <c r="F97" s="429"/>
      <c r="G97" s="429"/>
      <c r="H97" s="429"/>
      <c r="I97" s="27"/>
      <c r="J97" s="431" t="s">
        <v>44</v>
      </c>
      <c r="K97" s="431"/>
      <c r="L97" s="431"/>
    </row>
    <row r="98" spans="1:12" ht="13.5" thickBot="1">
      <c r="A98" s="421"/>
      <c r="B98" s="412"/>
      <c r="C98" s="150" t="s">
        <v>77</v>
      </c>
      <c r="D98" s="151" t="s">
        <v>78</v>
      </c>
      <c r="E98" s="151" t="s">
        <v>79</v>
      </c>
      <c r="F98" s="151" t="s">
        <v>80</v>
      </c>
      <c r="G98" s="152" t="s">
        <v>81</v>
      </c>
      <c r="H98" s="153" t="s">
        <v>65</v>
      </c>
      <c r="I98" s="27"/>
      <c r="J98" s="154"/>
      <c r="K98" s="155" t="s">
        <v>45</v>
      </c>
      <c r="L98" s="156" t="s">
        <v>46</v>
      </c>
    </row>
    <row r="99" spans="1:12" ht="12.75">
      <c r="A99" s="157" t="s">
        <v>82</v>
      </c>
      <c r="B99" s="158">
        <v>165</v>
      </c>
      <c r="C99" s="159"/>
      <c r="D99" s="159"/>
      <c r="E99" s="159"/>
      <c r="F99" s="159"/>
      <c r="G99" s="158"/>
      <c r="H99" s="160">
        <f>SUM(C99:G99)</f>
        <v>0</v>
      </c>
      <c r="I99" s="27"/>
      <c r="J99" s="161">
        <v>2006</v>
      </c>
      <c r="K99" s="162">
        <v>6866</v>
      </c>
      <c r="L99" s="163">
        <f>+G29</f>
        <v>6866</v>
      </c>
    </row>
    <row r="100" spans="1:12" ht="13.5" thickBot="1">
      <c r="A100" s="164" t="s">
        <v>83</v>
      </c>
      <c r="B100" s="165">
        <v>1566</v>
      </c>
      <c r="C100" s="166"/>
      <c r="D100" s="166"/>
      <c r="E100" s="166"/>
      <c r="F100" s="166"/>
      <c r="G100" s="165"/>
      <c r="H100" s="167">
        <f>SUM(C100:G100)</f>
        <v>0</v>
      </c>
      <c r="I100" s="27"/>
      <c r="J100" s="168">
        <v>2007</v>
      </c>
      <c r="K100" s="169">
        <f>L29</f>
        <v>7346</v>
      </c>
      <c r="L100" s="170"/>
    </row>
    <row r="101" ht="12.75" customHeight="1"/>
    <row r="102" ht="13.5" thickBot="1">
      <c r="J102" s="242" t="s">
        <v>255</v>
      </c>
    </row>
    <row r="103" spans="1:10" ht="21" customHeight="1" thickBot="1">
      <c r="A103" s="421" t="s">
        <v>47</v>
      </c>
      <c r="B103" s="422" t="s">
        <v>48</v>
      </c>
      <c r="C103" s="422"/>
      <c r="D103" s="422"/>
      <c r="E103" s="423" t="s">
        <v>134</v>
      </c>
      <c r="F103" s="423"/>
      <c r="G103" s="423"/>
      <c r="H103" s="430" t="s">
        <v>49</v>
      </c>
      <c r="I103" s="430"/>
      <c r="J103" s="430"/>
    </row>
    <row r="104" spans="1:10" ht="12.75">
      <c r="A104" s="421"/>
      <c r="B104" s="171">
        <v>2005</v>
      </c>
      <c r="C104" s="171">
        <v>2006</v>
      </c>
      <c r="D104" s="171" t="s">
        <v>50</v>
      </c>
      <c r="E104" s="171">
        <v>2005</v>
      </c>
      <c r="F104" s="171">
        <v>2006</v>
      </c>
      <c r="G104" s="172" t="s">
        <v>50</v>
      </c>
      <c r="H104" s="173">
        <v>2005</v>
      </c>
      <c r="I104" s="171">
        <v>2006</v>
      </c>
      <c r="J104" s="172" t="s">
        <v>50</v>
      </c>
    </row>
    <row r="105" spans="1:10" ht="18.75">
      <c r="A105" s="174" t="s">
        <v>51</v>
      </c>
      <c r="B105" s="175">
        <v>3</v>
      </c>
      <c r="C105" s="175">
        <v>3</v>
      </c>
      <c r="D105" s="175">
        <f aca="true" t="shared" si="13" ref="D105:D115">+C105-B105</f>
        <v>0</v>
      </c>
      <c r="E105" s="175">
        <v>3</v>
      </c>
      <c r="F105" s="175">
        <v>3</v>
      </c>
      <c r="G105" s="176">
        <f aca="true" t="shared" si="14" ref="G105:G115">+F105-E105</f>
        <v>0</v>
      </c>
      <c r="H105" s="177">
        <v>20607</v>
      </c>
      <c r="I105" s="178">
        <v>23072</v>
      </c>
      <c r="J105" s="179">
        <f aca="true" t="shared" si="15" ref="J105:J115">+I105-H105</f>
        <v>2465</v>
      </c>
    </row>
    <row r="106" spans="1:10" ht="12.75">
      <c r="A106" s="174" t="s">
        <v>85</v>
      </c>
      <c r="B106" s="175">
        <v>9</v>
      </c>
      <c r="C106" s="175">
        <v>8.67</v>
      </c>
      <c r="D106" s="175">
        <f t="shared" si="13"/>
        <v>-0.33000000000000007</v>
      </c>
      <c r="E106" s="175">
        <v>9</v>
      </c>
      <c r="F106" s="175">
        <v>7.5</v>
      </c>
      <c r="G106" s="176">
        <f t="shared" si="14"/>
        <v>-1.5</v>
      </c>
      <c r="H106" s="177">
        <v>17513</v>
      </c>
      <c r="I106" s="180">
        <v>21897</v>
      </c>
      <c r="J106" s="179">
        <f t="shared" si="15"/>
        <v>4384</v>
      </c>
    </row>
    <row r="107" spans="1:10" ht="12.75">
      <c r="A107" s="174" t="s">
        <v>52</v>
      </c>
      <c r="B107" s="175"/>
      <c r="C107" s="175"/>
      <c r="D107" s="175">
        <f t="shared" si="13"/>
        <v>0</v>
      </c>
      <c r="E107" s="175"/>
      <c r="F107" s="175"/>
      <c r="G107" s="176">
        <f t="shared" si="14"/>
        <v>0</v>
      </c>
      <c r="H107" s="177"/>
      <c r="I107" s="180"/>
      <c r="J107" s="179">
        <f t="shared" si="15"/>
        <v>0</v>
      </c>
    </row>
    <row r="108" spans="1:10" ht="12.75">
      <c r="A108" s="174" t="s">
        <v>53</v>
      </c>
      <c r="B108" s="175">
        <v>8</v>
      </c>
      <c r="C108" s="175">
        <v>7.92</v>
      </c>
      <c r="D108" s="175">
        <f t="shared" si="13"/>
        <v>-0.08000000000000007</v>
      </c>
      <c r="E108" s="175">
        <v>8</v>
      </c>
      <c r="F108" s="175">
        <v>8</v>
      </c>
      <c r="G108" s="176">
        <f t="shared" si="14"/>
        <v>0</v>
      </c>
      <c r="H108" s="177">
        <v>13399</v>
      </c>
      <c r="I108" s="180">
        <v>15972</v>
      </c>
      <c r="J108" s="179">
        <f t="shared" si="15"/>
        <v>2573</v>
      </c>
    </row>
    <row r="109" spans="1:10" ht="12.75">
      <c r="A109" s="174" t="s">
        <v>86</v>
      </c>
      <c r="B109" s="175"/>
      <c r="C109" s="175"/>
      <c r="D109" s="175">
        <f t="shared" si="13"/>
        <v>0</v>
      </c>
      <c r="E109" s="175"/>
      <c r="F109" s="175"/>
      <c r="G109" s="176">
        <f t="shared" si="14"/>
        <v>0</v>
      </c>
      <c r="H109" s="177"/>
      <c r="I109" s="180"/>
      <c r="J109" s="179">
        <f t="shared" si="15"/>
        <v>0</v>
      </c>
    </row>
    <row r="110" spans="1:10" ht="12.75">
      <c r="A110" s="174" t="s">
        <v>54</v>
      </c>
      <c r="B110" s="175"/>
      <c r="C110" s="175"/>
      <c r="D110" s="175">
        <f t="shared" si="13"/>
        <v>0</v>
      </c>
      <c r="E110" s="175"/>
      <c r="F110" s="175"/>
      <c r="G110" s="176">
        <f t="shared" si="14"/>
        <v>0</v>
      </c>
      <c r="H110" s="177"/>
      <c r="I110" s="180"/>
      <c r="J110" s="179">
        <f t="shared" si="15"/>
        <v>0</v>
      </c>
    </row>
    <row r="111" spans="1:10" ht="12.75">
      <c r="A111" s="174" t="s">
        <v>55</v>
      </c>
      <c r="B111" s="175"/>
      <c r="C111" s="175"/>
      <c r="D111" s="175">
        <f t="shared" si="13"/>
        <v>0</v>
      </c>
      <c r="E111" s="175"/>
      <c r="F111" s="175"/>
      <c r="G111" s="176">
        <f t="shared" si="14"/>
        <v>0</v>
      </c>
      <c r="H111" s="177"/>
      <c r="I111" s="180"/>
      <c r="J111" s="179">
        <f t="shared" si="15"/>
        <v>0</v>
      </c>
    </row>
    <row r="112" spans="1:10" ht="12.75">
      <c r="A112" s="174" t="s">
        <v>56</v>
      </c>
      <c r="B112" s="175">
        <v>4</v>
      </c>
      <c r="C112" s="175">
        <v>4</v>
      </c>
      <c r="D112" s="175">
        <f t="shared" si="13"/>
        <v>0</v>
      </c>
      <c r="E112" s="175">
        <v>4</v>
      </c>
      <c r="F112" s="175">
        <v>4</v>
      </c>
      <c r="G112" s="176">
        <f t="shared" si="14"/>
        <v>0</v>
      </c>
      <c r="H112" s="177">
        <v>14470</v>
      </c>
      <c r="I112" s="180">
        <v>15099</v>
      </c>
      <c r="J112" s="179">
        <f t="shared" si="15"/>
        <v>629</v>
      </c>
    </row>
    <row r="113" spans="1:10" ht="12.75">
      <c r="A113" s="174" t="s">
        <v>57</v>
      </c>
      <c r="B113" s="175">
        <v>1</v>
      </c>
      <c r="C113" s="175">
        <v>1</v>
      </c>
      <c r="D113" s="175">
        <f t="shared" si="13"/>
        <v>0</v>
      </c>
      <c r="E113" s="175">
        <v>1</v>
      </c>
      <c r="F113" s="175">
        <v>1</v>
      </c>
      <c r="G113" s="176">
        <f t="shared" si="14"/>
        <v>0</v>
      </c>
      <c r="H113" s="177">
        <v>21973</v>
      </c>
      <c r="I113" s="180">
        <v>23768</v>
      </c>
      <c r="J113" s="179">
        <f t="shared" si="15"/>
        <v>1795</v>
      </c>
    </row>
    <row r="114" spans="1:10" ht="12.75">
      <c r="A114" s="174" t="s">
        <v>58</v>
      </c>
      <c r="B114" s="175">
        <v>8</v>
      </c>
      <c r="C114" s="175">
        <v>8</v>
      </c>
      <c r="D114" s="175">
        <f t="shared" si="13"/>
        <v>0</v>
      </c>
      <c r="E114" s="175">
        <v>8</v>
      </c>
      <c r="F114" s="175">
        <v>8</v>
      </c>
      <c r="G114" s="176">
        <f t="shared" si="14"/>
        <v>0</v>
      </c>
      <c r="H114" s="177">
        <v>12083</v>
      </c>
      <c r="I114" s="180">
        <v>12816</v>
      </c>
      <c r="J114" s="179">
        <f t="shared" si="15"/>
        <v>733</v>
      </c>
    </row>
    <row r="115" spans="1:10" ht="13.5" thickBot="1">
      <c r="A115" s="181" t="s">
        <v>3</v>
      </c>
      <c r="B115" s="182">
        <f>SUM(B105:B114)</f>
        <v>33</v>
      </c>
      <c r="C115" s="182">
        <f>SUM(C105:C114)</f>
        <v>32.59</v>
      </c>
      <c r="D115" s="182">
        <f t="shared" si="13"/>
        <v>-0.4099999999999966</v>
      </c>
      <c r="E115" s="182">
        <f>SUM(E105:E114)</f>
        <v>33</v>
      </c>
      <c r="F115" s="182">
        <f>SUM(F105:F114)</f>
        <v>31.5</v>
      </c>
      <c r="G115" s="183">
        <f t="shared" si="14"/>
        <v>-1.5</v>
      </c>
      <c r="H115" s="184">
        <v>15542</v>
      </c>
      <c r="I115" s="185">
        <v>17559</v>
      </c>
      <c r="J115" s="186">
        <f t="shared" si="15"/>
        <v>2017</v>
      </c>
    </row>
    <row r="116" ht="13.5" thickBot="1"/>
    <row r="117" spans="1:16" ht="12.75">
      <c r="A117" s="432" t="s">
        <v>59</v>
      </c>
      <c r="B117" s="432"/>
      <c r="C117" s="432"/>
      <c r="D117" s="27"/>
      <c r="E117" s="432" t="s">
        <v>60</v>
      </c>
      <c r="F117" s="432"/>
      <c r="G117" s="432"/>
      <c r="H117"/>
      <c r="I117"/>
      <c r="J117"/>
      <c r="K117"/>
      <c r="L117"/>
      <c r="M117"/>
      <c r="N117"/>
      <c r="O117"/>
      <c r="P117"/>
    </row>
    <row r="118" spans="1:16" ht="13.5" thickBot="1">
      <c r="A118" s="154" t="s">
        <v>61</v>
      </c>
      <c r="B118" s="155" t="s">
        <v>62</v>
      </c>
      <c r="C118" s="156" t="s">
        <v>46</v>
      </c>
      <c r="D118" s="27"/>
      <c r="E118" s="154"/>
      <c r="F118" s="433" t="s">
        <v>63</v>
      </c>
      <c r="G118" s="433"/>
      <c r="H118"/>
      <c r="I118"/>
      <c r="J118"/>
      <c r="K118"/>
      <c r="L118"/>
      <c r="M118"/>
      <c r="N118"/>
      <c r="O118"/>
      <c r="P118"/>
    </row>
    <row r="119" spans="1:16" ht="12.75">
      <c r="A119" s="161">
        <v>2006</v>
      </c>
      <c r="B119" s="162">
        <v>33</v>
      </c>
      <c r="C119" s="163">
        <v>31.5</v>
      </c>
      <c r="D119" s="27"/>
      <c r="E119" s="161">
        <v>2006</v>
      </c>
      <c r="F119" s="416">
        <v>80</v>
      </c>
      <c r="G119" s="416"/>
      <c r="H119"/>
      <c r="I119"/>
      <c r="J119"/>
      <c r="K119"/>
      <c r="L119"/>
      <c r="M119"/>
      <c r="N119"/>
      <c r="O119"/>
      <c r="P119"/>
    </row>
    <row r="120" spans="1:16" ht="13.5" thickBot="1">
      <c r="A120" s="168">
        <v>2007</v>
      </c>
      <c r="B120" s="169">
        <v>34</v>
      </c>
      <c r="C120" s="369" t="s">
        <v>508</v>
      </c>
      <c r="D120" s="27"/>
      <c r="E120" s="168">
        <v>2007</v>
      </c>
      <c r="F120" s="417">
        <v>80</v>
      </c>
      <c r="G120" s="417"/>
      <c r="H120"/>
      <c r="I120"/>
      <c r="J120"/>
      <c r="K120"/>
      <c r="L120"/>
      <c r="M120"/>
      <c r="N120"/>
      <c r="O120"/>
      <c r="P120"/>
    </row>
  </sheetData>
  <mergeCells count="131">
    <mergeCell ref="F120:G120"/>
    <mergeCell ref="A68:E68"/>
    <mergeCell ref="F68:L68"/>
    <mergeCell ref="C69:D69"/>
    <mergeCell ref="F69:G69"/>
    <mergeCell ref="I69:K69"/>
    <mergeCell ref="C70:D70"/>
    <mergeCell ref="F70:G70"/>
    <mergeCell ref="I70:K70"/>
    <mergeCell ref="C71:D71"/>
    <mergeCell ref="A117:C117"/>
    <mergeCell ref="E117:G117"/>
    <mergeCell ref="F118:G118"/>
    <mergeCell ref="F119:G119"/>
    <mergeCell ref="B97:B98"/>
    <mergeCell ref="C97:H97"/>
    <mergeCell ref="J97:L97"/>
    <mergeCell ref="A103:A104"/>
    <mergeCell ref="B103:D103"/>
    <mergeCell ref="E103:G103"/>
    <mergeCell ref="H103:J103"/>
    <mergeCell ref="A97:A98"/>
    <mergeCell ref="B4:D4"/>
    <mergeCell ref="E4:G4"/>
    <mergeCell ref="J4:L4"/>
    <mergeCell ref="J80:J82"/>
    <mergeCell ref="L80:M80"/>
    <mergeCell ref="C81:C82"/>
    <mergeCell ref="D81:I81"/>
    <mergeCell ref="I73:K73"/>
    <mergeCell ref="C74:D74"/>
    <mergeCell ref="F74:G74"/>
    <mergeCell ref="H86:H87"/>
    <mergeCell ref="I86:L86"/>
    <mergeCell ref="A86:A87"/>
    <mergeCell ref="B86:B87"/>
    <mergeCell ref="C86:F86"/>
    <mergeCell ref="G86:G87"/>
    <mergeCell ref="A80:A82"/>
    <mergeCell ref="B80:B82"/>
    <mergeCell ref="C80:I80"/>
    <mergeCell ref="F71:G71"/>
    <mergeCell ref="I71:K71"/>
    <mergeCell ref="C72:D72"/>
    <mergeCell ref="F72:G72"/>
    <mergeCell ref="I72:K72"/>
    <mergeCell ref="C73:D73"/>
    <mergeCell ref="F73:G73"/>
    <mergeCell ref="I74:K74"/>
    <mergeCell ref="F75:G75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H50:K50"/>
    <mergeCell ref="A52:B52"/>
    <mergeCell ref="D52:F52"/>
    <mergeCell ref="H52:K52"/>
    <mergeCell ref="H51:K51"/>
    <mergeCell ref="A53:B53"/>
    <mergeCell ref="D53:F53"/>
    <mergeCell ref="H53:K53"/>
    <mergeCell ref="A55:B56"/>
    <mergeCell ref="C55:C56"/>
    <mergeCell ref="D55:F56"/>
    <mergeCell ref="G55:G56"/>
    <mergeCell ref="H55:K56"/>
    <mergeCell ref="L55:L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H64:K64"/>
    <mergeCell ref="A65:B65"/>
    <mergeCell ref="D65:F65"/>
    <mergeCell ref="H65:K65"/>
    <mergeCell ref="A64:B64"/>
    <mergeCell ref="D64:F64"/>
    <mergeCell ref="A62:B62"/>
    <mergeCell ref="D62:F62"/>
    <mergeCell ref="H62:K62"/>
    <mergeCell ref="A63:B63"/>
    <mergeCell ref="D63:F63"/>
    <mergeCell ref="H63:K63"/>
    <mergeCell ref="H48:K48"/>
    <mergeCell ref="H49:K49"/>
    <mergeCell ref="D48:F48"/>
    <mergeCell ref="D49:F49"/>
    <mergeCell ref="A48:B48"/>
    <mergeCell ref="A49:B49"/>
    <mergeCell ref="A51:B51"/>
    <mergeCell ref="D51:F51"/>
    <mergeCell ref="A50:B50"/>
    <mergeCell ref="D50:F5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0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388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7098</v>
      </c>
      <c r="C8" s="14"/>
      <c r="D8" s="192">
        <f t="shared" si="0"/>
        <v>7098</v>
      </c>
      <c r="E8" s="15">
        <v>7411</v>
      </c>
      <c r="F8" s="14"/>
      <c r="G8" s="192">
        <f t="shared" si="1"/>
        <v>7411</v>
      </c>
      <c r="H8" s="220">
        <f t="shared" si="2"/>
        <v>313</v>
      </c>
      <c r="I8" s="223">
        <f aca="true" t="shared" si="5" ref="I8:I21">+G8/D8</f>
        <v>1.0440969287123134</v>
      </c>
      <c r="J8" s="15">
        <f>11509.7+0</f>
        <v>11509.7</v>
      </c>
      <c r="K8" s="14"/>
      <c r="L8" s="192">
        <f t="shared" si="3"/>
        <v>11509.7</v>
      </c>
      <c r="M8" s="220">
        <f t="shared" si="4"/>
        <v>4098.700000000001</v>
      </c>
      <c r="N8" s="221">
        <f aca="true" t="shared" si="6" ref="N8:N21">+L8/G8</f>
        <v>1.5530562677101607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19</v>
      </c>
      <c r="C11" s="14"/>
      <c r="D11" s="192">
        <f t="shared" si="0"/>
        <v>19</v>
      </c>
      <c r="E11" s="15">
        <v>90</v>
      </c>
      <c r="F11" s="14"/>
      <c r="G11" s="192">
        <f t="shared" si="1"/>
        <v>90</v>
      </c>
      <c r="H11" s="220">
        <f t="shared" si="2"/>
        <v>71</v>
      </c>
      <c r="I11" s="223">
        <f t="shared" si="5"/>
        <v>4.7368421052631575</v>
      </c>
      <c r="J11" s="15">
        <v>6</v>
      </c>
      <c r="K11" s="14"/>
      <c r="L11" s="192">
        <f t="shared" si="3"/>
        <v>6</v>
      </c>
      <c r="M11" s="220">
        <f t="shared" si="4"/>
        <v>-84</v>
      </c>
      <c r="N11" s="221">
        <f t="shared" si="6"/>
        <v>0.06666666666666667</v>
      </c>
    </row>
    <row r="12" spans="1:14" ht="13.5" customHeight="1">
      <c r="A12" s="230" t="s">
        <v>13</v>
      </c>
      <c r="B12" s="15">
        <v>11</v>
      </c>
      <c r="C12" s="14"/>
      <c r="D12" s="192">
        <f t="shared" si="0"/>
        <v>11</v>
      </c>
      <c r="E12" s="15">
        <v>11</v>
      </c>
      <c r="F12" s="14"/>
      <c r="G12" s="192">
        <f t="shared" si="1"/>
        <v>11</v>
      </c>
      <c r="H12" s="220">
        <f t="shared" si="2"/>
        <v>0</v>
      </c>
      <c r="I12" s="223">
        <f t="shared" si="5"/>
        <v>1</v>
      </c>
      <c r="J12" s="15"/>
      <c r="K12" s="14"/>
      <c r="L12" s="192">
        <f t="shared" si="3"/>
        <v>0</v>
      </c>
      <c r="M12" s="220">
        <f t="shared" si="4"/>
        <v>-11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13772</v>
      </c>
      <c r="C15" s="14">
        <f>SUM(C16:C17)</f>
        <v>0</v>
      </c>
      <c r="D15" s="192">
        <f t="shared" si="0"/>
        <v>13772</v>
      </c>
      <c r="E15" s="15">
        <v>14536</v>
      </c>
      <c r="F15" s="14">
        <f>SUM(F16:F17)</f>
        <v>0</v>
      </c>
      <c r="G15" s="192">
        <f t="shared" si="1"/>
        <v>14536</v>
      </c>
      <c r="H15" s="220">
        <f t="shared" si="2"/>
        <v>764</v>
      </c>
      <c r="I15" s="223">
        <f t="shared" si="5"/>
        <v>1.0554748765611386</v>
      </c>
      <c r="J15" s="17">
        <f>SUM(J16:J17)</f>
        <v>12228</v>
      </c>
      <c r="K15" s="17">
        <f>SUM(K16:K17)</f>
        <v>0</v>
      </c>
      <c r="L15" s="192">
        <f t="shared" si="3"/>
        <v>12228</v>
      </c>
      <c r="M15" s="220">
        <f t="shared" si="4"/>
        <v>-2308</v>
      </c>
      <c r="N15" s="221">
        <f t="shared" si="6"/>
        <v>0.841221794166208</v>
      </c>
    </row>
    <row r="16" spans="1:14" ht="13.5" customHeight="1">
      <c r="A16" s="231" t="s">
        <v>219</v>
      </c>
      <c r="B16" s="15">
        <v>13772</v>
      </c>
      <c r="C16" s="14"/>
      <c r="D16" s="192">
        <f>D15</f>
        <v>13772</v>
      </c>
      <c r="E16" s="15">
        <v>14536</v>
      </c>
      <c r="F16" s="14"/>
      <c r="G16" s="192">
        <f t="shared" si="1"/>
        <v>14536</v>
      </c>
      <c r="H16" s="220">
        <f t="shared" si="2"/>
        <v>764</v>
      </c>
      <c r="I16" s="223">
        <f t="shared" si="5"/>
        <v>1.0554748765611386</v>
      </c>
      <c r="J16" s="17">
        <v>1757</v>
      </c>
      <c r="K16" s="14"/>
      <c r="L16" s="192">
        <f t="shared" si="3"/>
        <v>1757</v>
      </c>
      <c r="M16" s="220">
        <f t="shared" si="4"/>
        <v>-12779</v>
      </c>
      <c r="N16" s="221">
        <f t="shared" si="6"/>
        <v>0.12087231700605393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368">
        <f t="shared" si="1"/>
        <v>0</v>
      </c>
      <c r="H17" s="366">
        <f t="shared" si="2"/>
        <v>0</v>
      </c>
      <c r="I17" s="370"/>
      <c r="J17" s="194">
        <v>10471</v>
      </c>
      <c r="K17" s="190"/>
      <c r="L17" s="193">
        <f t="shared" si="3"/>
        <v>10471</v>
      </c>
      <c r="M17" s="366">
        <f t="shared" si="4"/>
        <v>10471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20889</v>
      </c>
      <c r="C18" s="214">
        <f t="shared" si="7"/>
        <v>0</v>
      </c>
      <c r="D18" s="215">
        <f t="shared" si="7"/>
        <v>20889</v>
      </c>
      <c r="E18" s="213">
        <f t="shared" si="7"/>
        <v>22037</v>
      </c>
      <c r="F18" s="214">
        <f t="shared" si="7"/>
        <v>0</v>
      </c>
      <c r="G18" s="215">
        <f t="shared" si="7"/>
        <v>22037</v>
      </c>
      <c r="H18" s="217">
        <f t="shared" si="2"/>
        <v>1148</v>
      </c>
      <c r="I18" s="132">
        <f t="shared" si="5"/>
        <v>1.0549571544832208</v>
      </c>
      <c r="J18" s="225">
        <f>SUM(J7+J8+J9+J10+J11+J13+J15)</f>
        <v>23743.7</v>
      </c>
      <c r="K18" s="214">
        <f>SUM(K7+K8+K9+K10+K11+K13+K15)</f>
        <v>0</v>
      </c>
      <c r="L18" s="215">
        <f>SUM(L7+L8+L9+L10+L11+L13+L15)</f>
        <v>23743.7</v>
      </c>
      <c r="M18" s="217">
        <f t="shared" si="4"/>
        <v>1706.7000000000007</v>
      </c>
      <c r="N18" s="226">
        <f t="shared" si="6"/>
        <v>1.077447020919363</v>
      </c>
    </row>
    <row r="19" spans="1:14" ht="13.5" customHeight="1">
      <c r="A19" s="120" t="s">
        <v>18</v>
      </c>
      <c r="B19" s="95">
        <v>3271</v>
      </c>
      <c r="C19" s="96"/>
      <c r="D19" s="97">
        <f aca="true" t="shared" si="8" ref="D19:D36">SUM(B19:C19)</f>
        <v>3271</v>
      </c>
      <c r="E19" s="95">
        <v>4011</v>
      </c>
      <c r="F19" s="96"/>
      <c r="G19" s="121">
        <f aca="true" t="shared" si="9" ref="G19:G36">SUM(E19:F19)</f>
        <v>4011</v>
      </c>
      <c r="H19" s="122">
        <f t="shared" si="2"/>
        <v>740</v>
      </c>
      <c r="I19" s="123">
        <f t="shared" si="5"/>
        <v>1.2262305105472333</v>
      </c>
      <c r="J19" s="100">
        <f>3765</f>
        <v>3765</v>
      </c>
      <c r="K19" s="96"/>
      <c r="L19" s="124">
        <f aca="true" t="shared" si="10" ref="L19:L36">SUM(J19:K19)</f>
        <v>3765</v>
      </c>
      <c r="M19" s="122">
        <f t="shared" si="4"/>
        <v>-246</v>
      </c>
      <c r="N19" s="125">
        <f t="shared" si="6"/>
        <v>0.9386686611817502</v>
      </c>
    </row>
    <row r="20" spans="1:14" ht="21" customHeight="1">
      <c r="A20" s="106" t="s">
        <v>19</v>
      </c>
      <c r="B20" s="95">
        <v>270</v>
      </c>
      <c r="C20" s="96"/>
      <c r="D20" s="97">
        <f t="shared" si="8"/>
        <v>270</v>
      </c>
      <c r="E20" s="95">
        <v>726</v>
      </c>
      <c r="F20" s="96"/>
      <c r="G20" s="121">
        <f t="shared" si="9"/>
        <v>726</v>
      </c>
      <c r="H20" s="98">
        <f t="shared" si="2"/>
        <v>456</v>
      </c>
      <c r="I20" s="99">
        <f t="shared" si="5"/>
        <v>2.688888888888889</v>
      </c>
      <c r="J20" s="100">
        <v>450</v>
      </c>
      <c r="K20" s="96"/>
      <c r="L20" s="124">
        <f t="shared" si="10"/>
        <v>450</v>
      </c>
      <c r="M20" s="98">
        <f t="shared" si="4"/>
        <v>-276</v>
      </c>
      <c r="N20" s="101">
        <f t="shared" si="6"/>
        <v>0.6198347107438017</v>
      </c>
    </row>
    <row r="21" spans="1:14" ht="13.5" customHeight="1">
      <c r="A21" s="102" t="s">
        <v>20</v>
      </c>
      <c r="B21" s="103">
        <v>1227</v>
      </c>
      <c r="C21" s="104"/>
      <c r="D21" s="97">
        <f t="shared" si="8"/>
        <v>1227</v>
      </c>
      <c r="E21" s="103">
        <v>1388</v>
      </c>
      <c r="F21" s="104"/>
      <c r="G21" s="121">
        <f t="shared" si="9"/>
        <v>1388</v>
      </c>
      <c r="H21" s="98">
        <f t="shared" si="2"/>
        <v>161</v>
      </c>
      <c r="I21" s="99">
        <f t="shared" si="5"/>
        <v>1.1312143439282805</v>
      </c>
      <c r="J21" s="105">
        <f>1770-450</f>
        <v>1320</v>
      </c>
      <c r="K21" s="104"/>
      <c r="L21" s="124">
        <f t="shared" si="10"/>
        <v>1320</v>
      </c>
      <c r="M21" s="98">
        <f t="shared" si="4"/>
        <v>-68</v>
      </c>
      <c r="N21" s="101">
        <f t="shared" si="6"/>
        <v>0.9510086455331412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>
        <v>0</v>
      </c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>
        <v>0</v>
      </c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1048</v>
      </c>
      <c r="C24" s="104"/>
      <c r="D24" s="97">
        <f t="shared" si="8"/>
        <v>1048</v>
      </c>
      <c r="E24" s="105">
        <v>813</v>
      </c>
      <c r="F24" s="104"/>
      <c r="G24" s="121">
        <f t="shared" si="9"/>
        <v>813</v>
      </c>
      <c r="H24" s="98">
        <f t="shared" si="2"/>
        <v>-235</v>
      </c>
      <c r="I24" s="99">
        <f aca="true" t="shared" si="11" ref="I24:I37">+G24/D24</f>
        <v>0.7757633587786259</v>
      </c>
      <c r="J24" s="105">
        <v>880</v>
      </c>
      <c r="K24" s="104"/>
      <c r="L24" s="124">
        <f t="shared" si="10"/>
        <v>880</v>
      </c>
      <c r="M24" s="98">
        <f t="shared" si="4"/>
        <v>67</v>
      </c>
      <c r="N24" s="101">
        <f aca="true" t="shared" si="12" ref="N24:N37">+L24/G24</f>
        <v>1.082410824108241</v>
      </c>
    </row>
    <row r="25" spans="1:14" ht="13.5" customHeight="1">
      <c r="A25" s="106" t="s">
        <v>24</v>
      </c>
      <c r="B25" s="103">
        <v>237</v>
      </c>
      <c r="C25" s="104"/>
      <c r="D25" s="97">
        <f t="shared" si="8"/>
        <v>237</v>
      </c>
      <c r="E25" s="103">
        <v>240</v>
      </c>
      <c r="F25" s="104"/>
      <c r="G25" s="121">
        <f t="shared" si="9"/>
        <v>240</v>
      </c>
      <c r="H25" s="98">
        <f t="shared" si="2"/>
        <v>3</v>
      </c>
      <c r="I25" s="99">
        <f t="shared" si="11"/>
        <v>1.0126582278481013</v>
      </c>
      <c r="J25" s="126">
        <v>300</v>
      </c>
      <c r="K25" s="104"/>
      <c r="L25" s="124">
        <f t="shared" si="10"/>
        <v>300</v>
      </c>
      <c r="M25" s="98">
        <f t="shared" si="4"/>
        <v>60</v>
      </c>
      <c r="N25" s="101">
        <f t="shared" si="12"/>
        <v>1.25</v>
      </c>
    </row>
    <row r="26" spans="1:14" ht="13.5" customHeight="1">
      <c r="A26" s="102" t="s">
        <v>25</v>
      </c>
      <c r="B26" s="103">
        <v>797</v>
      </c>
      <c r="C26" s="104"/>
      <c r="D26" s="97">
        <f t="shared" si="8"/>
        <v>797</v>
      </c>
      <c r="E26" s="103">
        <v>554</v>
      </c>
      <c r="F26" s="104"/>
      <c r="G26" s="121">
        <f t="shared" si="9"/>
        <v>554</v>
      </c>
      <c r="H26" s="98">
        <f t="shared" si="2"/>
        <v>-243</v>
      </c>
      <c r="I26" s="99">
        <f t="shared" si="11"/>
        <v>0.6951066499372648</v>
      </c>
      <c r="J26" s="126">
        <v>565</v>
      </c>
      <c r="K26" s="104"/>
      <c r="L26" s="124">
        <f t="shared" si="10"/>
        <v>565</v>
      </c>
      <c r="M26" s="98">
        <f t="shared" si="4"/>
        <v>11</v>
      </c>
      <c r="N26" s="101">
        <f t="shared" si="12"/>
        <v>1.01985559566787</v>
      </c>
    </row>
    <row r="27" spans="1:14" ht="13.5" customHeight="1">
      <c r="A27" s="127" t="s">
        <v>26</v>
      </c>
      <c r="B27" s="105">
        <v>14259</v>
      </c>
      <c r="C27" s="104"/>
      <c r="D27" s="97">
        <f t="shared" si="8"/>
        <v>14259</v>
      </c>
      <c r="E27" s="105">
        <v>15059</v>
      </c>
      <c r="F27" s="104"/>
      <c r="G27" s="121">
        <f t="shared" si="9"/>
        <v>15059</v>
      </c>
      <c r="H27" s="98">
        <f t="shared" si="2"/>
        <v>800</v>
      </c>
      <c r="I27" s="99">
        <f t="shared" si="11"/>
        <v>1.0561049161932814</v>
      </c>
      <c r="J27" s="105">
        <v>16965</v>
      </c>
      <c r="K27" s="104"/>
      <c r="L27" s="124">
        <f t="shared" si="10"/>
        <v>16965</v>
      </c>
      <c r="M27" s="98">
        <f t="shared" si="4"/>
        <v>1906</v>
      </c>
      <c r="N27" s="101">
        <f t="shared" si="12"/>
        <v>1.126568829271532</v>
      </c>
    </row>
    <row r="28" spans="1:14" ht="13.5" customHeight="1">
      <c r="A28" s="106" t="s">
        <v>27</v>
      </c>
      <c r="B28" s="103">
        <v>10452</v>
      </c>
      <c r="C28" s="104"/>
      <c r="D28" s="97">
        <f t="shared" si="8"/>
        <v>10452</v>
      </c>
      <c r="E28" s="103">
        <v>11014</v>
      </c>
      <c r="F28" s="104"/>
      <c r="G28" s="121">
        <f t="shared" si="9"/>
        <v>11014</v>
      </c>
      <c r="H28" s="98">
        <f t="shared" si="2"/>
        <v>562</v>
      </c>
      <c r="I28" s="99">
        <f t="shared" si="11"/>
        <v>1.053769613471106</v>
      </c>
      <c r="J28" s="126">
        <v>12398</v>
      </c>
      <c r="K28" s="128"/>
      <c r="L28" s="124">
        <f t="shared" si="10"/>
        <v>12398</v>
      </c>
      <c r="M28" s="98">
        <f t="shared" si="4"/>
        <v>1384</v>
      </c>
      <c r="N28" s="101">
        <f t="shared" si="12"/>
        <v>1.1256582531323769</v>
      </c>
    </row>
    <row r="29" spans="1:14" ht="13.5" customHeight="1">
      <c r="A29" s="127" t="s">
        <v>28</v>
      </c>
      <c r="B29" s="103">
        <v>10159</v>
      </c>
      <c r="C29" s="104"/>
      <c r="D29" s="97">
        <f t="shared" si="8"/>
        <v>10159</v>
      </c>
      <c r="E29" s="103">
        <v>10809</v>
      </c>
      <c r="F29" s="104"/>
      <c r="G29" s="121">
        <f t="shared" si="9"/>
        <v>10809</v>
      </c>
      <c r="H29" s="98">
        <f t="shared" si="2"/>
        <v>650</v>
      </c>
      <c r="I29" s="99">
        <f t="shared" si="11"/>
        <v>1.063982675460183</v>
      </c>
      <c r="J29" s="105">
        <v>12153</v>
      </c>
      <c r="K29" s="104"/>
      <c r="L29" s="124">
        <f t="shared" si="10"/>
        <v>12153</v>
      </c>
      <c r="M29" s="98">
        <f t="shared" si="4"/>
        <v>1344</v>
      </c>
      <c r="N29" s="101">
        <f t="shared" si="12"/>
        <v>1.1243408270885373</v>
      </c>
    </row>
    <row r="30" spans="1:14" ht="13.5" customHeight="1">
      <c r="A30" s="106" t="s">
        <v>29</v>
      </c>
      <c r="B30" s="103">
        <v>293</v>
      </c>
      <c r="C30" s="104"/>
      <c r="D30" s="97">
        <f t="shared" si="8"/>
        <v>293</v>
      </c>
      <c r="E30" s="103">
        <v>205</v>
      </c>
      <c r="F30" s="104"/>
      <c r="G30" s="121">
        <f t="shared" si="9"/>
        <v>205</v>
      </c>
      <c r="H30" s="98">
        <f t="shared" si="2"/>
        <v>-88</v>
      </c>
      <c r="I30" s="99">
        <f t="shared" si="11"/>
        <v>0.6996587030716723</v>
      </c>
      <c r="J30" s="105">
        <v>245</v>
      </c>
      <c r="K30" s="104"/>
      <c r="L30" s="124">
        <f t="shared" si="10"/>
        <v>245</v>
      </c>
      <c r="M30" s="98">
        <f t="shared" si="4"/>
        <v>40</v>
      </c>
      <c r="N30" s="101">
        <f t="shared" si="12"/>
        <v>1.1951219512195121</v>
      </c>
    </row>
    <row r="31" spans="1:14" ht="13.5" customHeight="1">
      <c r="A31" s="106" t="s">
        <v>30</v>
      </c>
      <c r="B31" s="103">
        <v>3807</v>
      </c>
      <c r="C31" s="104"/>
      <c r="D31" s="97">
        <f t="shared" si="8"/>
        <v>3807</v>
      </c>
      <c r="E31" s="103">
        <v>4045</v>
      </c>
      <c r="F31" s="104"/>
      <c r="G31" s="121">
        <f t="shared" si="9"/>
        <v>4045</v>
      </c>
      <c r="H31" s="98">
        <f t="shared" si="2"/>
        <v>238</v>
      </c>
      <c r="I31" s="99">
        <f t="shared" si="11"/>
        <v>1.0625164171263461</v>
      </c>
      <c r="J31" s="105">
        <v>4567</v>
      </c>
      <c r="K31" s="104"/>
      <c r="L31" s="124">
        <f t="shared" si="10"/>
        <v>4567</v>
      </c>
      <c r="M31" s="98">
        <f t="shared" si="4"/>
        <v>522</v>
      </c>
      <c r="N31" s="101">
        <f t="shared" si="12"/>
        <v>1.1290482076637824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/>
      <c r="F32" s="104"/>
      <c r="G32" s="121">
        <f t="shared" si="9"/>
        <v>0</v>
      </c>
      <c r="H32" s="98">
        <f t="shared" si="2"/>
        <v>0</v>
      </c>
      <c r="I32" s="99"/>
      <c r="J32" s="105">
        <v>0</v>
      </c>
      <c r="K32" s="104"/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154</v>
      </c>
      <c r="C33" s="104"/>
      <c r="D33" s="97">
        <f t="shared" si="8"/>
        <v>154</v>
      </c>
      <c r="E33" s="103">
        <v>243</v>
      </c>
      <c r="F33" s="104"/>
      <c r="G33" s="121">
        <f t="shared" si="9"/>
        <v>243</v>
      </c>
      <c r="H33" s="98">
        <f t="shared" si="2"/>
        <v>89</v>
      </c>
      <c r="I33" s="99">
        <f t="shared" si="11"/>
        <v>1.577922077922078</v>
      </c>
      <c r="J33" s="105">
        <v>190</v>
      </c>
      <c r="K33" s="104"/>
      <c r="L33" s="124">
        <f t="shared" si="10"/>
        <v>190</v>
      </c>
      <c r="M33" s="98">
        <f t="shared" si="4"/>
        <v>-53</v>
      </c>
      <c r="N33" s="101">
        <f t="shared" si="12"/>
        <v>0.7818930041152263</v>
      </c>
    </row>
    <row r="34" spans="1:14" ht="13.5" customHeight="1">
      <c r="A34" s="106" t="s">
        <v>33</v>
      </c>
      <c r="B34" s="103">
        <v>803</v>
      </c>
      <c r="C34" s="104"/>
      <c r="D34" s="97">
        <f t="shared" si="8"/>
        <v>803</v>
      </c>
      <c r="E34" s="103">
        <v>523</v>
      </c>
      <c r="F34" s="104"/>
      <c r="G34" s="121">
        <f t="shared" si="9"/>
        <v>523</v>
      </c>
      <c r="H34" s="98">
        <f t="shared" si="2"/>
        <v>-280</v>
      </c>
      <c r="I34" s="99">
        <f t="shared" si="11"/>
        <v>0.651307596513076</v>
      </c>
      <c r="J34" s="126">
        <v>624</v>
      </c>
      <c r="K34" s="104"/>
      <c r="L34" s="124">
        <f t="shared" si="10"/>
        <v>624</v>
      </c>
      <c r="M34" s="98">
        <f t="shared" si="4"/>
        <v>101</v>
      </c>
      <c r="N34" s="101">
        <f t="shared" si="12"/>
        <v>1.1931166347992352</v>
      </c>
    </row>
    <row r="35" spans="1:14" ht="22.5" customHeight="1">
      <c r="A35" s="106" t="s">
        <v>34</v>
      </c>
      <c r="B35" s="103">
        <v>803</v>
      </c>
      <c r="C35" s="104"/>
      <c r="D35" s="97">
        <f t="shared" si="8"/>
        <v>803</v>
      </c>
      <c r="E35" s="103">
        <v>523</v>
      </c>
      <c r="F35" s="104"/>
      <c r="G35" s="121">
        <f t="shared" si="9"/>
        <v>523</v>
      </c>
      <c r="H35" s="98">
        <f t="shared" si="2"/>
        <v>-280</v>
      </c>
      <c r="I35" s="99">
        <f t="shared" si="11"/>
        <v>0.651307596513076</v>
      </c>
      <c r="J35" s="126">
        <v>624</v>
      </c>
      <c r="K35" s="104"/>
      <c r="L35" s="124">
        <f t="shared" si="10"/>
        <v>624</v>
      </c>
      <c r="M35" s="98">
        <f t="shared" si="4"/>
        <v>101</v>
      </c>
      <c r="N35" s="101">
        <f t="shared" si="12"/>
        <v>1.1931166347992352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>
        <v>0</v>
      </c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20762</v>
      </c>
      <c r="C37" s="114">
        <f t="shared" si="13"/>
        <v>0</v>
      </c>
      <c r="D37" s="115">
        <f t="shared" si="13"/>
        <v>20762</v>
      </c>
      <c r="E37" s="113">
        <f t="shared" si="13"/>
        <v>22037</v>
      </c>
      <c r="F37" s="114">
        <f t="shared" si="13"/>
        <v>0</v>
      </c>
      <c r="G37" s="115">
        <f t="shared" si="13"/>
        <v>22037</v>
      </c>
      <c r="H37" s="116">
        <f t="shared" si="2"/>
        <v>1275</v>
      </c>
      <c r="I37" s="117">
        <f t="shared" si="11"/>
        <v>1.0614102687602351</v>
      </c>
      <c r="J37" s="118">
        <f>SUM(J19+J21+J22+J23+J24+J27+J32+J33+J34+J36)</f>
        <v>23744</v>
      </c>
      <c r="K37" s="114">
        <f>SUM(K19+K21+K22+K23+K24+K27+K32+K33+K34+K36)</f>
        <v>0</v>
      </c>
      <c r="L37" s="115">
        <f>SUM(L19+L21+L22+L23+L24+L27+L32+L33+L34+L36)</f>
        <v>23744</v>
      </c>
      <c r="M37" s="116">
        <f t="shared" si="4"/>
        <v>1707</v>
      </c>
      <c r="N37" s="119">
        <f t="shared" si="12"/>
        <v>1.0774606343876207</v>
      </c>
    </row>
    <row r="38" spans="1:14" ht="13.5" customHeight="1" thickBot="1">
      <c r="A38" s="112" t="s">
        <v>37</v>
      </c>
      <c r="B38" s="470">
        <f>+D18-D37</f>
        <v>127</v>
      </c>
      <c r="C38" s="470"/>
      <c r="D38" s="470"/>
      <c r="E38" s="470">
        <f>+G18-G37</f>
        <v>0</v>
      </c>
      <c r="F38" s="470"/>
      <c r="G38" s="470">
        <v>-50784</v>
      </c>
      <c r="H38" s="131">
        <f>+E38-B38</f>
        <v>-127</v>
      </c>
      <c r="I38" s="132"/>
      <c r="J38" s="472">
        <f>+L18-L37</f>
        <v>-0.2999999999992724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384</v>
      </c>
      <c r="B43" s="469"/>
      <c r="C43" s="134">
        <v>95</v>
      </c>
      <c r="D43" s="468" t="s">
        <v>385</v>
      </c>
      <c r="E43" s="468"/>
      <c r="F43" s="468"/>
      <c r="G43" s="135">
        <v>15</v>
      </c>
      <c r="H43" s="467" t="s">
        <v>386</v>
      </c>
      <c r="I43" s="467"/>
      <c r="J43" s="467"/>
      <c r="K43" s="467"/>
      <c r="L43" s="136">
        <v>53</v>
      </c>
      <c r="O43"/>
      <c r="P43"/>
    </row>
    <row r="44" spans="1:16" ht="12.75">
      <c r="A44" s="463" t="s">
        <v>138</v>
      </c>
      <c r="B44" s="463"/>
      <c r="C44" s="137">
        <v>343</v>
      </c>
      <c r="D44" s="468" t="s">
        <v>387</v>
      </c>
      <c r="E44" s="468"/>
      <c r="F44" s="468"/>
      <c r="G44" s="138">
        <v>102</v>
      </c>
      <c r="H44" s="467" t="s">
        <v>207</v>
      </c>
      <c r="I44" s="467"/>
      <c r="J44" s="467"/>
      <c r="K44" s="467"/>
      <c r="L44" s="136">
        <v>565</v>
      </c>
      <c r="O44"/>
      <c r="P44"/>
    </row>
    <row r="45" spans="1:16" ht="12.75">
      <c r="A45" s="463"/>
      <c r="B45" s="463"/>
      <c r="C45" s="137"/>
      <c r="D45" s="468" t="s">
        <v>84</v>
      </c>
      <c r="E45" s="468"/>
      <c r="F45" s="468"/>
      <c r="G45" s="138">
        <v>208</v>
      </c>
      <c r="H45" s="467" t="s">
        <v>84</v>
      </c>
      <c r="I45" s="467"/>
      <c r="J45" s="467"/>
      <c r="K45" s="467"/>
      <c r="L45" s="136">
        <v>240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438</v>
      </c>
      <c r="D50" s="451" t="s">
        <v>3</v>
      </c>
      <c r="E50" s="451"/>
      <c r="F50" s="451"/>
      <c r="G50" s="141">
        <f>SUM(G43:G49)</f>
        <v>325</v>
      </c>
      <c r="H50" s="452" t="s">
        <v>3</v>
      </c>
      <c r="I50" s="452"/>
      <c r="J50" s="452"/>
      <c r="K50" s="452"/>
      <c r="L50" s="141">
        <f>SUM(L43:L49)</f>
        <v>858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139</v>
      </c>
      <c r="B54" s="446"/>
      <c r="C54" s="233">
        <v>84</v>
      </c>
      <c r="D54" s="447" t="s">
        <v>139</v>
      </c>
      <c r="E54" s="447"/>
      <c r="F54" s="447"/>
      <c r="G54" s="142">
        <v>54</v>
      </c>
      <c r="H54" s="467" t="s">
        <v>139</v>
      </c>
      <c r="I54" s="467"/>
      <c r="J54" s="467"/>
      <c r="K54" s="467"/>
      <c r="L54" s="136">
        <v>100</v>
      </c>
      <c r="O54"/>
      <c r="P54"/>
    </row>
    <row r="55" spans="1:16" ht="13.5" customHeight="1">
      <c r="A55" s="418" t="s">
        <v>140</v>
      </c>
      <c r="B55" s="419"/>
      <c r="C55" s="234">
        <v>153</v>
      </c>
      <c r="D55" s="420" t="s">
        <v>140</v>
      </c>
      <c r="E55" s="420"/>
      <c r="F55" s="420"/>
      <c r="G55" s="143">
        <v>186</v>
      </c>
      <c r="H55" s="464" t="s">
        <v>140</v>
      </c>
      <c r="I55" s="464"/>
      <c r="J55" s="464"/>
      <c r="K55" s="464"/>
      <c r="L55" s="144">
        <v>200</v>
      </c>
      <c r="O55"/>
      <c r="P55"/>
    </row>
    <row r="56" spans="1:16" ht="13.5" customHeight="1">
      <c r="A56" s="418"/>
      <c r="B56" s="419"/>
      <c r="C56" s="234"/>
      <c r="D56" s="420"/>
      <c r="E56" s="420"/>
      <c r="F56" s="420"/>
      <c r="G56" s="143"/>
      <c r="H56" s="464"/>
      <c r="I56" s="464"/>
      <c r="J56" s="464"/>
      <c r="K56" s="464"/>
      <c r="L56" s="144"/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237</v>
      </c>
      <c r="D62" s="517" t="s">
        <v>3</v>
      </c>
      <c r="E62" s="517"/>
      <c r="F62" s="517"/>
      <c r="G62" s="149">
        <f>SUM(G54:G61)</f>
        <v>240</v>
      </c>
      <c r="H62" s="452" t="s">
        <v>3</v>
      </c>
      <c r="I62" s="452"/>
      <c r="J62" s="452"/>
      <c r="K62" s="452"/>
      <c r="L62" s="141">
        <f>SUM(L54:L61)</f>
        <v>300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208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269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61</v>
      </c>
      <c r="C68" s="478" t="s">
        <v>511</v>
      </c>
      <c r="D68" s="478"/>
      <c r="E68" s="65">
        <v>11</v>
      </c>
      <c r="F68" s="486" t="s">
        <v>127</v>
      </c>
      <c r="G68" s="479"/>
      <c r="H68" s="57">
        <v>0</v>
      </c>
      <c r="I68" s="478" t="s">
        <v>511</v>
      </c>
      <c r="J68" s="479"/>
      <c r="K68" s="479"/>
      <c r="L68" s="65">
        <v>11</v>
      </c>
      <c r="M68" s="22"/>
      <c r="N68" s="22"/>
    </row>
    <row r="69" spans="1:14" s="1" customFormat="1" ht="12.75">
      <c r="A69" s="64" t="s">
        <v>125</v>
      </c>
      <c r="B69" s="57">
        <v>11</v>
      </c>
      <c r="C69" s="478"/>
      <c r="D69" s="478"/>
      <c r="E69" s="65"/>
      <c r="F69" s="478" t="s">
        <v>125</v>
      </c>
      <c r="G69" s="478"/>
      <c r="H69" s="57">
        <v>0</v>
      </c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280</v>
      </c>
      <c r="C71" s="473" t="s">
        <v>3</v>
      </c>
      <c r="D71" s="473"/>
      <c r="E71" s="70">
        <f>SUM(E67:E70)</f>
        <v>11</v>
      </c>
      <c r="F71" s="474" t="s">
        <v>3</v>
      </c>
      <c r="G71" s="475"/>
      <c r="H71" s="66">
        <f>SUM(H67:H70)</f>
        <v>269</v>
      </c>
      <c r="I71" s="473" t="s">
        <v>3</v>
      </c>
      <c r="J71" s="475"/>
      <c r="K71" s="475"/>
      <c r="L71" s="70">
        <f>SUM(L67:L70)</f>
        <v>11</v>
      </c>
      <c r="M71" s="22"/>
      <c r="N71" s="22"/>
    </row>
    <row r="72" spans="1:14" s="1" customFormat="1" ht="13.5" thickBot="1">
      <c r="A72" s="78" t="s">
        <v>212</v>
      </c>
      <c r="B72" s="79">
        <f>B71-E71</f>
        <v>269</v>
      </c>
      <c r="C72" s="22"/>
      <c r="D72" s="22"/>
      <c r="E72" s="22"/>
      <c r="F72" s="476" t="s">
        <v>212</v>
      </c>
      <c r="G72" s="477"/>
      <c r="H72" s="80">
        <f>H71-L71</f>
        <v>258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25561</v>
      </c>
      <c r="B80" s="30">
        <v>6911</v>
      </c>
      <c r="C80" s="73">
        <f>SUM(D80:I80)</f>
        <v>624</v>
      </c>
      <c r="D80" s="74">
        <v>270</v>
      </c>
      <c r="E80" s="74">
        <v>91</v>
      </c>
      <c r="F80" s="74">
        <v>15</v>
      </c>
      <c r="G80" s="74">
        <v>92</v>
      </c>
      <c r="H80" s="73">
        <v>156</v>
      </c>
      <c r="I80" s="81"/>
      <c r="J80" s="31">
        <v>18026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2113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2134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31</v>
      </c>
      <c r="C86" s="43">
        <v>31</v>
      </c>
      <c r="D86" s="44">
        <v>15</v>
      </c>
      <c r="E86" s="44"/>
      <c r="F86" s="45">
        <f>C86+D86-E86</f>
        <v>46</v>
      </c>
      <c r="G86" s="46">
        <v>46</v>
      </c>
      <c r="H86" s="198">
        <f>+G86-F86</f>
        <v>0</v>
      </c>
      <c r="I86" s="43">
        <v>46</v>
      </c>
      <c r="J86" s="44"/>
      <c r="K86" s="44"/>
      <c r="L86" s="45">
        <f>I86+J86-K86</f>
        <v>46</v>
      </c>
    </row>
    <row r="87" spans="1:12" s="1" customFormat="1" ht="12.75">
      <c r="A87" s="41" t="s">
        <v>73</v>
      </c>
      <c r="B87" s="42">
        <v>208</v>
      </c>
      <c r="C87" s="43">
        <v>208</v>
      </c>
      <c r="D87" s="44">
        <v>72</v>
      </c>
      <c r="E87" s="44">
        <v>11</v>
      </c>
      <c r="F87" s="45">
        <f>C87+D87-E87</f>
        <v>269</v>
      </c>
      <c r="G87" s="46">
        <v>269</v>
      </c>
      <c r="H87" s="198">
        <f>+G87-F87</f>
        <v>0</v>
      </c>
      <c r="I87" s="43">
        <v>269</v>
      </c>
      <c r="J87" s="44">
        <v>0</v>
      </c>
      <c r="K87" s="44">
        <v>11</v>
      </c>
      <c r="L87" s="45">
        <f>I87+J87-K87</f>
        <v>258</v>
      </c>
    </row>
    <row r="88" spans="1:12" s="1" customFormat="1" ht="12.75">
      <c r="A88" s="41" t="s">
        <v>96</v>
      </c>
      <c r="B88" s="42">
        <v>241</v>
      </c>
      <c r="C88" s="43">
        <v>241</v>
      </c>
      <c r="D88" s="44">
        <v>525</v>
      </c>
      <c r="E88" s="44">
        <v>325</v>
      </c>
      <c r="F88" s="45">
        <f>C88+D88-E88</f>
        <v>441</v>
      </c>
      <c r="G88" s="46">
        <v>441</v>
      </c>
      <c r="H88" s="198">
        <f>+G88-F88</f>
        <v>0</v>
      </c>
      <c r="I88" s="206">
        <v>441</v>
      </c>
      <c r="J88" s="196">
        <f>624+600</f>
        <v>1224</v>
      </c>
      <c r="K88" s="196">
        <f>L50</f>
        <v>858</v>
      </c>
      <c r="L88" s="45">
        <f>I88+J88-K88</f>
        <v>807</v>
      </c>
    </row>
    <row r="89" spans="1:12" s="1" customFormat="1" ht="12.75">
      <c r="A89" s="41" t="s">
        <v>74</v>
      </c>
      <c r="B89" s="42">
        <v>1633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1378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73</v>
      </c>
      <c r="C90" s="49">
        <v>113</v>
      </c>
      <c r="D90" s="50">
        <v>216</v>
      </c>
      <c r="E90" s="50">
        <v>228</v>
      </c>
      <c r="F90" s="51">
        <f>C90+D90-E90</f>
        <v>101</v>
      </c>
      <c r="G90" s="52">
        <v>73</v>
      </c>
      <c r="H90" s="199">
        <f>+G90-F90</f>
        <v>-28</v>
      </c>
      <c r="I90" s="49">
        <v>101</v>
      </c>
      <c r="J90" s="50">
        <v>232</v>
      </c>
      <c r="K90" s="50">
        <v>230</v>
      </c>
      <c r="L90" s="51">
        <f>I90+J90-K90</f>
        <v>103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224</v>
      </c>
      <c r="C96" s="159">
        <v>0</v>
      </c>
      <c r="D96" s="159">
        <v>0</v>
      </c>
      <c r="E96" s="159">
        <v>0</v>
      </c>
      <c r="F96" s="159">
        <v>0</v>
      </c>
      <c r="G96" s="158">
        <v>0</v>
      </c>
      <c r="H96" s="160">
        <f>SUM(C96:G96)</f>
        <v>0</v>
      </c>
      <c r="I96" s="27"/>
      <c r="J96" s="161">
        <v>2006</v>
      </c>
      <c r="K96" s="162">
        <v>10809</v>
      </c>
      <c r="L96" s="163">
        <f>+G29</f>
        <v>10809</v>
      </c>
    </row>
    <row r="97" spans="1:12" ht="13.5" thickBot="1">
      <c r="A97" s="164" t="s">
        <v>83</v>
      </c>
      <c r="B97" s="165">
        <v>1497</v>
      </c>
      <c r="C97" s="166">
        <v>0</v>
      </c>
      <c r="D97" s="166">
        <v>0</v>
      </c>
      <c r="E97" s="166">
        <v>0</v>
      </c>
      <c r="F97" s="166">
        <v>0</v>
      </c>
      <c r="G97" s="165">
        <v>0</v>
      </c>
      <c r="H97" s="167">
        <f>SUM(C97:G97)</f>
        <v>0</v>
      </c>
      <c r="I97" s="27"/>
      <c r="J97" s="168">
        <v>2007</v>
      </c>
      <c r="K97" s="169">
        <f>L29</f>
        <v>12153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4.7</v>
      </c>
      <c r="C102" s="175">
        <v>4.7</v>
      </c>
      <c r="D102" s="175">
        <f aca="true" t="shared" si="14" ref="D102:D112">+C102-B102</f>
        <v>0</v>
      </c>
      <c r="E102" s="175">
        <v>4.7</v>
      </c>
      <c r="F102" s="175">
        <v>4.7</v>
      </c>
      <c r="G102" s="176">
        <f aca="true" t="shared" si="15" ref="G102:G112">+F102-E102</f>
        <v>0</v>
      </c>
      <c r="H102" s="177">
        <v>19856</v>
      </c>
      <c r="I102" s="178">
        <v>22680</v>
      </c>
      <c r="J102" s="179">
        <f aca="true" t="shared" si="16" ref="J102:J112">+I102-H102</f>
        <v>2824</v>
      </c>
    </row>
    <row r="103" spans="1:10" ht="12.75">
      <c r="A103" s="174" t="s">
        <v>85</v>
      </c>
      <c r="B103" s="175">
        <v>6</v>
      </c>
      <c r="C103" s="175">
        <v>1.3</v>
      </c>
      <c r="D103" s="175">
        <f t="shared" si="14"/>
        <v>-4.7</v>
      </c>
      <c r="E103" s="175">
        <v>6</v>
      </c>
      <c r="F103" s="175">
        <v>1</v>
      </c>
      <c r="G103" s="176">
        <f t="shared" si="15"/>
        <v>-5</v>
      </c>
      <c r="H103" s="177">
        <v>16768</v>
      </c>
      <c r="I103" s="180">
        <v>19150</v>
      </c>
      <c r="J103" s="179">
        <f t="shared" si="16"/>
        <v>2382</v>
      </c>
    </row>
    <row r="104" spans="1:10" ht="12.75">
      <c r="A104" s="174" t="s">
        <v>52</v>
      </c>
      <c r="B104" s="175"/>
      <c r="C104" s="175">
        <v>4</v>
      </c>
      <c r="D104" s="175">
        <f t="shared" si="14"/>
        <v>4</v>
      </c>
      <c r="E104" s="175"/>
      <c r="F104" s="175">
        <v>4</v>
      </c>
      <c r="G104" s="176">
        <f t="shared" si="15"/>
        <v>4</v>
      </c>
      <c r="H104" s="177"/>
      <c r="I104" s="180">
        <v>17570</v>
      </c>
      <c r="J104" s="179">
        <f t="shared" si="16"/>
        <v>17570</v>
      </c>
    </row>
    <row r="105" spans="1:10" ht="12.75">
      <c r="A105" s="174" t="s">
        <v>53</v>
      </c>
      <c r="B105" s="175"/>
      <c r="C105" s="175"/>
      <c r="D105" s="175">
        <f t="shared" si="14"/>
        <v>0</v>
      </c>
      <c r="E105" s="175"/>
      <c r="F105" s="175"/>
      <c r="G105" s="176">
        <f t="shared" si="15"/>
        <v>0</v>
      </c>
      <c r="H105" s="177"/>
      <c r="I105" s="180"/>
      <c r="J105" s="179">
        <f t="shared" si="16"/>
        <v>0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>
        <v>2.6</v>
      </c>
      <c r="C107" s="175">
        <v>1</v>
      </c>
      <c r="D107" s="175">
        <f t="shared" si="14"/>
        <v>-1.6</v>
      </c>
      <c r="E107" s="175">
        <v>1</v>
      </c>
      <c r="F107" s="175">
        <v>1</v>
      </c>
      <c r="G107" s="176">
        <f t="shared" si="15"/>
        <v>0</v>
      </c>
      <c r="H107" s="177">
        <v>17252</v>
      </c>
      <c r="I107" s="180">
        <v>16851</v>
      </c>
      <c r="J107" s="179">
        <f t="shared" si="16"/>
        <v>-401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33.4</v>
      </c>
      <c r="C109" s="175">
        <v>36.6</v>
      </c>
      <c r="D109" s="175">
        <f t="shared" si="14"/>
        <v>3.200000000000003</v>
      </c>
      <c r="E109" s="175">
        <v>35.8</v>
      </c>
      <c r="F109" s="175">
        <v>35.8</v>
      </c>
      <c r="G109" s="176">
        <f t="shared" si="15"/>
        <v>0</v>
      </c>
      <c r="H109" s="177">
        <v>13921</v>
      </c>
      <c r="I109" s="180">
        <v>14534</v>
      </c>
      <c r="J109" s="179">
        <f t="shared" si="16"/>
        <v>613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4"/>
        <v>0</v>
      </c>
      <c r="E110" s="175">
        <v>1</v>
      </c>
      <c r="F110" s="175">
        <v>1</v>
      </c>
      <c r="G110" s="176">
        <f t="shared" si="15"/>
        <v>0</v>
      </c>
      <c r="H110" s="177">
        <v>14490</v>
      </c>
      <c r="I110" s="180">
        <v>15321</v>
      </c>
      <c r="J110" s="179">
        <f t="shared" si="16"/>
        <v>831</v>
      </c>
    </row>
    <row r="111" spans="1:10" ht="12.75">
      <c r="A111" s="174" t="s">
        <v>58</v>
      </c>
      <c r="B111" s="175">
        <v>11.6</v>
      </c>
      <c r="C111" s="175">
        <v>11.4</v>
      </c>
      <c r="D111" s="175">
        <f t="shared" si="14"/>
        <v>-0.1999999999999993</v>
      </c>
      <c r="E111" s="175">
        <v>12</v>
      </c>
      <c r="F111" s="175">
        <v>12</v>
      </c>
      <c r="G111" s="176">
        <f t="shared" si="15"/>
        <v>0</v>
      </c>
      <c r="H111" s="177">
        <v>11064</v>
      </c>
      <c r="I111" s="180">
        <v>11829</v>
      </c>
      <c r="J111" s="179">
        <f t="shared" si="16"/>
        <v>765</v>
      </c>
    </row>
    <row r="112" spans="1:10" ht="13.5" thickBot="1">
      <c r="A112" s="181" t="s">
        <v>3</v>
      </c>
      <c r="B112" s="182">
        <f>SUM(B102:B111)</f>
        <v>59.3</v>
      </c>
      <c r="C112" s="182">
        <f>SUM(C102:C111)</f>
        <v>60</v>
      </c>
      <c r="D112" s="182">
        <f t="shared" si="14"/>
        <v>0.7000000000000028</v>
      </c>
      <c r="E112" s="182">
        <f>SUM(E102:E111)</f>
        <v>60.5</v>
      </c>
      <c r="F112" s="182">
        <f>SUM(F102:F111)</f>
        <v>59.5</v>
      </c>
      <c r="G112" s="183">
        <f t="shared" si="15"/>
        <v>-1</v>
      </c>
      <c r="H112" s="184">
        <v>14276</v>
      </c>
      <c r="I112" s="185">
        <v>15013</v>
      </c>
      <c r="J112" s="186">
        <f t="shared" si="16"/>
        <v>737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60</v>
      </c>
      <c r="C116" s="163">
        <v>60</v>
      </c>
      <c r="D116" s="27"/>
      <c r="E116" s="161">
        <v>2006</v>
      </c>
      <c r="F116" s="416">
        <v>104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60</v>
      </c>
      <c r="C117" s="369" t="s">
        <v>508</v>
      </c>
      <c r="D117" s="27"/>
      <c r="E117" s="168">
        <v>2007</v>
      </c>
      <c r="F117" s="417">
        <v>104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A94:A95"/>
    <mergeCell ref="B94:B95"/>
    <mergeCell ref="C94:H94"/>
    <mergeCell ref="J94:L94"/>
    <mergeCell ref="L77:M77"/>
    <mergeCell ref="C78:C79"/>
    <mergeCell ref="D78:I78"/>
    <mergeCell ref="A83:A84"/>
    <mergeCell ref="B83:B84"/>
    <mergeCell ref="C83:F83"/>
    <mergeCell ref="G83:G84"/>
    <mergeCell ref="H83:H84"/>
    <mergeCell ref="I83:L83"/>
    <mergeCell ref="A62:B62"/>
    <mergeCell ref="D62:F62"/>
    <mergeCell ref="H62:K62"/>
    <mergeCell ref="A77:A79"/>
    <mergeCell ref="B77:B79"/>
    <mergeCell ref="C77:I77"/>
    <mergeCell ref="J77:J79"/>
    <mergeCell ref="F68:G68"/>
    <mergeCell ref="I68:K68"/>
    <mergeCell ref="C69:D69"/>
    <mergeCell ref="A60:B60"/>
    <mergeCell ref="D60:F60"/>
    <mergeCell ref="H60:K60"/>
    <mergeCell ref="A61:B61"/>
    <mergeCell ref="D61:F61"/>
    <mergeCell ref="H61:K61"/>
    <mergeCell ref="L52:L53"/>
    <mergeCell ref="A59:B59"/>
    <mergeCell ref="D59:F59"/>
    <mergeCell ref="H59:K59"/>
    <mergeCell ref="A52:B53"/>
    <mergeCell ref="C52:C53"/>
    <mergeCell ref="D52:F53"/>
    <mergeCell ref="G52:G53"/>
    <mergeCell ref="A54:B54"/>
    <mergeCell ref="D54:F54"/>
    <mergeCell ref="L41:L42"/>
    <mergeCell ref="A47:B47"/>
    <mergeCell ref="D47:F47"/>
    <mergeCell ref="H47:K47"/>
    <mergeCell ref="A41:B42"/>
    <mergeCell ref="C41:C42"/>
    <mergeCell ref="D41:F42"/>
    <mergeCell ref="G41:G42"/>
    <mergeCell ref="A43:B43"/>
    <mergeCell ref="D43:F43"/>
    <mergeCell ref="B4:D4"/>
    <mergeCell ref="E4:G4"/>
    <mergeCell ref="J4:L4"/>
    <mergeCell ref="A3:A6"/>
    <mergeCell ref="B3:N3"/>
    <mergeCell ref="H4:I4"/>
    <mergeCell ref="M4:N4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B38:D38"/>
    <mergeCell ref="E38:G38"/>
    <mergeCell ref="J38:L38"/>
    <mergeCell ref="B39:D39"/>
    <mergeCell ref="E39:G39"/>
    <mergeCell ref="H43:K43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H50:K50"/>
    <mergeCell ref="H48:K48"/>
    <mergeCell ref="A49:B49"/>
    <mergeCell ref="D49:F49"/>
    <mergeCell ref="H49:K49"/>
    <mergeCell ref="A48:B48"/>
    <mergeCell ref="D48:F48"/>
    <mergeCell ref="A50:B50"/>
    <mergeCell ref="D50:F50"/>
    <mergeCell ref="H54:K54"/>
    <mergeCell ref="H52:K53"/>
    <mergeCell ref="A55:B55"/>
    <mergeCell ref="D55:F55"/>
    <mergeCell ref="H55:K55"/>
    <mergeCell ref="A58:B58"/>
    <mergeCell ref="D58:F58"/>
    <mergeCell ref="H58:K58"/>
    <mergeCell ref="A56:B56"/>
    <mergeCell ref="D56:F56"/>
    <mergeCell ref="H56:K56"/>
    <mergeCell ref="A57:B57"/>
    <mergeCell ref="D57:F57"/>
    <mergeCell ref="H57:K5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view="pageBreakPreview" zoomScaleSheetLayoutView="100" workbookViewId="0" topLeftCell="A10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515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5044</v>
      </c>
      <c r="C8" s="14"/>
      <c r="D8" s="192">
        <f t="shared" si="0"/>
        <v>5044</v>
      </c>
      <c r="E8" s="15">
        <v>5839</v>
      </c>
      <c r="F8" s="14"/>
      <c r="G8" s="192">
        <f t="shared" si="1"/>
        <v>5839</v>
      </c>
      <c r="H8" s="220">
        <f t="shared" si="2"/>
        <v>795</v>
      </c>
      <c r="I8" s="223">
        <f aca="true" t="shared" si="5" ref="I8:I21">+G8/D8</f>
        <v>1.15761300555115</v>
      </c>
      <c r="J8" s="15">
        <f>7772+1000</f>
        <v>8772</v>
      </c>
      <c r="K8" s="14"/>
      <c r="L8" s="192">
        <f t="shared" si="3"/>
        <v>8772</v>
      </c>
      <c r="M8" s="220">
        <f t="shared" si="4"/>
        <v>2933</v>
      </c>
      <c r="N8" s="221">
        <f aca="true" t="shared" si="6" ref="N8:N21">+L8/G8</f>
        <v>1.502312039732831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3</v>
      </c>
      <c r="C11" s="14"/>
      <c r="D11" s="192">
        <f t="shared" si="0"/>
        <v>3</v>
      </c>
      <c r="E11" s="15">
        <v>138</v>
      </c>
      <c r="F11" s="14"/>
      <c r="G11" s="192">
        <f t="shared" si="1"/>
        <v>138</v>
      </c>
      <c r="H11" s="220">
        <f t="shared" si="2"/>
        <v>135</v>
      </c>
      <c r="I11" s="223"/>
      <c r="J11" s="15">
        <v>5</v>
      </c>
      <c r="K11" s="14"/>
      <c r="L11" s="192">
        <f t="shared" si="3"/>
        <v>5</v>
      </c>
      <c r="M11" s="220">
        <f t="shared" si="4"/>
        <v>-133</v>
      </c>
      <c r="N11" s="221">
        <f t="shared" si="6"/>
        <v>0.036231884057971016</v>
      </c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>
        <v>133</v>
      </c>
      <c r="F12" s="14"/>
      <c r="G12" s="192">
        <f t="shared" si="1"/>
        <v>133</v>
      </c>
      <c r="H12" s="220">
        <f t="shared" si="2"/>
        <v>133</v>
      </c>
      <c r="I12" s="223"/>
      <c r="J12" s="15"/>
      <c r="K12" s="14"/>
      <c r="L12" s="192">
        <f t="shared" si="3"/>
        <v>0</v>
      </c>
      <c r="M12" s="220">
        <f t="shared" si="4"/>
        <v>-133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f>SUM(B16:B17)</f>
        <v>12377</v>
      </c>
      <c r="C15" s="14">
        <f>SUM(C16:C17)</f>
        <v>0</v>
      </c>
      <c r="D15" s="192">
        <f t="shared" si="0"/>
        <v>12377</v>
      </c>
      <c r="E15" s="15">
        <f>SUM(E16:E17)</f>
        <v>13034</v>
      </c>
      <c r="F15" s="14">
        <f>SUM(F16:F17)</f>
        <v>0</v>
      </c>
      <c r="G15" s="192">
        <f t="shared" si="1"/>
        <v>13034</v>
      </c>
      <c r="H15" s="220">
        <f t="shared" si="2"/>
        <v>657</v>
      </c>
      <c r="I15" s="223">
        <f t="shared" si="5"/>
        <v>1.0530823301284642</v>
      </c>
      <c r="J15" s="17">
        <f>SUM(J16:J17)</f>
        <v>11387</v>
      </c>
      <c r="K15" s="17">
        <f>SUM(K16:K17)</f>
        <v>0</v>
      </c>
      <c r="L15" s="192">
        <f t="shared" si="3"/>
        <v>11387</v>
      </c>
      <c r="M15" s="220">
        <f t="shared" si="4"/>
        <v>-1647</v>
      </c>
      <c r="N15" s="221">
        <f t="shared" si="6"/>
        <v>0.8736381770753414</v>
      </c>
    </row>
    <row r="16" spans="1:14" ht="13.5" customHeight="1">
      <c r="A16" s="231" t="s">
        <v>219</v>
      </c>
      <c r="B16" s="15">
        <v>12377</v>
      </c>
      <c r="C16" s="14"/>
      <c r="D16" s="192">
        <f>B16</f>
        <v>12377</v>
      </c>
      <c r="E16" s="15">
        <v>13034</v>
      </c>
      <c r="F16" s="14"/>
      <c r="G16" s="192">
        <f t="shared" si="1"/>
        <v>13034</v>
      </c>
      <c r="H16" s="220">
        <f t="shared" si="2"/>
        <v>657</v>
      </c>
      <c r="I16" s="223">
        <f t="shared" si="5"/>
        <v>1.0530823301284642</v>
      </c>
      <c r="J16" s="17">
        <v>1572</v>
      </c>
      <c r="K16" s="14"/>
      <c r="L16" s="192">
        <f t="shared" si="3"/>
        <v>1572</v>
      </c>
      <c r="M16" s="220">
        <f t="shared" si="4"/>
        <v>-11462</v>
      </c>
      <c r="N16" s="221">
        <f t="shared" si="6"/>
        <v>0.12060764155286174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9815</v>
      </c>
      <c r="K17" s="190"/>
      <c r="L17" s="193">
        <f t="shared" si="3"/>
        <v>9815</v>
      </c>
      <c r="M17" s="366">
        <f t="shared" si="4"/>
        <v>9815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17424</v>
      </c>
      <c r="C18" s="214">
        <f t="shared" si="7"/>
        <v>0</v>
      </c>
      <c r="D18" s="215">
        <f t="shared" si="7"/>
        <v>17424</v>
      </c>
      <c r="E18" s="213">
        <f t="shared" si="7"/>
        <v>19011</v>
      </c>
      <c r="F18" s="214">
        <f t="shared" si="7"/>
        <v>0</v>
      </c>
      <c r="G18" s="215">
        <f t="shared" si="7"/>
        <v>19011</v>
      </c>
      <c r="H18" s="217">
        <f t="shared" si="2"/>
        <v>1587</v>
      </c>
      <c r="I18" s="132">
        <f t="shared" si="5"/>
        <v>1.0910812672176309</v>
      </c>
      <c r="J18" s="225">
        <f>SUM(J7+J8+J9+J10+J11+J13+J15)</f>
        <v>20164</v>
      </c>
      <c r="K18" s="214">
        <f>SUM(K7+K8+K9+K10+K11+K13+K15)</f>
        <v>0</v>
      </c>
      <c r="L18" s="215">
        <f>SUM(L7+L8+L9+L10+L11+L13+L15)</f>
        <v>20164</v>
      </c>
      <c r="M18" s="217">
        <f t="shared" si="4"/>
        <v>1153</v>
      </c>
      <c r="N18" s="226">
        <f t="shared" si="6"/>
        <v>1.0606490978906948</v>
      </c>
    </row>
    <row r="19" spans="1:14" ht="13.5" customHeight="1">
      <c r="A19" s="120" t="s">
        <v>18</v>
      </c>
      <c r="B19" s="95">
        <v>3397</v>
      </c>
      <c r="C19" s="96"/>
      <c r="D19" s="97">
        <f aca="true" t="shared" si="8" ref="D19:D36">SUM(B19:C19)</f>
        <v>3397</v>
      </c>
      <c r="E19" s="95">
        <v>3541</v>
      </c>
      <c r="F19" s="96"/>
      <c r="G19" s="121">
        <f aca="true" t="shared" si="9" ref="G19:G36">SUM(E19:F19)</f>
        <v>3541</v>
      </c>
      <c r="H19" s="122">
        <f t="shared" si="2"/>
        <v>144</v>
      </c>
      <c r="I19" s="123">
        <f t="shared" si="5"/>
        <v>1.0423903444215483</v>
      </c>
      <c r="J19" s="100">
        <f>3580+500</f>
        <v>4080</v>
      </c>
      <c r="K19" s="96"/>
      <c r="L19" s="124">
        <f aca="true" t="shared" si="10" ref="L19:L36">SUM(J19:K19)</f>
        <v>4080</v>
      </c>
      <c r="M19" s="122">
        <f t="shared" si="4"/>
        <v>539</v>
      </c>
      <c r="N19" s="125">
        <f t="shared" si="6"/>
        <v>1.1522168878847783</v>
      </c>
    </row>
    <row r="20" spans="1:14" ht="21" customHeight="1">
      <c r="A20" s="106" t="s">
        <v>19</v>
      </c>
      <c r="B20" s="95">
        <v>664</v>
      </c>
      <c r="C20" s="96"/>
      <c r="D20" s="97">
        <f t="shared" si="8"/>
        <v>664</v>
      </c>
      <c r="E20" s="95">
        <v>665</v>
      </c>
      <c r="F20" s="96"/>
      <c r="G20" s="121">
        <f t="shared" si="9"/>
        <v>665</v>
      </c>
      <c r="H20" s="98">
        <f t="shared" si="2"/>
        <v>1</v>
      </c>
      <c r="I20" s="99">
        <f t="shared" si="5"/>
        <v>1.0015060240963856</v>
      </c>
      <c r="J20" s="100">
        <v>500</v>
      </c>
      <c r="K20" s="96"/>
      <c r="L20" s="124">
        <f t="shared" si="10"/>
        <v>500</v>
      </c>
      <c r="M20" s="98">
        <f t="shared" si="4"/>
        <v>-165</v>
      </c>
      <c r="N20" s="101">
        <f t="shared" si="6"/>
        <v>0.7518796992481203</v>
      </c>
    </row>
    <row r="21" spans="1:14" ht="13.5" customHeight="1">
      <c r="A21" s="102" t="s">
        <v>20</v>
      </c>
      <c r="B21" s="103">
        <v>736</v>
      </c>
      <c r="C21" s="104"/>
      <c r="D21" s="97">
        <f t="shared" si="8"/>
        <v>736</v>
      </c>
      <c r="E21" s="103">
        <v>1106</v>
      </c>
      <c r="F21" s="104"/>
      <c r="G21" s="121">
        <f t="shared" si="9"/>
        <v>1106</v>
      </c>
      <c r="H21" s="98">
        <f t="shared" si="2"/>
        <v>370</v>
      </c>
      <c r="I21" s="99">
        <f t="shared" si="5"/>
        <v>1.502717391304348</v>
      </c>
      <c r="J21" s="105">
        <f>1100+337</f>
        <v>1437</v>
      </c>
      <c r="K21" s="104"/>
      <c r="L21" s="124">
        <f t="shared" si="10"/>
        <v>1437</v>
      </c>
      <c r="M21" s="98">
        <f t="shared" si="4"/>
        <v>331</v>
      </c>
      <c r="N21" s="101">
        <f t="shared" si="6"/>
        <v>1.2992766726943943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2380</v>
      </c>
      <c r="C24" s="104"/>
      <c r="D24" s="97">
        <f t="shared" si="8"/>
        <v>2380</v>
      </c>
      <c r="E24" s="105">
        <v>2413</v>
      </c>
      <c r="F24" s="104"/>
      <c r="G24" s="121">
        <f t="shared" si="9"/>
        <v>2413</v>
      </c>
      <c r="H24" s="98">
        <f t="shared" si="2"/>
        <v>33</v>
      </c>
      <c r="I24" s="99">
        <f aca="true" t="shared" si="11" ref="I24:I37">+G24/D24</f>
        <v>1.0138655462184873</v>
      </c>
      <c r="J24" s="105">
        <f>SUM(J25:J26)</f>
        <v>1935</v>
      </c>
      <c r="K24" s="104"/>
      <c r="L24" s="124">
        <f t="shared" si="10"/>
        <v>1935</v>
      </c>
      <c r="M24" s="98">
        <f t="shared" si="4"/>
        <v>-478</v>
      </c>
      <c r="N24" s="101">
        <f aca="true" t="shared" si="12" ref="N24:N37">+L24/G24</f>
        <v>0.8019063406547866</v>
      </c>
    </row>
    <row r="25" spans="1:14" ht="13.5" customHeight="1">
      <c r="A25" s="106" t="s">
        <v>24</v>
      </c>
      <c r="B25" s="103">
        <v>1650</v>
      </c>
      <c r="C25" s="104"/>
      <c r="D25" s="97">
        <f t="shared" si="8"/>
        <v>1650</v>
      </c>
      <c r="E25" s="103">
        <v>1549</v>
      </c>
      <c r="F25" s="104"/>
      <c r="G25" s="121">
        <f t="shared" si="9"/>
        <v>1549</v>
      </c>
      <c r="H25" s="98">
        <f t="shared" si="2"/>
        <v>-101</v>
      </c>
      <c r="I25" s="99">
        <f t="shared" si="11"/>
        <v>0.9387878787878788</v>
      </c>
      <c r="J25" s="105">
        <f>550+435</f>
        <v>985</v>
      </c>
      <c r="K25" s="104"/>
      <c r="L25" s="124">
        <f t="shared" si="10"/>
        <v>985</v>
      </c>
      <c r="M25" s="98">
        <f t="shared" si="4"/>
        <v>-564</v>
      </c>
      <c r="N25" s="101">
        <f t="shared" si="12"/>
        <v>0.6358941252420917</v>
      </c>
    </row>
    <row r="26" spans="1:14" ht="13.5" customHeight="1">
      <c r="A26" s="102" t="s">
        <v>25</v>
      </c>
      <c r="B26" s="103">
        <v>730</v>
      </c>
      <c r="C26" s="104"/>
      <c r="D26" s="97">
        <f t="shared" si="8"/>
        <v>730</v>
      </c>
      <c r="E26" s="103">
        <v>864</v>
      </c>
      <c r="F26" s="104"/>
      <c r="G26" s="121">
        <f t="shared" si="9"/>
        <v>864</v>
      </c>
      <c r="H26" s="98">
        <f t="shared" si="2"/>
        <v>134</v>
      </c>
      <c r="I26" s="99">
        <f t="shared" si="11"/>
        <v>1.1835616438356165</v>
      </c>
      <c r="J26" s="105">
        <v>950</v>
      </c>
      <c r="K26" s="104"/>
      <c r="L26" s="124">
        <f t="shared" si="10"/>
        <v>950</v>
      </c>
      <c r="M26" s="98">
        <f t="shared" si="4"/>
        <v>86</v>
      </c>
      <c r="N26" s="101">
        <f t="shared" si="12"/>
        <v>1.099537037037037</v>
      </c>
    </row>
    <row r="27" spans="1:14" ht="13.5" customHeight="1">
      <c r="A27" s="127" t="s">
        <v>26</v>
      </c>
      <c r="B27" s="105">
        <v>10518</v>
      </c>
      <c r="C27" s="104"/>
      <c r="D27" s="97">
        <f t="shared" si="8"/>
        <v>10518</v>
      </c>
      <c r="E27" s="105">
        <v>11311</v>
      </c>
      <c r="F27" s="104"/>
      <c r="G27" s="121">
        <f t="shared" si="9"/>
        <v>11311</v>
      </c>
      <c r="H27" s="98">
        <f t="shared" si="2"/>
        <v>793</v>
      </c>
      <c r="I27" s="99">
        <f t="shared" si="11"/>
        <v>1.075394561703746</v>
      </c>
      <c r="J27" s="105">
        <v>12330</v>
      </c>
      <c r="K27" s="104"/>
      <c r="L27" s="124">
        <f t="shared" si="10"/>
        <v>12330</v>
      </c>
      <c r="M27" s="98">
        <f t="shared" si="4"/>
        <v>1019</v>
      </c>
      <c r="N27" s="101">
        <f t="shared" si="12"/>
        <v>1.0900892936079922</v>
      </c>
    </row>
    <row r="28" spans="1:14" ht="13.5" customHeight="1">
      <c r="A28" s="106" t="s">
        <v>27</v>
      </c>
      <c r="B28" s="103">
        <v>7692</v>
      </c>
      <c r="C28" s="104"/>
      <c r="D28" s="97">
        <f t="shared" si="8"/>
        <v>7692</v>
      </c>
      <c r="E28" s="103">
        <v>8268</v>
      </c>
      <c r="F28" s="104"/>
      <c r="G28" s="121">
        <f t="shared" si="9"/>
        <v>8268</v>
      </c>
      <c r="H28" s="98">
        <f t="shared" si="2"/>
        <v>576</v>
      </c>
      <c r="I28" s="99">
        <f t="shared" si="11"/>
        <v>1.0748829953198127</v>
      </c>
      <c r="J28" s="126">
        <v>9000</v>
      </c>
      <c r="K28" s="128"/>
      <c r="L28" s="124">
        <f t="shared" si="10"/>
        <v>9000</v>
      </c>
      <c r="M28" s="98">
        <f t="shared" si="4"/>
        <v>732</v>
      </c>
      <c r="N28" s="101">
        <f t="shared" si="12"/>
        <v>1.0885341074020318</v>
      </c>
    </row>
    <row r="29" spans="1:14" ht="13.5" customHeight="1">
      <c r="A29" s="127" t="s">
        <v>28</v>
      </c>
      <c r="B29" s="103">
        <v>7442</v>
      </c>
      <c r="C29" s="104"/>
      <c r="D29" s="97">
        <f t="shared" si="8"/>
        <v>7442</v>
      </c>
      <c r="E29" s="103">
        <v>8018</v>
      </c>
      <c r="F29" s="104"/>
      <c r="G29" s="121">
        <f t="shared" si="9"/>
        <v>8018</v>
      </c>
      <c r="H29" s="98">
        <f t="shared" si="2"/>
        <v>576</v>
      </c>
      <c r="I29" s="99">
        <f t="shared" si="11"/>
        <v>1.0773985487772104</v>
      </c>
      <c r="J29" s="105">
        <v>8750</v>
      </c>
      <c r="K29" s="104"/>
      <c r="L29" s="124">
        <f t="shared" si="10"/>
        <v>8750</v>
      </c>
      <c r="M29" s="98">
        <f t="shared" si="4"/>
        <v>732</v>
      </c>
      <c r="N29" s="101">
        <f t="shared" si="12"/>
        <v>1.0912945871788475</v>
      </c>
    </row>
    <row r="30" spans="1:14" ht="13.5" customHeight="1">
      <c r="A30" s="106" t="s">
        <v>29</v>
      </c>
      <c r="B30" s="103">
        <v>250</v>
      </c>
      <c r="C30" s="104"/>
      <c r="D30" s="97">
        <f t="shared" si="8"/>
        <v>250</v>
      </c>
      <c r="E30" s="103">
        <v>250</v>
      </c>
      <c r="F30" s="104"/>
      <c r="G30" s="121">
        <f t="shared" si="9"/>
        <v>250</v>
      </c>
      <c r="H30" s="98">
        <f t="shared" si="2"/>
        <v>0</v>
      </c>
      <c r="I30" s="99">
        <f t="shared" si="11"/>
        <v>1</v>
      </c>
      <c r="J30" s="105">
        <v>250</v>
      </c>
      <c r="K30" s="104"/>
      <c r="L30" s="124">
        <f t="shared" si="10"/>
        <v>250</v>
      </c>
      <c r="M30" s="98">
        <f t="shared" si="4"/>
        <v>0</v>
      </c>
      <c r="N30" s="101">
        <f t="shared" si="12"/>
        <v>1</v>
      </c>
    </row>
    <row r="31" spans="1:14" ht="13.5" customHeight="1">
      <c r="A31" s="106" t="s">
        <v>30</v>
      </c>
      <c r="B31" s="103">
        <v>2826</v>
      </c>
      <c r="C31" s="104"/>
      <c r="D31" s="97">
        <f t="shared" si="8"/>
        <v>2826</v>
      </c>
      <c r="E31" s="103">
        <v>3043</v>
      </c>
      <c r="F31" s="104"/>
      <c r="G31" s="121">
        <f t="shared" si="9"/>
        <v>3043</v>
      </c>
      <c r="H31" s="98">
        <f t="shared" si="2"/>
        <v>217</v>
      </c>
      <c r="I31" s="99">
        <f t="shared" si="11"/>
        <v>1.0767869780608634</v>
      </c>
      <c r="J31" s="105">
        <v>3330</v>
      </c>
      <c r="K31" s="104"/>
      <c r="L31" s="124">
        <f t="shared" si="10"/>
        <v>3330</v>
      </c>
      <c r="M31" s="98">
        <f t="shared" si="4"/>
        <v>287</v>
      </c>
      <c r="N31" s="101">
        <f t="shared" si="12"/>
        <v>1.0943148209004272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/>
      <c r="F32" s="104"/>
      <c r="G32" s="121">
        <f t="shared" si="9"/>
        <v>0</v>
      </c>
      <c r="H32" s="98">
        <f t="shared" si="2"/>
        <v>0</v>
      </c>
      <c r="I32" s="99"/>
      <c r="J32" s="105"/>
      <c r="K32" s="104"/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47</v>
      </c>
      <c r="C33" s="104"/>
      <c r="D33" s="97">
        <f t="shared" si="8"/>
        <v>47</v>
      </c>
      <c r="E33" s="103">
        <v>24</v>
      </c>
      <c r="F33" s="104"/>
      <c r="G33" s="121">
        <f t="shared" si="9"/>
        <v>24</v>
      </c>
      <c r="H33" s="98">
        <f t="shared" si="2"/>
        <v>-23</v>
      </c>
      <c r="I33" s="99">
        <f t="shared" si="11"/>
        <v>0.5106382978723404</v>
      </c>
      <c r="J33" s="105">
        <v>26</v>
      </c>
      <c r="K33" s="104"/>
      <c r="L33" s="124">
        <f t="shared" si="10"/>
        <v>26</v>
      </c>
      <c r="M33" s="98">
        <f t="shared" si="4"/>
        <v>2</v>
      </c>
      <c r="N33" s="101">
        <f t="shared" si="12"/>
        <v>1.0833333333333333</v>
      </c>
    </row>
    <row r="34" spans="1:14" ht="13.5" customHeight="1">
      <c r="A34" s="106" t="s">
        <v>33</v>
      </c>
      <c r="B34" s="103">
        <v>335</v>
      </c>
      <c r="C34" s="104"/>
      <c r="D34" s="97">
        <f t="shared" si="8"/>
        <v>335</v>
      </c>
      <c r="E34" s="103">
        <v>383</v>
      </c>
      <c r="F34" s="104"/>
      <c r="G34" s="121">
        <f t="shared" si="9"/>
        <v>383</v>
      </c>
      <c r="H34" s="98">
        <f t="shared" si="2"/>
        <v>48</v>
      </c>
      <c r="I34" s="99">
        <f t="shared" si="11"/>
        <v>1.1432835820895522</v>
      </c>
      <c r="J34" s="126">
        <v>356</v>
      </c>
      <c r="K34" s="104"/>
      <c r="L34" s="124">
        <f t="shared" si="10"/>
        <v>356</v>
      </c>
      <c r="M34" s="98">
        <f t="shared" si="4"/>
        <v>-27</v>
      </c>
      <c r="N34" s="101">
        <f t="shared" si="12"/>
        <v>0.9295039164490861</v>
      </c>
    </row>
    <row r="35" spans="1:14" ht="22.5" customHeight="1">
      <c r="A35" s="106" t="s">
        <v>34</v>
      </c>
      <c r="B35" s="103">
        <v>335</v>
      </c>
      <c r="C35" s="104"/>
      <c r="D35" s="97">
        <f t="shared" si="8"/>
        <v>335</v>
      </c>
      <c r="E35" s="103">
        <v>383</v>
      </c>
      <c r="F35" s="104"/>
      <c r="G35" s="121">
        <f t="shared" si="9"/>
        <v>383</v>
      </c>
      <c r="H35" s="98">
        <f t="shared" si="2"/>
        <v>48</v>
      </c>
      <c r="I35" s="99">
        <f t="shared" si="11"/>
        <v>1.1432835820895522</v>
      </c>
      <c r="J35" s="126">
        <v>356</v>
      </c>
      <c r="K35" s="104"/>
      <c r="L35" s="124">
        <f t="shared" si="10"/>
        <v>356</v>
      </c>
      <c r="M35" s="98">
        <f t="shared" si="4"/>
        <v>-27</v>
      </c>
      <c r="N35" s="101">
        <f t="shared" si="12"/>
        <v>0.9295039164490861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17413</v>
      </c>
      <c r="C37" s="114">
        <f t="shared" si="13"/>
        <v>0</v>
      </c>
      <c r="D37" s="115">
        <f t="shared" si="13"/>
        <v>17413</v>
      </c>
      <c r="E37" s="113">
        <f t="shared" si="13"/>
        <v>18778</v>
      </c>
      <c r="F37" s="114">
        <f t="shared" si="13"/>
        <v>0</v>
      </c>
      <c r="G37" s="115">
        <f t="shared" si="13"/>
        <v>18778</v>
      </c>
      <c r="H37" s="116">
        <f t="shared" si="2"/>
        <v>1365</v>
      </c>
      <c r="I37" s="117">
        <f t="shared" si="11"/>
        <v>1.0783897088382244</v>
      </c>
      <c r="J37" s="118">
        <f>SUM(J19+J21+J22+J23+J24+J27+J32+J33+J34+J36)</f>
        <v>20164</v>
      </c>
      <c r="K37" s="114">
        <f>SUM(K19+K21+K22+K23+K24+K27+K32+K33+K34+K36)</f>
        <v>0</v>
      </c>
      <c r="L37" s="115">
        <f>SUM(L19+L21+L22+L23+L24+L27+L32+L33+L34+L36)</f>
        <v>20164</v>
      </c>
      <c r="M37" s="116">
        <f t="shared" si="4"/>
        <v>1386</v>
      </c>
      <c r="N37" s="119">
        <f t="shared" si="12"/>
        <v>1.073809777399084</v>
      </c>
    </row>
    <row r="38" spans="1:14" ht="13.5" customHeight="1" thickBot="1">
      <c r="A38" s="112" t="s">
        <v>37</v>
      </c>
      <c r="B38" s="470">
        <f>+D18-D37</f>
        <v>11</v>
      </c>
      <c r="C38" s="470"/>
      <c r="D38" s="470"/>
      <c r="E38" s="471">
        <v>233.26</v>
      </c>
      <c r="F38" s="471"/>
      <c r="G38" s="471">
        <v>-50784</v>
      </c>
      <c r="H38" s="131">
        <f>+E38-B38</f>
        <v>222.26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328</v>
      </c>
      <c r="B43" s="469"/>
      <c r="C43" s="134">
        <v>340</v>
      </c>
      <c r="D43" s="468" t="s">
        <v>183</v>
      </c>
      <c r="E43" s="468"/>
      <c r="F43" s="468"/>
      <c r="G43" s="135">
        <v>119</v>
      </c>
      <c r="H43" s="467" t="s">
        <v>329</v>
      </c>
      <c r="I43" s="467"/>
      <c r="J43" s="467"/>
      <c r="K43" s="467"/>
      <c r="L43" s="136">
        <v>150</v>
      </c>
      <c r="O43"/>
      <c r="P43"/>
    </row>
    <row r="44" spans="1:16" ht="12.75">
      <c r="A44" s="463" t="s">
        <v>330</v>
      </c>
      <c r="B44" s="463"/>
      <c r="C44" s="137">
        <v>99</v>
      </c>
      <c r="D44" s="468" t="s">
        <v>331</v>
      </c>
      <c r="E44" s="468"/>
      <c r="F44" s="468"/>
      <c r="G44" s="138">
        <v>81</v>
      </c>
      <c r="H44" s="467" t="s">
        <v>332</v>
      </c>
      <c r="I44" s="467"/>
      <c r="J44" s="467"/>
      <c r="K44" s="467"/>
      <c r="L44" s="136">
        <v>150</v>
      </c>
      <c r="O44"/>
      <c r="P44"/>
    </row>
    <row r="45" spans="1:16" ht="12.75">
      <c r="A45" s="463" t="s">
        <v>333</v>
      </c>
      <c r="B45" s="463"/>
      <c r="C45" s="137">
        <v>78</v>
      </c>
      <c r="D45" s="468" t="s">
        <v>40</v>
      </c>
      <c r="E45" s="468"/>
      <c r="F45" s="468"/>
      <c r="G45" s="138">
        <v>61</v>
      </c>
      <c r="H45" s="467" t="s">
        <v>334</v>
      </c>
      <c r="I45" s="467"/>
      <c r="J45" s="467"/>
      <c r="K45" s="467"/>
      <c r="L45" s="136">
        <v>100</v>
      </c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 t="s">
        <v>40</v>
      </c>
      <c r="I46" s="464"/>
      <c r="J46" s="464"/>
      <c r="K46" s="464"/>
      <c r="L46" s="136">
        <v>101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 t="s">
        <v>516</v>
      </c>
      <c r="I47" s="464"/>
      <c r="J47" s="464"/>
      <c r="K47" s="464"/>
      <c r="L47" s="136">
        <v>574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517</v>
      </c>
      <c r="D50" s="451" t="s">
        <v>3</v>
      </c>
      <c r="E50" s="451"/>
      <c r="F50" s="451"/>
      <c r="G50" s="141">
        <f>SUM(G43:G49)</f>
        <v>261</v>
      </c>
      <c r="H50" s="452" t="s">
        <v>3</v>
      </c>
      <c r="I50" s="452"/>
      <c r="J50" s="452"/>
      <c r="K50" s="452"/>
      <c r="L50" s="141">
        <f>SUM(L43:L49)</f>
        <v>1075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335</v>
      </c>
      <c r="B54" s="446"/>
      <c r="C54" s="233">
        <v>285</v>
      </c>
      <c r="D54" s="447" t="s">
        <v>336</v>
      </c>
      <c r="E54" s="447"/>
      <c r="F54" s="447"/>
      <c r="G54" s="142">
        <v>250</v>
      </c>
      <c r="H54" s="467" t="s">
        <v>337</v>
      </c>
      <c r="I54" s="467"/>
      <c r="J54" s="467"/>
      <c r="K54" s="467"/>
      <c r="L54" s="136">
        <v>120</v>
      </c>
      <c r="O54"/>
      <c r="P54"/>
    </row>
    <row r="55" spans="1:16" ht="13.5" customHeight="1">
      <c r="A55" s="418" t="s">
        <v>338</v>
      </c>
      <c r="B55" s="419"/>
      <c r="C55" s="234">
        <v>400</v>
      </c>
      <c r="D55" s="420" t="s">
        <v>339</v>
      </c>
      <c r="E55" s="420"/>
      <c r="F55" s="420"/>
      <c r="G55" s="143">
        <v>155</v>
      </c>
      <c r="H55" s="464" t="s">
        <v>336</v>
      </c>
      <c r="I55" s="464"/>
      <c r="J55" s="464"/>
      <c r="K55" s="464"/>
      <c r="L55" s="144">
        <v>100</v>
      </c>
      <c r="O55"/>
      <c r="P55"/>
    </row>
    <row r="56" spans="1:16" ht="13.5" customHeight="1">
      <c r="A56" s="418" t="s">
        <v>336</v>
      </c>
      <c r="B56" s="419"/>
      <c r="C56" s="234">
        <v>250</v>
      </c>
      <c r="D56" s="420" t="s">
        <v>340</v>
      </c>
      <c r="E56" s="420"/>
      <c r="F56" s="420"/>
      <c r="G56" s="143">
        <v>125</v>
      </c>
      <c r="H56" s="464" t="s">
        <v>341</v>
      </c>
      <c r="I56" s="464"/>
      <c r="J56" s="464"/>
      <c r="K56" s="464"/>
      <c r="L56" s="144">
        <v>130</v>
      </c>
      <c r="O56"/>
      <c r="P56"/>
    </row>
    <row r="57" spans="1:16" ht="13.5" customHeight="1">
      <c r="A57" s="418" t="s">
        <v>342</v>
      </c>
      <c r="B57" s="419"/>
      <c r="C57" s="234">
        <v>170</v>
      </c>
      <c r="D57" s="420" t="s">
        <v>343</v>
      </c>
      <c r="E57" s="420"/>
      <c r="F57" s="420"/>
      <c r="G57" s="143">
        <v>265</v>
      </c>
      <c r="H57" s="464" t="s">
        <v>545</v>
      </c>
      <c r="I57" s="464"/>
      <c r="J57" s="464"/>
      <c r="K57" s="464"/>
      <c r="L57" s="144">
        <v>200</v>
      </c>
      <c r="O57"/>
      <c r="P57"/>
    </row>
    <row r="58" spans="1:16" ht="13.5" customHeight="1">
      <c r="A58" s="418" t="s">
        <v>344</v>
      </c>
      <c r="B58" s="419"/>
      <c r="C58" s="235">
        <v>300</v>
      </c>
      <c r="D58" s="420" t="s">
        <v>335</v>
      </c>
      <c r="E58" s="420"/>
      <c r="F58" s="420"/>
      <c r="G58" s="145">
        <v>445</v>
      </c>
      <c r="H58" s="464" t="s">
        <v>335</v>
      </c>
      <c r="I58" s="464"/>
      <c r="J58" s="464"/>
      <c r="K58" s="464"/>
      <c r="L58" s="146">
        <v>435</v>
      </c>
      <c r="O58"/>
      <c r="P58"/>
    </row>
    <row r="59" spans="1:16" ht="13.5" customHeight="1">
      <c r="A59" s="418" t="s">
        <v>345</v>
      </c>
      <c r="B59" s="419"/>
      <c r="C59" s="235">
        <v>245</v>
      </c>
      <c r="D59" s="420" t="s">
        <v>338</v>
      </c>
      <c r="E59" s="420"/>
      <c r="F59" s="420"/>
      <c r="G59" s="145">
        <v>309</v>
      </c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1650</v>
      </c>
      <c r="D62" s="517" t="s">
        <v>3</v>
      </c>
      <c r="E62" s="517"/>
      <c r="F62" s="517"/>
      <c r="G62" s="149">
        <f>SUM(G54:G61)</f>
        <v>1549</v>
      </c>
      <c r="H62" s="452" t="s">
        <v>3</v>
      </c>
      <c r="I62" s="452"/>
      <c r="J62" s="452"/>
      <c r="K62" s="452"/>
      <c r="L62" s="141">
        <f>SUM(L54:L61)</f>
        <v>985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32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43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11</v>
      </c>
      <c r="C68" s="478"/>
      <c r="D68" s="478"/>
      <c r="E68" s="65"/>
      <c r="F68" s="486" t="s">
        <v>127</v>
      </c>
      <c r="G68" s="479"/>
      <c r="H68" s="57">
        <v>188.26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43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231.26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43</v>
      </c>
      <c r="C72" s="22"/>
      <c r="D72" s="22"/>
      <c r="E72" s="22"/>
      <c r="F72" s="476" t="s">
        <v>212</v>
      </c>
      <c r="G72" s="477"/>
      <c r="H72" s="80">
        <f>H71-L71</f>
        <v>231.26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14785</v>
      </c>
      <c r="B80" s="30">
        <v>4470</v>
      </c>
      <c r="C80" s="73">
        <f>SUM(D80:I80)</f>
        <v>356</v>
      </c>
      <c r="D80" s="74">
        <v>91</v>
      </c>
      <c r="E80" s="74">
        <v>155</v>
      </c>
      <c r="F80" s="74">
        <v>6</v>
      </c>
      <c r="G80" s="74">
        <v>3</v>
      </c>
      <c r="H80" s="73">
        <v>101</v>
      </c>
      <c r="I80" s="81"/>
      <c r="J80" s="31">
        <f>SUM(A80-B80-C80)</f>
        <v>9959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1375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1785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204</v>
      </c>
      <c r="C86" s="43">
        <v>204</v>
      </c>
      <c r="D86" s="44">
        <v>0</v>
      </c>
      <c r="E86" s="44">
        <v>130</v>
      </c>
      <c r="F86" s="45">
        <f>C86+D86-E86</f>
        <v>74</v>
      </c>
      <c r="G86" s="46">
        <v>74</v>
      </c>
      <c r="H86" s="198">
        <f>+G86-F86</f>
        <v>0</v>
      </c>
      <c r="I86" s="43">
        <v>74</v>
      </c>
      <c r="J86" s="44">
        <v>45</v>
      </c>
      <c r="K86" s="44">
        <v>0</v>
      </c>
      <c r="L86" s="45">
        <f>I86+J86-K86</f>
        <v>119</v>
      </c>
    </row>
    <row r="87" spans="1:12" s="1" customFormat="1" ht="12.75">
      <c r="A87" s="41" t="s">
        <v>73</v>
      </c>
      <c r="B87" s="42">
        <v>32</v>
      </c>
      <c r="C87" s="43">
        <v>32</v>
      </c>
      <c r="D87" s="44">
        <v>11</v>
      </c>
      <c r="E87" s="44">
        <v>0</v>
      </c>
      <c r="F87" s="45">
        <f>C87+D87-E87</f>
        <v>43</v>
      </c>
      <c r="G87" s="46">
        <v>43</v>
      </c>
      <c r="H87" s="198">
        <f>+G87-F87</f>
        <v>0</v>
      </c>
      <c r="I87" s="395">
        <v>43</v>
      </c>
      <c r="J87" s="396">
        <v>188.26</v>
      </c>
      <c r="K87" s="396">
        <v>0</v>
      </c>
      <c r="L87" s="397">
        <f>I87+J87-K87</f>
        <v>231.26</v>
      </c>
    </row>
    <row r="88" spans="1:12" s="1" customFormat="1" ht="12.75">
      <c r="A88" s="41" t="s">
        <v>96</v>
      </c>
      <c r="B88" s="42">
        <v>117</v>
      </c>
      <c r="C88" s="43">
        <v>117</v>
      </c>
      <c r="D88" s="44">
        <v>383</v>
      </c>
      <c r="E88" s="44">
        <v>261</v>
      </c>
      <c r="F88" s="45">
        <f>C88+D88-E88</f>
        <v>239</v>
      </c>
      <c r="G88" s="46">
        <v>239</v>
      </c>
      <c r="H88" s="198">
        <f>+G88-F88</f>
        <v>0</v>
      </c>
      <c r="I88" s="206">
        <v>239</v>
      </c>
      <c r="J88" s="196">
        <f>356+600</f>
        <v>956</v>
      </c>
      <c r="K88" s="196">
        <f>L50</f>
        <v>1075</v>
      </c>
      <c r="L88" s="45">
        <f>I88+J88-K88</f>
        <v>120</v>
      </c>
    </row>
    <row r="89" spans="1:12" s="1" customFormat="1" ht="12.75">
      <c r="A89" s="41" t="s">
        <v>74</v>
      </c>
      <c r="B89" s="42">
        <v>1022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1429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126</v>
      </c>
      <c r="C90" s="49">
        <v>110</v>
      </c>
      <c r="D90" s="50">
        <v>161</v>
      </c>
      <c r="E90" s="50">
        <v>107</v>
      </c>
      <c r="F90" s="51">
        <f>C90+D90-E90</f>
        <v>164</v>
      </c>
      <c r="G90" s="52">
        <v>173</v>
      </c>
      <c r="H90" s="199">
        <f>+G90-F90</f>
        <v>9</v>
      </c>
      <c r="I90" s="49">
        <v>164</v>
      </c>
      <c r="J90" s="50">
        <v>175</v>
      </c>
      <c r="K90" s="50">
        <v>180</v>
      </c>
      <c r="L90" s="51">
        <f>I90+J90-K90</f>
        <v>159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472</v>
      </c>
      <c r="C96" s="159">
        <v>13.5</v>
      </c>
      <c r="D96" s="159">
        <v>195</v>
      </c>
      <c r="E96" s="159">
        <v>195</v>
      </c>
      <c r="F96" s="159">
        <v>0</v>
      </c>
      <c r="G96" s="158">
        <v>25</v>
      </c>
      <c r="H96" s="160">
        <f>SUM(C96:G96)</f>
        <v>428.5</v>
      </c>
      <c r="I96" s="27"/>
      <c r="J96" s="161">
        <v>2006</v>
      </c>
      <c r="K96" s="162">
        <v>7888</v>
      </c>
      <c r="L96" s="163">
        <f>+G29</f>
        <v>8018</v>
      </c>
    </row>
    <row r="97" spans="1:12" ht="13.5" thickBot="1">
      <c r="A97" s="164" t="s">
        <v>83</v>
      </c>
      <c r="B97" s="165">
        <v>1092</v>
      </c>
      <c r="C97" s="166">
        <v>35.9</v>
      </c>
      <c r="D97" s="166">
        <v>0</v>
      </c>
      <c r="E97" s="166">
        <v>0</v>
      </c>
      <c r="F97" s="166">
        <v>0</v>
      </c>
      <c r="G97" s="165">
        <v>0</v>
      </c>
      <c r="H97" s="167">
        <f>SUM(C97:G97)</f>
        <v>35.9</v>
      </c>
      <c r="I97" s="27"/>
      <c r="J97" s="168">
        <v>2007</v>
      </c>
      <c r="K97" s="169">
        <f>L29</f>
        <v>8750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3.97</v>
      </c>
      <c r="D102" s="175">
        <f aca="true" t="shared" si="14" ref="D102:D112">+C102-B102</f>
        <v>-0.029999999999999805</v>
      </c>
      <c r="E102" s="175">
        <v>4</v>
      </c>
      <c r="F102" s="175">
        <v>3.6</v>
      </c>
      <c r="G102" s="176">
        <f aca="true" t="shared" si="15" ref="G102:G112">+F102-E102</f>
        <v>-0.3999999999999999</v>
      </c>
      <c r="H102" s="177">
        <v>22535</v>
      </c>
      <c r="I102" s="178">
        <v>22694</v>
      </c>
      <c r="J102" s="179">
        <f aca="true" t="shared" si="16" ref="J102:J112">+I102-H102</f>
        <v>159</v>
      </c>
    </row>
    <row r="103" spans="1:10" ht="12.75">
      <c r="A103" s="174" t="s">
        <v>85</v>
      </c>
      <c r="B103" s="175">
        <v>8.41</v>
      </c>
      <c r="C103" s="175">
        <v>9.5</v>
      </c>
      <c r="D103" s="175">
        <f t="shared" si="14"/>
        <v>1.0899999999999999</v>
      </c>
      <c r="E103" s="175">
        <v>8.5</v>
      </c>
      <c r="F103" s="175">
        <v>10</v>
      </c>
      <c r="G103" s="176">
        <f t="shared" si="15"/>
        <v>1.5</v>
      </c>
      <c r="H103" s="177">
        <v>20389</v>
      </c>
      <c r="I103" s="180">
        <v>21279</v>
      </c>
      <c r="J103" s="179">
        <f t="shared" si="16"/>
        <v>890</v>
      </c>
    </row>
    <row r="104" spans="1:10" ht="12.75">
      <c r="A104" s="174" t="s">
        <v>52</v>
      </c>
      <c r="B104" s="175">
        <v>1</v>
      </c>
      <c r="C104" s="175">
        <v>1</v>
      </c>
      <c r="D104" s="175">
        <f t="shared" si="14"/>
        <v>0</v>
      </c>
      <c r="E104" s="175">
        <v>1</v>
      </c>
      <c r="F104" s="175">
        <v>1</v>
      </c>
      <c r="G104" s="176">
        <f t="shared" si="15"/>
        <v>0</v>
      </c>
      <c r="H104" s="177">
        <v>17370</v>
      </c>
      <c r="I104" s="180">
        <v>17374</v>
      </c>
      <c r="J104" s="179">
        <f t="shared" si="16"/>
        <v>4</v>
      </c>
    </row>
    <row r="105" spans="1:10" ht="12.75">
      <c r="A105" s="174" t="s">
        <v>53</v>
      </c>
      <c r="B105" s="175">
        <v>5</v>
      </c>
      <c r="C105" s="175">
        <v>4.85</v>
      </c>
      <c r="D105" s="175">
        <f t="shared" si="14"/>
        <v>-0.15000000000000036</v>
      </c>
      <c r="E105" s="175">
        <v>5</v>
      </c>
      <c r="F105" s="175">
        <v>5</v>
      </c>
      <c r="G105" s="176">
        <f t="shared" si="15"/>
        <v>0</v>
      </c>
      <c r="H105" s="177">
        <v>13435</v>
      </c>
      <c r="I105" s="180">
        <v>13407</v>
      </c>
      <c r="J105" s="179">
        <f t="shared" si="16"/>
        <v>-28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/>
      <c r="C107" s="175"/>
      <c r="D107" s="175">
        <f t="shared" si="14"/>
        <v>0</v>
      </c>
      <c r="E107" s="175"/>
      <c r="F107" s="175"/>
      <c r="G107" s="176">
        <f t="shared" si="15"/>
        <v>0</v>
      </c>
      <c r="H107" s="177"/>
      <c r="I107" s="180"/>
      <c r="J107" s="179">
        <f t="shared" si="16"/>
        <v>0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7.24</v>
      </c>
      <c r="C109" s="175">
        <v>7.55</v>
      </c>
      <c r="D109" s="175">
        <f t="shared" si="14"/>
        <v>0.3099999999999996</v>
      </c>
      <c r="E109" s="175">
        <v>6.5</v>
      </c>
      <c r="F109" s="175">
        <v>8</v>
      </c>
      <c r="G109" s="176">
        <f t="shared" si="15"/>
        <v>1.5</v>
      </c>
      <c r="H109" s="177">
        <v>12874</v>
      </c>
      <c r="I109" s="180">
        <v>15305</v>
      </c>
      <c r="J109" s="179">
        <f t="shared" si="16"/>
        <v>2431</v>
      </c>
    </row>
    <row r="110" spans="1:10" ht="12.75">
      <c r="A110" s="174" t="s">
        <v>57</v>
      </c>
      <c r="B110" s="175">
        <v>1.5</v>
      </c>
      <c r="C110" s="175">
        <v>1.5</v>
      </c>
      <c r="D110" s="175">
        <f t="shared" si="14"/>
        <v>0</v>
      </c>
      <c r="E110" s="175">
        <v>1.5</v>
      </c>
      <c r="F110" s="175">
        <v>1.5</v>
      </c>
      <c r="G110" s="176">
        <f t="shared" si="15"/>
        <v>0</v>
      </c>
      <c r="H110" s="177">
        <v>20685</v>
      </c>
      <c r="I110" s="180">
        <v>21210</v>
      </c>
      <c r="J110" s="179">
        <f t="shared" si="16"/>
        <v>525</v>
      </c>
    </row>
    <row r="111" spans="1:10" ht="12.75">
      <c r="A111" s="174" t="s">
        <v>58</v>
      </c>
      <c r="B111" s="175">
        <v>14.16</v>
      </c>
      <c r="C111" s="175">
        <v>13.5</v>
      </c>
      <c r="D111" s="175">
        <f t="shared" si="14"/>
        <v>-0.6600000000000001</v>
      </c>
      <c r="E111" s="175">
        <v>13.5</v>
      </c>
      <c r="F111" s="175">
        <v>13</v>
      </c>
      <c r="G111" s="176">
        <f t="shared" si="15"/>
        <v>-0.5</v>
      </c>
      <c r="H111" s="177">
        <v>10577</v>
      </c>
      <c r="I111" s="180">
        <v>10826</v>
      </c>
      <c r="J111" s="179">
        <f t="shared" si="16"/>
        <v>249</v>
      </c>
    </row>
    <row r="112" spans="1:10" ht="13.5" thickBot="1">
      <c r="A112" s="181" t="s">
        <v>3</v>
      </c>
      <c r="B112" s="182">
        <f>SUM(B102:B111)</f>
        <v>41.31</v>
      </c>
      <c r="C112" s="182">
        <f>SUM(C102:C111)</f>
        <v>41.870000000000005</v>
      </c>
      <c r="D112" s="182">
        <f t="shared" si="14"/>
        <v>0.5600000000000023</v>
      </c>
      <c r="E112" s="182">
        <f>SUM(E102:E111)</f>
        <v>40</v>
      </c>
      <c r="F112" s="182">
        <f>SUM(F102:F111)</f>
        <v>42.1</v>
      </c>
      <c r="G112" s="183">
        <f t="shared" si="15"/>
        <v>2.1000000000000014</v>
      </c>
      <c r="H112" s="184">
        <v>15012</v>
      </c>
      <c r="I112" s="185">
        <v>15958</v>
      </c>
      <c r="J112" s="186">
        <f t="shared" si="16"/>
        <v>946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43</v>
      </c>
      <c r="C116" s="163">
        <v>41.87</v>
      </c>
      <c r="D116" s="27"/>
      <c r="E116" s="161">
        <v>2006</v>
      </c>
      <c r="F116" s="416">
        <v>80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43</v>
      </c>
      <c r="C117" s="369" t="s">
        <v>508</v>
      </c>
      <c r="D117" s="27"/>
      <c r="E117" s="168">
        <v>2007</v>
      </c>
      <c r="F117" s="417">
        <v>80</v>
      </c>
      <c r="G117" s="417"/>
      <c r="H117"/>
      <c r="I117"/>
      <c r="J117"/>
      <c r="K117"/>
      <c r="L117"/>
      <c r="M117"/>
      <c r="N117"/>
      <c r="O117"/>
      <c r="P117"/>
    </row>
    <row r="126" ht="12.75">
      <c r="A126" s="243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E4:G4"/>
    <mergeCell ref="J4:L4"/>
    <mergeCell ref="A100:A101"/>
    <mergeCell ref="B100:D100"/>
    <mergeCell ref="E100:G100"/>
    <mergeCell ref="H100:J100"/>
    <mergeCell ref="A83:A84"/>
    <mergeCell ref="B83:B84"/>
    <mergeCell ref="C83:F83"/>
    <mergeCell ref="G83:G84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94:A95"/>
    <mergeCell ref="B94:B95"/>
    <mergeCell ref="C94:H94"/>
    <mergeCell ref="H83:H84"/>
    <mergeCell ref="C78:C79"/>
    <mergeCell ref="D78:I78"/>
    <mergeCell ref="J94:L94"/>
    <mergeCell ref="A77:A79"/>
    <mergeCell ref="B77:B79"/>
    <mergeCell ref="C77:I77"/>
    <mergeCell ref="I83:L83"/>
    <mergeCell ref="J77:J79"/>
    <mergeCell ref="L77:M77"/>
    <mergeCell ref="L41:L42"/>
    <mergeCell ref="L52:L53"/>
    <mergeCell ref="A3:A6"/>
    <mergeCell ref="B3:N3"/>
    <mergeCell ref="H4:I4"/>
    <mergeCell ref="M4:N4"/>
    <mergeCell ref="B38:D38"/>
    <mergeCell ref="E38:G38"/>
    <mergeCell ref="J38:L38"/>
    <mergeCell ref="B4:D4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517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4882</v>
      </c>
      <c r="C8" s="14"/>
      <c r="D8" s="192">
        <f t="shared" si="0"/>
        <v>4882</v>
      </c>
      <c r="E8" s="15">
        <v>5201</v>
      </c>
      <c r="F8" s="14"/>
      <c r="G8" s="192">
        <f t="shared" si="1"/>
        <v>5201</v>
      </c>
      <c r="H8" s="220">
        <f t="shared" si="2"/>
        <v>319</v>
      </c>
      <c r="I8" s="223">
        <f aca="true" t="shared" si="5" ref="I8:I21">+G8/D8</f>
        <v>1.065342072920934</v>
      </c>
      <c r="J8" s="15">
        <f>8450+310</f>
        <v>8760</v>
      </c>
      <c r="K8" s="14"/>
      <c r="L8" s="192">
        <f t="shared" si="3"/>
        <v>8760</v>
      </c>
      <c r="M8" s="220">
        <f t="shared" si="4"/>
        <v>3559</v>
      </c>
      <c r="N8" s="221">
        <f aca="true" t="shared" si="6" ref="N8:N21">+L8/G8</f>
        <v>1.6842914824072295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11</v>
      </c>
      <c r="C11" s="14"/>
      <c r="D11" s="192">
        <f t="shared" si="0"/>
        <v>11</v>
      </c>
      <c r="E11" s="15">
        <v>24</v>
      </c>
      <c r="F11" s="14"/>
      <c r="G11" s="192">
        <f t="shared" si="1"/>
        <v>24</v>
      </c>
      <c r="H11" s="220">
        <f t="shared" si="2"/>
        <v>13</v>
      </c>
      <c r="I11" s="223">
        <f t="shared" si="5"/>
        <v>2.1818181818181817</v>
      </c>
      <c r="J11" s="15">
        <v>9</v>
      </c>
      <c r="K11" s="14"/>
      <c r="L11" s="192">
        <f t="shared" si="3"/>
        <v>9</v>
      </c>
      <c r="M11" s="220">
        <f t="shared" si="4"/>
        <v>-15</v>
      </c>
      <c r="N11" s="221">
        <f t="shared" si="6"/>
        <v>0.375</v>
      </c>
    </row>
    <row r="12" spans="1:14" ht="13.5" customHeight="1">
      <c r="A12" s="230" t="s">
        <v>13</v>
      </c>
      <c r="B12" s="15">
        <v>3</v>
      </c>
      <c r="C12" s="14"/>
      <c r="D12" s="192">
        <f t="shared" si="0"/>
        <v>3</v>
      </c>
      <c r="E12" s="15">
        <v>23</v>
      </c>
      <c r="F12" s="14"/>
      <c r="G12" s="192">
        <f t="shared" si="1"/>
        <v>23</v>
      </c>
      <c r="H12" s="220">
        <f t="shared" si="2"/>
        <v>20</v>
      </c>
      <c r="I12" s="223">
        <f t="shared" si="5"/>
        <v>7.666666666666667</v>
      </c>
      <c r="J12" s="15"/>
      <c r="K12" s="14"/>
      <c r="L12" s="192">
        <f t="shared" si="3"/>
        <v>0</v>
      </c>
      <c r="M12" s="220">
        <f t="shared" si="4"/>
        <v>-23</v>
      </c>
      <c r="N12" s="221">
        <f t="shared" si="6"/>
        <v>0</v>
      </c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9960</v>
      </c>
      <c r="C15" s="14">
        <f>SUM(C16:C17)</f>
        <v>0</v>
      </c>
      <c r="D15" s="192">
        <f t="shared" si="0"/>
        <v>9960</v>
      </c>
      <c r="E15" s="15">
        <v>10504</v>
      </c>
      <c r="F15" s="14">
        <f>SUM(F16:F17)</f>
        <v>0</v>
      </c>
      <c r="G15" s="192">
        <f t="shared" si="1"/>
        <v>10504</v>
      </c>
      <c r="H15" s="220">
        <f t="shared" si="2"/>
        <v>544</v>
      </c>
      <c r="I15" s="223">
        <f t="shared" si="5"/>
        <v>1.0546184738955824</v>
      </c>
      <c r="J15" s="17">
        <f>SUM(J16:J17)</f>
        <v>8585</v>
      </c>
      <c r="K15" s="17">
        <f>SUM(K16:K17)</f>
        <v>0</v>
      </c>
      <c r="L15" s="192">
        <f t="shared" si="3"/>
        <v>8585</v>
      </c>
      <c r="M15" s="220">
        <f t="shared" si="4"/>
        <v>-1919</v>
      </c>
      <c r="N15" s="221">
        <f t="shared" si="6"/>
        <v>0.8173076923076923</v>
      </c>
    </row>
    <row r="16" spans="1:14" ht="13.5" customHeight="1">
      <c r="A16" s="231" t="s">
        <v>219</v>
      </c>
      <c r="B16" s="15">
        <v>9960</v>
      </c>
      <c r="C16" s="14"/>
      <c r="D16" s="192">
        <f>B16</f>
        <v>9960</v>
      </c>
      <c r="E16" s="15">
        <v>10504</v>
      </c>
      <c r="F16" s="14"/>
      <c r="G16" s="192">
        <f t="shared" si="1"/>
        <v>10504</v>
      </c>
      <c r="H16" s="220">
        <f t="shared" si="2"/>
        <v>544</v>
      </c>
      <c r="I16" s="223">
        <f t="shared" si="5"/>
        <v>1.0546184738955824</v>
      </c>
      <c r="J16" s="17">
        <f>1260-1150</f>
        <v>110</v>
      </c>
      <c r="K16" s="14"/>
      <c r="L16" s="192">
        <f t="shared" si="3"/>
        <v>110</v>
      </c>
      <c r="M16" s="220">
        <f t="shared" si="4"/>
        <v>-10394</v>
      </c>
      <c r="N16" s="221">
        <f t="shared" si="6"/>
        <v>0.010472201066260471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8475</v>
      </c>
      <c r="K17" s="190"/>
      <c r="L17" s="193">
        <f t="shared" si="3"/>
        <v>8475</v>
      </c>
      <c r="M17" s="366">
        <f t="shared" si="4"/>
        <v>8475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14853</v>
      </c>
      <c r="C18" s="214">
        <f t="shared" si="7"/>
        <v>0</v>
      </c>
      <c r="D18" s="215">
        <f t="shared" si="7"/>
        <v>14853</v>
      </c>
      <c r="E18" s="213">
        <f t="shared" si="7"/>
        <v>15729</v>
      </c>
      <c r="F18" s="214">
        <f t="shared" si="7"/>
        <v>0</v>
      </c>
      <c r="G18" s="215">
        <f t="shared" si="7"/>
        <v>15729</v>
      </c>
      <c r="H18" s="217">
        <f t="shared" si="2"/>
        <v>876</v>
      </c>
      <c r="I18" s="132">
        <f t="shared" si="5"/>
        <v>1.0589779842456069</v>
      </c>
      <c r="J18" s="225">
        <f>SUM(J7+J8+J9+J10+J11+J13+J15)</f>
        <v>17354</v>
      </c>
      <c r="K18" s="214">
        <f>SUM(K7+K8+K9+K10+K11+K13+K15)</f>
        <v>0</v>
      </c>
      <c r="L18" s="215">
        <f>SUM(L7+L8+L9+L10+L11+L13+L15)</f>
        <v>17354</v>
      </c>
      <c r="M18" s="217">
        <f t="shared" si="4"/>
        <v>1625</v>
      </c>
      <c r="N18" s="226">
        <f t="shared" si="6"/>
        <v>1.1033123529785747</v>
      </c>
    </row>
    <row r="19" spans="1:14" ht="13.5" customHeight="1">
      <c r="A19" s="120" t="s">
        <v>18</v>
      </c>
      <c r="B19" s="95">
        <v>3623</v>
      </c>
      <c r="C19" s="96"/>
      <c r="D19" s="97">
        <f aca="true" t="shared" si="8" ref="D19:D36">SUM(B19:C19)</f>
        <v>3623</v>
      </c>
      <c r="E19" s="95">
        <v>3401</v>
      </c>
      <c r="F19" s="96"/>
      <c r="G19" s="121">
        <f aca="true" t="shared" si="9" ref="G19:G36">SUM(E19:F19)</f>
        <v>3401</v>
      </c>
      <c r="H19" s="122">
        <f t="shared" si="2"/>
        <v>-222</v>
      </c>
      <c r="I19" s="123">
        <f t="shared" si="5"/>
        <v>0.9387248136903119</v>
      </c>
      <c r="J19" s="100">
        <f>3295-362</f>
        <v>2933</v>
      </c>
      <c r="K19" s="96"/>
      <c r="L19" s="124">
        <f aca="true" t="shared" si="10" ref="L19:L36">SUM(J19:K19)</f>
        <v>2933</v>
      </c>
      <c r="M19" s="122">
        <f t="shared" si="4"/>
        <v>-468</v>
      </c>
      <c r="N19" s="125">
        <f t="shared" si="6"/>
        <v>0.8623934137018524</v>
      </c>
    </row>
    <row r="20" spans="1:14" ht="21" customHeight="1">
      <c r="A20" s="106" t="s">
        <v>19</v>
      </c>
      <c r="B20" s="95">
        <v>662</v>
      </c>
      <c r="C20" s="96"/>
      <c r="D20" s="97">
        <f t="shared" si="8"/>
        <v>662</v>
      </c>
      <c r="E20" s="95">
        <v>827</v>
      </c>
      <c r="F20" s="96"/>
      <c r="G20" s="121">
        <f t="shared" si="9"/>
        <v>827</v>
      </c>
      <c r="H20" s="98">
        <f t="shared" si="2"/>
        <v>165</v>
      </c>
      <c r="I20" s="99">
        <f t="shared" si="5"/>
        <v>1.2492447129909365</v>
      </c>
      <c r="J20" s="100">
        <v>600</v>
      </c>
      <c r="K20" s="96"/>
      <c r="L20" s="124">
        <f t="shared" si="10"/>
        <v>600</v>
      </c>
      <c r="M20" s="98">
        <f t="shared" si="4"/>
        <v>-227</v>
      </c>
      <c r="N20" s="101">
        <f t="shared" si="6"/>
        <v>0.7255139056831923</v>
      </c>
    </row>
    <row r="21" spans="1:14" ht="13.5" customHeight="1">
      <c r="A21" s="102" t="s">
        <v>20</v>
      </c>
      <c r="B21" s="103">
        <v>538</v>
      </c>
      <c r="C21" s="104"/>
      <c r="D21" s="97">
        <f t="shared" si="8"/>
        <v>538</v>
      </c>
      <c r="E21" s="103">
        <v>505</v>
      </c>
      <c r="F21" s="104"/>
      <c r="G21" s="121">
        <f t="shared" si="9"/>
        <v>505</v>
      </c>
      <c r="H21" s="98">
        <f t="shared" si="2"/>
        <v>-33</v>
      </c>
      <c r="I21" s="99">
        <f t="shared" si="5"/>
        <v>0.9386617100371747</v>
      </c>
      <c r="J21" s="105">
        <f>620-125</f>
        <v>495</v>
      </c>
      <c r="K21" s="104"/>
      <c r="L21" s="124">
        <f t="shared" si="10"/>
        <v>495</v>
      </c>
      <c r="M21" s="98">
        <f t="shared" si="4"/>
        <v>-10</v>
      </c>
      <c r="N21" s="101">
        <f t="shared" si="6"/>
        <v>0.9801980198019802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1180</v>
      </c>
      <c r="C24" s="104"/>
      <c r="D24" s="97">
        <f t="shared" si="8"/>
        <v>1180</v>
      </c>
      <c r="E24" s="105">
        <v>1453</v>
      </c>
      <c r="F24" s="104"/>
      <c r="G24" s="121">
        <f t="shared" si="9"/>
        <v>1453</v>
      </c>
      <c r="H24" s="98">
        <f t="shared" si="2"/>
        <v>273</v>
      </c>
      <c r="I24" s="99">
        <f aca="true" t="shared" si="11" ref="I24:I37">+G24/D24</f>
        <v>1.2313559322033898</v>
      </c>
      <c r="J24" s="105">
        <f>SUM(J25:J26)</f>
        <v>1220</v>
      </c>
      <c r="K24" s="104"/>
      <c r="L24" s="124">
        <f t="shared" si="10"/>
        <v>1220</v>
      </c>
      <c r="M24" s="98">
        <f t="shared" si="4"/>
        <v>-233</v>
      </c>
      <c r="N24" s="101">
        <f aca="true" t="shared" si="12" ref="N24:N37">+L24/G24</f>
        <v>0.8396421197522368</v>
      </c>
    </row>
    <row r="25" spans="1:14" ht="13.5" customHeight="1">
      <c r="A25" s="106" t="s">
        <v>24</v>
      </c>
      <c r="B25" s="103">
        <v>332</v>
      </c>
      <c r="C25" s="104"/>
      <c r="D25" s="97">
        <f t="shared" si="8"/>
        <v>332</v>
      </c>
      <c r="E25" s="103">
        <v>470</v>
      </c>
      <c r="F25" s="104"/>
      <c r="G25" s="121">
        <f t="shared" si="9"/>
        <v>470</v>
      </c>
      <c r="H25" s="98">
        <f t="shared" si="2"/>
        <v>138</v>
      </c>
      <c r="I25" s="99">
        <f t="shared" si="11"/>
        <v>1.4156626506024097</v>
      </c>
      <c r="J25" s="126">
        <v>400</v>
      </c>
      <c r="K25" s="104"/>
      <c r="L25" s="124">
        <f t="shared" si="10"/>
        <v>400</v>
      </c>
      <c r="M25" s="98">
        <f t="shared" si="4"/>
        <v>-70</v>
      </c>
      <c r="N25" s="101">
        <f t="shared" si="12"/>
        <v>0.851063829787234</v>
      </c>
    </row>
    <row r="26" spans="1:14" ht="13.5" customHeight="1">
      <c r="A26" s="102" t="s">
        <v>25</v>
      </c>
      <c r="B26" s="103">
        <v>816</v>
      </c>
      <c r="C26" s="104"/>
      <c r="D26" s="97">
        <f t="shared" si="8"/>
        <v>816</v>
      </c>
      <c r="E26" s="103">
        <v>930</v>
      </c>
      <c r="F26" s="104"/>
      <c r="G26" s="121">
        <f t="shared" si="9"/>
        <v>930</v>
      </c>
      <c r="H26" s="98">
        <f t="shared" si="2"/>
        <v>114</v>
      </c>
      <c r="I26" s="99">
        <f t="shared" si="11"/>
        <v>1.1397058823529411</v>
      </c>
      <c r="J26" s="126">
        <f>1020-200</f>
        <v>820</v>
      </c>
      <c r="K26" s="104"/>
      <c r="L26" s="124">
        <f t="shared" si="10"/>
        <v>820</v>
      </c>
      <c r="M26" s="98">
        <f t="shared" si="4"/>
        <v>-110</v>
      </c>
      <c r="N26" s="101">
        <f t="shared" si="12"/>
        <v>0.8817204301075269</v>
      </c>
    </row>
    <row r="27" spans="1:14" ht="13.5" customHeight="1">
      <c r="A27" s="127" t="s">
        <v>26</v>
      </c>
      <c r="B27" s="105">
        <v>9181</v>
      </c>
      <c r="C27" s="104"/>
      <c r="D27" s="97">
        <f t="shared" si="8"/>
        <v>9181</v>
      </c>
      <c r="E27" s="105">
        <v>10026</v>
      </c>
      <c r="F27" s="104"/>
      <c r="G27" s="121">
        <f t="shared" si="9"/>
        <v>10026</v>
      </c>
      <c r="H27" s="98">
        <f t="shared" si="2"/>
        <v>845</v>
      </c>
      <c r="I27" s="99">
        <f t="shared" si="11"/>
        <v>1.092037904367716</v>
      </c>
      <c r="J27" s="105">
        <v>12399</v>
      </c>
      <c r="K27" s="104"/>
      <c r="L27" s="124">
        <f t="shared" si="10"/>
        <v>12399</v>
      </c>
      <c r="M27" s="98">
        <f t="shared" si="4"/>
        <v>2373</v>
      </c>
      <c r="N27" s="101">
        <f t="shared" si="12"/>
        <v>1.236684619988031</v>
      </c>
    </row>
    <row r="28" spans="1:14" ht="13.5" customHeight="1">
      <c r="A28" s="106" t="s">
        <v>27</v>
      </c>
      <c r="B28" s="103">
        <v>6705</v>
      </c>
      <c r="C28" s="104"/>
      <c r="D28" s="97">
        <f t="shared" si="8"/>
        <v>6705</v>
      </c>
      <c r="E28" s="103">
        <v>7323</v>
      </c>
      <c r="F28" s="104"/>
      <c r="G28" s="121">
        <f t="shared" si="9"/>
        <v>7323</v>
      </c>
      <c r="H28" s="98">
        <f t="shared" si="2"/>
        <v>618</v>
      </c>
      <c r="I28" s="99">
        <f t="shared" si="11"/>
        <v>1.0921700223713646</v>
      </c>
      <c r="J28" s="126">
        <v>9076</v>
      </c>
      <c r="K28" s="128"/>
      <c r="L28" s="124">
        <f t="shared" si="10"/>
        <v>9076</v>
      </c>
      <c r="M28" s="98">
        <f t="shared" si="4"/>
        <v>1753</v>
      </c>
      <c r="N28" s="101">
        <f t="shared" si="12"/>
        <v>1.2393827666256998</v>
      </c>
    </row>
    <row r="29" spans="1:14" ht="13.5" customHeight="1">
      <c r="A29" s="127" t="s">
        <v>28</v>
      </c>
      <c r="B29" s="103">
        <v>6692</v>
      </c>
      <c r="C29" s="104"/>
      <c r="D29" s="97">
        <f t="shared" si="8"/>
        <v>6692</v>
      </c>
      <c r="E29" s="103">
        <v>7301</v>
      </c>
      <c r="F29" s="104"/>
      <c r="G29" s="121">
        <f t="shared" si="9"/>
        <v>7301</v>
      </c>
      <c r="H29" s="98">
        <f t="shared" si="2"/>
        <v>609</v>
      </c>
      <c r="I29" s="99">
        <f t="shared" si="11"/>
        <v>1.0910041841004183</v>
      </c>
      <c r="J29" s="105">
        <v>8982</v>
      </c>
      <c r="K29" s="104"/>
      <c r="L29" s="124">
        <f t="shared" si="10"/>
        <v>8982</v>
      </c>
      <c r="M29" s="98">
        <f t="shared" si="4"/>
        <v>1681</v>
      </c>
      <c r="N29" s="101">
        <f t="shared" si="12"/>
        <v>1.230242432543487</v>
      </c>
    </row>
    <row r="30" spans="1:14" ht="13.5" customHeight="1">
      <c r="A30" s="106" t="s">
        <v>29</v>
      </c>
      <c r="B30" s="103">
        <v>13</v>
      </c>
      <c r="C30" s="104"/>
      <c r="D30" s="97">
        <f t="shared" si="8"/>
        <v>13</v>
      </c>
      <c r="E30" s="103">
        <v>22</v>
      </c>
      <c r="F30" s="104"/>
      <c r="G30" s="121">
        <f t="shared" si="9"/>
        <v>22</v>
      </c>
      <c r="H30" s="98">
        <f t="shared" si="2"/>
        <v>9</v>
      </c>
      <c r="I30" s="99">
        <f t="shared" si="11"/>
        <v>1.6923076923076923</v>
      </c>
      <c r="J30" s="105">
        <v>94</v>
      </c>
      <c r="K30" s="104"/>
      <c r="L30" s="124">
        <f t="shared" si="10"/>
        <v>94</v>
      </c>
      <c r="M30" s="98">
        <f t="shared" si="4"/>
        <v>72</v>
      </c>
      <c r="N30" s="101">
        <f t="shared" si="12"/>
        <v>4.2727272727272725</v>
      </c>
    </row>
    <row r="31" spans="1:14" ht="13.5" customHeight="1">
      <c r="A31" s="106" t="s">
        <v>30</v>
      </c>
      <c r="B31" s="103">
        <v>2476</v>
      </c>
      <c r="C31" s="104"/>
      <c r="D31" s="97">
        <f t="shared" si="8"/>
        <v>2476</v>
      </c>
      <c r="E31" s="103">
        <v>2703</v>
      </c>
      <c r="F31" s="104"/>
      <c r="G31" s="121">
        <f t="shared" si="9"/>
        <v>2703</v>
      </c>
      <c r="H31" s="98">
        <f t="shared" si="2"/>
        <v>227</v>
      </c>
      <c r="I31" s="99">
        <f t="shared" si="11"/>
        <v>1.0916801292407108</v>
      </c>
      <c r="J31" s="105">
        <v>3323</v>
      </c>
      <c r="K31" s="104"/>
      <c r="L31" s="124">
        <f t="shared" si="10"/>
        <v>3323</v>
      </c>
      <c r="M31" s="98">
        <f t="shared" si="4"/>
        <v>620</v>
      </c>
      <c r="N31" s="101">
        <f t="shared" si="12"/>
        <v>1.2293747687754346</v>
      </c>
    </row>
    <row r="32" spans="1:14" ht="13.5" customHeight="1">
      <c r="A32" s="127" t="s">
        <v>31</v>
      </c>
      <c r="B32" s="103">
        <v>8</v>
      </c>
      <c r="C32" s="104"/>
      <c r="D32" s="97">
        <f t="shared" si="8"/>
        <v>8</v>
      </c>
      <c r="E32" s="103">
        <v>14</v>
      </c>
      <c r="F32" s="104"/>
      <c r="G32" s="121">
        <f t="shared" si="9"/>
        <v>14</v>
      </c>
      <c r="H32" s="98">
        <f t="shared" si="2"/>
        <v>6</v>
      </c>
      <c r="I32" s="99">
        <f t="shared" si="11"/>
        <v>1.75</v>
      </c>
      <c r="J32" s="105">
        <v>10</v>
      </c>
      <c r="K32" s="104"/>
      <c r="L32" s="124">
        <f t="shared" si="10"/>
        <v>10</v>
      </c>
      <c r="M32" s="98">
        <f t="shared" si="4"/>
        <v>-4</v>
      </c>
      <c r="N32" s="101">
        <f t="shared" si="12"/>
        <v>0.7142857142857143</v>
      </c>
    </row>
    <row r="33" spans="1:14" ht="13.5" customHeight="1">
      <c r="A33" s="127" t="s">
        <v>32</v>
      </c>
      <c r="B33" s="103">
        <v>118</v>
      </c>
      <c r="C33" s="104"/>
      <c r="D33" s="97">
        <f t="shared" si="8"/>
        <v>118</v>
      </c>
      <c r="E33" s="103">
        <v>99</v>
      </c>
      <c r="F33" s="104"/>
      <c r="G33" s="121">
        <f t="shared" si="9"/>
        <v>99</v>
      </c>
      <c r="H33" s="98">
        <f t="shared" si="2"/>
        <v>-19</v>
      </c>
      <c r="I33" s="99">
        <f t="shared" si="11"/>
        <v>0.8389830508474576</v>
      </c>
      <c r="J33" s="105">
        <v>100</v>
      </c>
      <c r="K33" s="104"/>
      <c r="L33" s="124">
        <f t="shared" si="10"/>
        <v>100</v>
      </c>
      <c r="M33" s="98">
        <f t="shared" si="4"/>
        <v>1</v>
      </c>
      <c r="N33" s="101">
        <f t="shared" si="12"/>
        <v>1.0101010101010102</v>
      </c>
    </row>
    <row r="34" spans="1:14" ht="13.5" customHeight="1">
      <c r="A34" s="106" t="s">
        <v>33</v>
      </c>
      <c r="B34" s="103">
        <v>191</v>
      </c>
      <c r="C34" s="104"/>
      <c r="D34" s="97">
        <f t="shared" si="8"/>
        <v>191</v>
      </c>
      <c r="E34" s="103">
        <v>194</v>
      </c>
      <c r="F34" s="104"/>
      <c r="G34" s="121">
        <f t="shared" si="9"/>
        <v>194</v>
      </c>
      <c r="H34" s="98">
        <f t="shared" si="2"/>
        <v>3</v>
      </c>
      <c r="I34" s="99">
        <f t="shared" si="11"/>
        <v>1.0157068062827226</v>
      </c>
      <c r="J34" s="126">
        <v>197</v>
      </c>
      <c r="K34" s="104"/>
      <c r="L34" s="124">
        <f t="shared" si="10"/>
        <v>197</v>
      </c>
      <c r="M34" s="98">
        <f t="shared" si="4"/>
        <v>3</v>
      </c>
      <c r="N34" s="101">
        <f t="shared" si="12"/>
        <v>1.0154639175257731</v>
      </c>
    </row>
    <row r="35" spans="1:14" ht="22.5" customHeight="1">
      <c r="A35" s="106" t="s">
        <v>34</v>
      </c>
      <c r="B35" s="103">
        <v>191</v>
      </c>
      <c r="C35" s="104"/>
      <c r="D35" s="97">
        <f t="shared" si="8"/>
        <v>191</v>
      </c>
      <c r="E35" s="103">
        <v>194</v>
      </c>
      <c r="F35" s="104"/>
      <c r="G35" s="121">
        <f t="shared" si="9"/>
        <v>194</v>
      </c>
      <c r="H35" s="98">
        <f t="shared" si="2"/>
        <v>3</v>
      </c>
      <c r="I35" s="99">
        <f t="shared" si="11"/>
        <v>1.0157068062827226</v>
      </c>
      <c r="J35" s="126">
        <v>197</v>
      </c>
      <c r="K35" s="104"/>
      <c r="L35" s="124">
        <f t="shared" si="10"/>
        <v>197</v>
      </c>
      <c r="M35" s="98">
        <f t="shared" si="4"/>
        <v>3</v>
      </c>
      <c r="N35" s="101">
        <f t="shared" si="12"/>
        <v>1.0154639175257731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14839</v>
      </c>
      <c r="C37" s="114">
        <f t="shared" si="13"/>
        <v>0</v>
      </c>
      <c r="D37" s="115">
        <f t="shared" si="13"/>
        <v>14839</v>
      </c>
      <c r="E37" s="113">
        <f t="shared" si="13"/>
        <v>15692</v>
      </c>
      <c r="F37" s="114">
        <f t="shared" si="13"/>
        <v>0</v>
      </c>
      <c r="G37" s="115">
        <f t="shared" si="13"/>
        <v>15692</v>
      </c>
      <c r="H37" s="116">
        <f t="shared" si="2"/>
        <v>853</v>
      </c>
      <c r="I37" s="117">
        <f t="shared" si="11"/>
        <v>1.057483657928432</v>
      </c>
      <c r="J37" s="118">
        <f>SUM(J19+J21+J22+J23+J24+J27+J32+J33+J34+J36)</f>
        <v>17354</v>
      </c>
      <c r="K37" s="114">
        <f>SUM(K19+K21+K22+K23+K24+K27+K32+K33+K34+K36)</f>
        <v>0</v>
      </c>
      <c r="L37" s="115">
        <f>SUM(L19+L21+L22+L23+L24+L27+L32+L33+L34+L36)</f>
        <v>17354</v>
      </c>
      <c r="M37" s="116">
        <f t="shared" si="4"/>
        <v>1662</v>
      </c>
      <c r="N37" s="119">
        <f t="shared" si="12"/>
        <v>1.1059138414478715</v>
      </c>
    </row>
    <row r="38" spans="1:14" ht="13.5" customHeight="1" thickBot="1">
      <c r="A38" s="112" t="s">
        <v>37</v>
      </c>
      <c r="B38" s="470">
        <f>+D18-D37</f>
        <v>14</v>
      </c>
      <c r="C38" s="470"/>
      <c r="D38" s="470"/>
      <c r="E38" s="471">
        <v>36.72</v>
      </c>
      <c r="F38" s="471"/>
      <c r="G38" s="471">
        <v>-50784</v>
      </c>
      <c r="H38" s="131">
        <f>+E38-B38</f>
        <v>22.72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324</v>
      </c>
      <c r="B43" s="469"/>
      <c r="C43" s="134">
        <v>107</v>
      </c>
      <c r="D43" s="468" t="s">
        <v>325</v>
      </c>
      <c r="E43" s="468"/>
      <c r="F43" s="468"/>
      <c r="G43" s="135">
        <v>64</v>
      </c>
      <c r="H43" s="467" t="s">
        <v>145</v>
      </c>
      <c r="I43" s="467"/>
      <c r="J43" s="467"/>
      <c r="K43" s="467"/>
      <c r="L43" s="136">
        <v>170</v>
      </c>
      <c r="O43"/>
      <c r="P43"/>
    </row>
    <row r="44" spans="1:16" ht="12.75">
      <c r="A44" s="463"/>
      <c r="B44" s="463"/>
      <c r="C44" s="137"/>
      <c r="D44" s="468" t="s">
        <v>84</v>
      </c>
      <c r="E44" s="468"/>
      <c r="F44" s="468"/>
      <c r="G44" s="138">
        <v>67</v>
      </c>
      <c r="H44" s="467" t="s">
        <v>84</v>
      </c>
      <c r="I44" s="467"/>
      <c r="J44" s="467"/>
      <c r="K44" s="467"/>
      <c r="L44" s="136">
        <v>65</v>
      </c>
      <c r="O44"/>
      <c r="P44"/>
    </row>
    <row r="45" spans="1:16" ht="12.75">
      <c r="A45" s="463"/>
      <c r="B45" s="463"/>
      <c r="C45" s="137"/>
      <c r="D45" s="468"/>
      <c r="E45" s="468"/>
      <c r="F45" s="468"/>
      <c r="G45" s="138"/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107</v>
      </c>
      <c r="D50" s="451" t="s">
        <v>3</v>
      </c>
      <c r="E50" s="451"/>
      <c r="F50" s="451"/>
      <c r="G50" s="141">
        <f>SUM(G43:G49)</f>
        <v>131</v>
      </c>
      <c r="H50" s="452" t="s">
        <v>3</v>
      </c>
      <c r="I50" s="452"/>
      <c r="J50" s="452"/>
      <c r="K50" s="452"/>
      <c r="L50" s="141">
        <f>SUM(L43:L49)</f>
        <v>235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159</v>
      </c>
      <c r="B54" s="446"/>
      <c r="C54" s="233">
        <v>64</v>
      </c>
      <c r="D54" s="447" t="s">
        <v>159</v>
      </c>
      <c r="E54" s="447"/>
      <c r="F54" s="447"/>
      <c r="G54" s="142">
        <v>152</v>
      </c>
      <c r="H54" s="467" t="s">
        <v>159</v>
      </c>
      <c r="I54" s="467"/>
      <c r="J54" s="467"/>
      <c r="K54" s="467"/>
      <c r="L54" s="136">
        <v>90</v>
      </c>
      <c r="O54"/>
      <c r="P54"/>
    </row>
    <row r="55" spans="1:16" ht="13.5" customHeight="1">
      <c r="A55" s="418" t="s">
        <v>326</v>
      </c>
      <c r="B55" s="419"/>
      <c r="C55" s="234">
        <v>6</v>
      </c>
      <c r="D55" s="420" t="s">
        <v>326</v>
      </c>
      <c r="E55" s="420"/>
      <c r="F55" s="420"/>
      <c r="G55" s="143">
        <v>99</v>
      </c>
      <c r="H55" s="464" t="s">
        <v>326</v>
      </c>
      <c r="I55" s="464"/>
      <c r="J55" s="464"/>
      <c r="K55" s="464"/>
      <c r="L55" s="144">
        <v>55</v>
      </c>
      <c r="O55"/>
      <c r="P55"/>
    </row>
    <row r="56" spans="1:16" ht="13.5" customHeight="1">
      <c r="A56" s="418" t="s">
        <v>114</v>
      </c>
      <c r="B56" s="419"/>
      <c r="C56" s="234">
        <v>68</v>
      </c>
      <c r="D56" s="420" t="s">
        <v>114</v>
      </c>
      <c r="E56" s="420"/>
      <c r="F56" s="420"/>
      <c r="G56" s="143">
        <v>31</v>
      </c>
      <c r="H56" s="464" t="s">
        <v>114</v>
      </c>
      <c r="I56" s="464"/>
      <c r="J56" s="464"/>
      <c r="K56" s="464"/>
      <c r="L56" s="144">
        <v>50</v>
      </c>
      <c r="O56"/>
      <c r="P56"/>
    </row>
    <row r="57" spans="1:16" ht="13.5" customHeight="1">
      <c r="A57" s="418" t="s">
        <v>113</v>
      </c>
      <c r="B57" s="419"/>
      <c r="C57" s="234">
        <v>33</v>
      </c>
      <c r="D57" s="420" t="s">
        <v>113</v>
      </c>
      <c r="E57" s="420"/>
      <c r="F57" s="420"/>
      <c r="G57" s="143">
        <v>65</v>
      </c>
      <c r="H57" s="464" t="s">
        <v>113</v>
      </c>
      <c r="I57" s="464"/>
      <c r="J57" s="464"/>
      <c r="K57" s="464"/>
      <c r="L57" s="144">
        <v>50</v>
      </c>
      <c r="O57"/>
      <c r="P57"/>
    </row>
    <row r="58" spans="1:16" ht="13.5" customHeight="1">
      <c r="A58" s="418" t="s">
        <v>115</v>
      </c>
      <c r="B58" s="419"/>
      <c r="C58" s="235">
        <v>39</v>
      </c>
      <c r="D58" s="420" t="s">
        <v>115</v>
      </c>
      <c r="E58" s="420"/>
      <c r="F58" s="420"/>
      <c r="G58" s="145"/>
      <c r="H58" s="553" t="s">
        <v>160</v>
      </c>
      <c r="I58" s="554"/>
      <c r="J58" s="554"/>
      <c r="K58" s="555"/>
      <c r="L58" s="146">
        <v>60</v>
      </c>
      <c r="O58"/>
      <c r="P58"/>
    </row>
    <row r="59" spans="1:16" ht="13.5" customHeight="1">
      <c r="A59" s="418" t="s">
        <v>162</v>
      </c>
      <c r="B59" s="419"/>
      <c r="C59" s="235">
        <v>13</v>
      </c>
      <c r="D59" s="420" t="s">
        <v>112</v>
      </c>
      <c r="E59" s="420"/>
      <c r="F59" s="420"/>
      <c r="G59" s="145">
        <v>30</v>
      </c>
      <c r="H59" s="553" t="s">
        <v>161</v>
      </c>
      <c r="I59" s="554"/>
      <c r="J59" s="554"/>
      <c r="K59" s="555"/>
      <c r="L59" s="146">
        <v>95</v>
      </c>
      <c r="O59"/>
      <c r="P59"/>
    </row>
    <row r="60" spans="1:16" ht="13.5" customHeight="1">
      <c r="A60" s="418" t="s">
        <v>160</v>
      </c>
      <c r="B60" s="518"/>
      <c r="C60" s="234">
        <v>79</v>
      </c>
      <c r="D60" s="420" t="s">
        <v>160</v>
      </c>
      <c r="E60" s="420"/>
      <c r="F60" s="420"/>
      <c r="G60" s="143">
        <v>56</v>
      </c>
      <c r="H60" s="553"/>
      <c r="I60" s="554"/>
      <c r="J60" s="554"/>
      <c r="K60" s="555"/>
      <c r="L60" s="144"/>
      <c r="O60"/>
      <c r="P60"/>
    </row>
    <row r="61" spans="1:16" ht="13.5" thickBot="1">
      <c r="A61" s="511" t="s">
        <v>161</v>
      </c>
      <c r="B61" s="512"/>
      <c r="C61" s="236">
        <v>30</v>
      </c>
      <c r="D61" s="513" t="s">
        <v>161</v>
      </c>
      <c r="E61" s="513"/>
      <c r="F61" s="513"/>
      <c r="G61" s="147">
        <v>37</v>
      </c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332</v>
      </c>
      <c r="D62" s="517" t="s">
        <v>3</v>
      </c>
      <c r="E62" s="517"/>
      <c r="F62" s="517"/>
      <c r="G62" s="149">
        <f>SUM(G54:G61)</f>
        <v>470</v>
      </c>
      <c r="H62" s="452" t="s">
        <v>3</v>
      </c>
      <c r="I62" s="452"/>
      <c r="J62" s="452"/>
      <c r="K62" s="452"/>
      <c r="L62" s="141">
        <f>SUM(L54:L61)</f>
        <v>400</v>
      </c>
      <c r="M62" s="20"/>
      <c r="N62" s="20"/>
      <c r="O62"/>
      <c r="P62"/>
    </row>
    <row r="63" spans="1:15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" t="s">
        <v>99</v>
      </c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30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107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12</v>
      </c>
      <c r="C68" s="478" t="s">
        <v>511</v>
      </c>
      <c r="D68" s="478"/>
      <c r="E68" s="65">
        <v>10</v>
      </c>
      <c r="F68" s="486" t="s">
        <v>127</v>
      </c>
      <c r="G68" s="479"/>
      <c r="H68" s="57">
        <v>29.72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15</v>
      </c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 t="s">
        <v>518</v>
      </c>
      <c r="B70" s="67">
        <v>60</v>
      </c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117</v>
      </c>
      <c r="C71" s="473" t="s">
        <v>3</v>
      </c>
      <c r="D71" s="473"/>
      <c r="E71" s="70">
        <f>SUM(E67:E70)</f>
        <v>10</v>
      </c>
      <c r="F71" s="474" t="s">
        <v>3</v>
      </c>
      <c r="G71" s="475"/>
      <c r="H71" s="66">
        <f>SUM(H67:H70)</f>
        <v>136.72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107</v>
      </c>
      <c r="C72" s="22"/>
      <c r="D72" s="22"/>
      <c r="E72" s="22"/>
      <c r="F72" s="476" t="s">
        <v>212</v>
      </c>
      <c r="G72" s="477"/>
      <c r="H72" s="80">
        <f>H71-L71</f>
        <v>136.72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7790</v>
      </c>
      <c r="B80" s="30">
        <v>5107</v>
      </c>
      <c r="C80" s="73">
        <f>SUM(D80:I80)</f>
        <v>197</v>
      </c>
      <c r="D80" s="74">
        <v>83</v>
      </c>
      <c r="E80" s="74">
        <v>49</v>
      </c>
      <c r="F80" s="74">
        <v>0</v>
      </c>
      <c r="G80" s="74">
        <v>20</v>
      </c>
      <c r="H80" s="73">
        <v>4</v>
      </c>
      <c r="I80" s="81">
        <v>41</v>
      </c>
      <c r="J80" s="31">
        <f>SUM(A80-B80-C80)</f>
        <v>2486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1213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1151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73</v>
      </c>
      <c r="C86" s="43">
        <v>72</v>
      </c>
      <c r="D86" s="44">
        <v>2</v>
      </c>
      <c r="E86" s="44">
        <v>10</v>
      </c>
      <c r="F86" s="45">
        <f>C86+D86-E86</f>
        <v>64</v>
      </c>
      <c r="G86" s="46">
        <v>64</v>
      </c>
      <c r="H86" s="198">
        <f>+G86-F86</f>
        <v>0</v>
      </c>
      <c r="I86" s="43">
        <v>64</v>
      </c>
      <c r="J86" s="44">
        <v>7</v>
      </c>
      <c r="K86" s="44">
        <v>0</v>
      </c>
      <c r="L86" s="45">
        <f>I86+J86-K86</f>
        <v>71</v>
      </c>
    </row>
    <row r="87" spans="1:12" s="1" customFormat="1" ht="12.75">
      <c r="A87" s="41" t="s">
        <v>73</v>
      </c>
      <c r="B87" s="42">
        <v>30</v>
      </c>
      <c r="C87" s="43">
        <v>30</v>
      </c>
      <c r="D87" s="44">
        <v>87</v>
      </c>
      <c r="E87" s="44">
        <v>10</v>
      </c>
      <c r="F87" s="45">
        <f>C87+D87-E87</f>
        <v>107</v>
      </c>
      <c r="G87" s="46">
        <v>108</v>
      </c>
      <c r="H87" s="198">
        <f>+G87-F87</f>
        <v>1</v>
      </c>
      <c r="I87" s="395">
        <v>107</v>
      </c>
      <c r="J87" s="396">
        <v>29.72</v>
      </c>
      <c r="K87" s="396">
        <v>0</v>
      </c>
      <c r="L87" s="397">
        <f>I87+J87-K87</f>
        <v>136.72</v>
      </c>
    </row>
    <row r="88" spans="1:12" s="1" customFormat="1" ht="12.75">
      <c r="A88" s="41" t="s">
        <v>96</v>
      </c>
      <c r="B88" s="42">
        <v>71</v>
      </c>
      <c r="C88" s="43">
        <v>71</v>
      </c>
      <c r="D88" s="44">
        <v>194</v>
      </c>
      <c r="E88" s="44">
        <v>131</v>
      </c>
      <c r="F88" s="45">
        <f>C88+D88-E88</f>
        <v>134</v>
      </c>
      <c r="G88" s="46">
        <v>135</v>
      </c>
      <c r="H88" s="198">
        <f>+G88-F88</f>
        <v>1</v>
      </c>
      <c r="I88" s="206">
        <v>134</v>
      </c>
      <c r="J88" s="196">
        <v>197</v>
      </c>
      <c r="K88" s="196">
        <v>235</v>
      </c>
      <c r="L88" s="45">
        <f>I88+J88-K88</f>
        <v>96</v>
      </c>
    </row>
    <row r="89" spans="1:12" s="1" customFormat="1" ht="12.75">
      <c r="A89" s="41" t="s">
        <v>74</v>
      </c>
      <c r="B89" s="42">
        <v>1039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844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274</v>
      </c>
      <c r="C90" s="49">
        <v>281</v>
      </c>
      <c r="D90" s="50">
        <v>146</v>
      </c>
      <c r="E90" s="50">
        <v>144</v>
      </c>
      <c r="F90" s="51">
        <f>C90+D90-E90</f>
        <v>283</v>
      </c>
      <c r="G90" s="52">
        <v>272</v>
      </c>
      <c r="H90" s="199">
        <f>+G90-F90</f>
        <v>-11</v>
      </c>
      <c r="I90" s="49">
        <v>283</v>
      </c>
      <c r="J90" s="50">
        <v>176</v>
      </c>
      <c r="K90" s="50">
        <v>200</v>
      </c>
      <c r="L90" s="51">
        <f>I90+J90-K90</f>
        <v>259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216</v>
      </c>
      <c r="C96" s="159">
        <v>146</v>
      </c>
      <c r="D96" s="159">
        <v>23</v>
      </c>
      <c r="E96" s="159">
        <v>0</v>
      </c>
      <c r="F96" s="159">
        <v>21</v>
      </c>
      <c r="G96" s="158">
        <v>26</v>
      </c>
      <c r="H96" s="160">
        <f>SUM(C96:G96)</f>
        <v>216</v>
      </c>
      <c r="I96" s="27"/>
      <c r="J96" s="161">
        <v>2006</v>
      </c>
      <c r="K96" s="162">
        <v>7252</v>
      </c>
      <c r="L96" s="163">
        <f>+G29</f>
        <v>7301</v>
      </c>
    </row>
    <row r="97" spans="1:12" ht="13.5" thickBot="1">
      <c r="A97" s="164" t="s">
        <v>83</v>
      </c>
      <c r="B97" s="165">
        <v>1153</v>
      </c>
      <c r="C97" s="166">
        <v>1153</v>
      </c>
      <c r="D97" s="166">
        <v>0</v>
      </c>
      <c r="E97" s="166">
        <v>0</v>
      </c>
      <c r="F97" s="166">
        <v>0</v>
      </c>
      <c r="G97" s="165">
        <v>0</v>
      </c>
      <c r="H97" s="167">
        <f>SUM(C97:G97)</f>
        <v>1153</v>
      </c>
      <c r="I97" s="27"/>
      <c r="J97" s="168">
        <v>2007</v>
      </c>
      <c r="K97" s="169">
        <f>L29</f>
        <v>8982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3.27</v>
      </c>
      <c r="C102" s="175">
        <v>3.27</v>
      </c>
      <c r="D102" s="175">
        <f aca="true" t="shared" si="14" ref="D102:D112">+C102-B102</f>
        <v>0</v>
      </c>
      <c r="E102" s="175">
        <v>3.27</v>
      </c>
      <c r="F102" s="175">
        <v>3.27</v>
      </c>
      <c r="G102" s="176">
        <f aca="true" t="shared" si="15" ref="G102:G112">+F102-E102</f>
        <v>0</v>
      </c>
      <c r="H102" s="177">
        <v>18460</v>
      </c>
      <c r="I102" s="178">
        <v>20744</v>
      </c>
      <c r="J102" s="179">
        <f aca="true" t="shared" si="16" ref="J102:J112">+I102-H102</f>
        <v>2284</v>
      </c>
    </row>
    <row r="103" spans="1:10" ht="12.75">
      <c r="A103" s="174" t="s">
        <v>85</v>
      </c>
      <c r="B103" s="175">
        <v>6</v>
      </c>
      <c r="C103" s="175">
        <v>6</v>
      </c>
      <c r="D103" s="175">
        <f t="shared" si="14"/>
        <v>0</v>
      </c>
      <c r="E103" s="175">
        <v>6</v>
      </c>
      <c r="F103" s="175">
        <v>6</v>
      </c>
      <c r="G103" s="176">
        <f t="shared" si="15"/>
        <v>0</v>
      </c>
      <c r="H103" s="177">
        <v>17212</v>
      </c>
      <c r="I103" s="180">
        <v>20293</v>
      </c>
      <c r="J103" s="179">
        <f t="shared" si="16"/>
        <v>3081</v>
      </c>
    </row>
    <row r="104" spans="1:10" ht="12.75">
      <c r="A104" s="174" t="s">
        <v>52</v>
      </c>
      <c r="B104" s="175"/>
      <c r="C104" s="175"/>
      <c r="D104" s="175">
        <f t="shared" si="14"/>
        <v>0</v>
      </c>
      <c r="E104" s="175"/>
      <c r="F104" s="175"/>
      <c r="G104" s="176">
        <f t="shared" si="15"/>
        <v>0</v>
      </c>
      <c r="H104" s="177"/>
      <c r="I104" s="180"/>
      <c r="J104" s="179">
        <f t="shared" si="16"/>
        <v>0</v>
      </c>
    </row>
    <row r="105" spans="1:10" ht="12.75">
      <c r="A105" s="174" t="s">
        <v>327</v>
      </c>
      <c r="B105" s="175">
        <v>6</v>
      </c>
      <c r="C105" s="175">
        <v>6</v>
      </c>
      <c r="D105" s="175">
        <f t="shared" si="14"/>
        <v>0</v>
      </c>
      <c r="E105" s="175">
        <v>6</v>
      </c>
      <c r="F105" s="175">
        <v>6</v>
      </c>
      <c r="G105" s="176">
        <f t="shared" si="15"/>
        <v>0</v>
      </c>
      <c r="H105" s="177">
        <v>12120</v>
      </c>
      <c r="I105" s="180">
        <v>12969</v>
      </c>
      <c r="J105" s="179">
        <f t="shared" si="16"/>
        <v>849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>
        <v>4</v>
      </c>
      <c r="C107" s="175">
        <v>3</v>
      </c>
      <c r="D107" s="175">
        <f t="shared" si="14"/>
        <v>-1</v>
      </c>
      <c r="E107" s="175">
        <v>3</v>
      </c>
      <c r="F107" s="175">
        <v>3</v>
      </c>
      <c r="G107" s="176">
        <f t="shared" si="15"/>
        <v>0</v>
      </c>
      <c r="H107" s="177">
        <v>15682</v>
      </c>
      <c r="I107" s="180">
        <v>16729</v>
      </c>
      <c r="J107" s="179">
        <f t="shared" si="16"/>
        <v>1047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12</v>
      </c>
      <c r="C109" s="175">
        <v>14</v>
      </c>
      <c r="D109" s="175">
        <f t="shared" si="14"/>
        <v>2</v>
      </c>
      <c r="E109" s="175">
        <v>14</v>
      </c>
      <c r="F109" s="175">
        <v>14</v>
      </c>
      <c r="G109" s="176">
        <f t="shared" si="15"/>
        <v>0</v>
      </c>
      <c r="H109" s="177">
        <v>12944</v>
      </c>
      <c r="I109" s="180">
        <v>13068</v>
      </c>
      <c r="J109" s="179">
        <f t="shared" si="16"/>
        <v>124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4"/>
        <v>0</v>
      </c>
      <c r="E110" s="175">
        <v>1</v>
      </c>
      <c r="F110" s="175">
        <v>1</v>
      </c>
      <c r="G110" s="176">
        <f t="shared" si="15"/>
        <v>0</v>
      </c>
      <c r="H110" s="177">
        <v>13879</v>
      </c>
      <c r="I110" s="180">
        <v>15750</v>
      </c>
      <c r="J110" s="179">
        <f t="shared" si="16"/>
        <v>1871</v>
      </c>
    </row>
    <row r="111" spans="1:10" ht="12.75">
      <c r="A111" s="174" t="s">
        <v>58</v>
      </c>
      <c r="B111" s="175">
        <v>10.3</v>
      </c>
      <c r="C111" s="175">
        <v>10.3</v>
      </c>
      <c r="D111" s="175">
        <f t="shared" si="14"/>
        <v>0</v>
      </c>
      <c r="E111" s="175">
        <v>10.3</v>
      </c>
      <c r="F111" s="175">
        <v>10.3</v>
      </c>
      <c r="G111" s="176">
        <f t="shared" si="15"/>
        <v>0</v>
      </c>
      <c r="H111" s="177">
        <v>10574</v>
      </c>
      <c r="I111" s="180">
        <v>12207</v>
      </c>
      <c r="J111" s="179">
        <f t="shared" si="16"/>
        <v>1633</v>
      </c>
    </row>
    <row r="112" spans="1:10" ht="13.5" thickBot="1">
      <c r="A112" s="181" t="s">
        <v>3</v>
      </c>
      <c r="B112" s="182">
        <f>SUM(B102:B111)</f>
        <v>42.56999999999999</v>
      </c>
      <c r="C112" s="182">
        <f>SUM(C102:C111)</f>
        <v>43.56999999999999</v>
      </c>
      <c r="D112" s="182">
        <f t="shared" si="14"/>
        <v>1</v>
      </c>
      <c r="E112" s="182">
        <f>SUM(E102:E111)</f>
        <v>43.56999999999999</v>
      </c>
      <c r="F112" s="182">
        <f>SUM(F102:F111)</f>
        <v>43.56999999999999</v>
      </c>
      <c r="G112" s="183">
        <f t="shared" si="15"/>
        <v>0</v>
      </c>
      <c r="H112" s="184">
        <v>13602</v>
      </c>
      <c r="I112" s="185">
        <v>14735</v>
      </c>
      <c r="J112" s="186">
        <f t="shared" si="16"/>
        <v>1133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45</v>
      </c>
      <c r="C116" s="163">
        <v>43.57</v>
      </c>
      <c r="D116" s="27"/>
      <c r="E116" s="161">
        <v>2006</v>
      </c>
      <c r="F116" s="416">
        <v>68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48</v>
      </c>
      <c r="C117" s="369" t="s">
        <v>508</v>
      </c>
      <c r="D117" s="27"/>
      <c r="E117" s="168">
        <v>2007</v>
      </c>
      <c r="F117" s="417">
        <v>68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J94:L94"/>
    <mergeCell ref="A100:A101"/>
    <mergeCell ref="B100:D100"/>
    <mergeCell ref="E100:G100"/>
    <mergeCell ref="H100:J100"/>
    <mergeCell ref="A94:A95"/>
    <mergeCell ref="B94:B95"/>
    <mergeCell ref="C94:H94"/>
    <mergeCell ref="B4:D4"/>
    <mergeCell ref="E4:G4"/>
    <mergeCell ref="J4:L4"/>
    <mergeCell ref="A3:A6"/>
    <mergeCell ref="B3:N3"/>
    <mergeCell ref="H4:I4"/>
    <mergeCell ref="M4:N4"/>
    <mergeCell ref="H83:H84"/>
    <mergeCell ref="I83:L83"/>
    <mergeCell ref="A83:A84"/>
    <mergeCell ref="B83:B84"/>
    <mergeCell ref="C83:F83"/>
    <mergeCell ref="G83:G84"/>
    <mergeCell ref="C77:I77"/>
    <mergeCell ref="J77:J79"/>
    <mergeCell ref="L77:M77"/>
    <mergeCell ref="C78:C79"/>
    <mergeCell ref="D78:I78"/>
    <mergeCell ref="A77:A79"/>
    <mergeCell ref="B77:B79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61:B61"/>
    <mergeCell ref="D61:F61"/>
    <mergeCell ref="H58:K58"/>
    <mergeCell ref="A62:B62"/>
    <mergeCell ref="D62:F62"/>
    <mergeCell ref="H62:K62"/>
    <mergeCell ref="H60:K60"/>
    <mergeCell ref="H61:K61"/>
    <mergeCell ref="A59:B59"/>
    <mergeCell ref="D59:F59"/>
    <mergeCell ref="H59:K59"/>
    <mergeCell ref="A60:B60"/>
    <mergeCell ref="D60:F60"/>
    <mergeCell ref="H57:K57"/>
    <mergeCell ref="A57:B57"/>
    <mergeCell ref="D57:F57"/>
    <mergeCell ref="A58:B58"/>
    <mergeCell ref="D58:F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2:B53"/>
    <mergeCell ref="C52:C53"/>
    <mergeCell ref="D52:F53"/>
    <mergeCell ref="G52:G53"/>
    <mergeCell ref="A50:B50"/>
    <mergeCell ref="D50:F50"/>
    <mergeCell ref="H50:K50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B38:D38"/>
    <mergeCell ref="E38:G38"/>
    <mergeCell ref="J38:L38"/>
    <mergeCell ref="B39:D39"/>
    <mergeCell ref="E39:G39"/>
    <mergeCell ref="L41:L42"/>
    <mergeCell ref="A43:B43"/>
    <mergeCell ref="D43:F43"/>
    <mergeCell ref="H43:K43"/>
    <mergeCell ref="A41:B42"/>
    <mergeCell ref="C41:C42"/>
    <mergeCell ref="D41:F42"/>
    <mergeCell ref="G41:G42"/>
    <mergeCell ref="H41:K4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Normal="90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346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/>
      <c r="C7" s="188"/>
      <c r="D7" s="191">
        <f aca="true" t="shared" si="0" ref="D7:D15">SUM(B7:C7)</f>
        <v>0</v>
      </c>
      <c r="E7" s="187"/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/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6176</v>
      </c>
      <c r="C8" s="14"/>
      <c r="D8" s="192">
        <f t="shared" si="0"/>
        <v>6176</v>
      </c>
      <c r="E8" s="15">
        <v>5193</v>
      </c>
      <c r="F8" s="14"/>
      <c r="G8" s="192">
        <f t="shared" si="1"/>
        <v>5193</v>
      </c>
      <c r="H8" s="220">
        <f t="shared" si="2"/>
        <v>-983</v>
      </c>
      <c r="I8" s="223">
        <f aca="true" t="shared" si="5" ref="I8:I21">+G8/D8</f>
        <v>0.8408354922279793</v>
      </c>
      <c r="J8" s="15">
        <f>8776+723</f>
        <v>9499</v>
      </c>
      <c r="K8" s="14"/>
      <c r="L8" s="192">
        <f t="shared" si="3"/>
        <v>9499</v>
      </c>
      <c r="M8" s="220">
        <f t="shared" si="4"/>
        <v>4306</v>
      </c>
      <c r="N8" s="221">
        <f aca="true" t="shared" si="6" ref="N8:N21">+L8/G8</f>
        <v>1.8291931446177547</v>
      </c>
    </row>
    <row r="9" spans="1:14" ht="13.5" customHeight="1">
      <c r="A9" s="229" t="s">
        <v>10</v>
      </c>
      <c r="B9" s="15"/>
      <c r="C9" s="14"/>
      <c r="D9" s="192">
        <f t="shared" si="0"/>
        <v>0</v>
      </c>
      <c r="E9" s="15"/>
      <c r="F9" s="14"/>
      <c r="G9" s="192">
        <f t="shared" si="1"/>
        <v>0</v>
      </c>
      <c r="H9" s="220">
        <f t="shared" si="2"/>
        <v>0</v>
      </c>
      <c r="I9" s="223"/>
      <c r="J9" s="15"/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/>
      <c r="C10" s="14"/>
      <c r="D10" s="192">
        <f t="shared" si="0"/>
        <v>0</v>
      </c>
      <c r="E10" s="15"/>
      <c r="F10" s="14"/>
      <c r="G10" s="192">
        <f t="shared" si="1"/>
        <v>0</v>
      </c>
      <c r="H10" s="220">
        <f t="shared" si="2"/>
        <v>0</v>
      </c>
      <c r="I10" s="223"/>
      <c r="J10" s="15"/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15</v>
      </c>
      <c r="C11" s="14"/>
      <c r="D11" s="192">
        <f t="shared" si="0"/>
        <v>15</v>
      </c>
      <c r="E11" s="15">
        <v>15</v>
      </c>
      <c r="F11" s="14"/>
      <c r="G11" s="192">
        <f t="shared" si="1"/>
        <v>15</v>
      </c>
      <c r="H11" s="220">
        <f t="shared" si="2"/>
        <v>0</v>
      </c>
      <c r="I11" s="223">
        <f t="shared" si="5"/>
        <v>1</v>
      </c>
      <c r="J11" s="15">
        <v>34</v>
      </c>
      <c r="K11" s="14"/>
      <c r="L11" s="192">
        <f t="shared" si="3"/>
        <v>34</v>
      </c>
      <c r="M11" s="220">
        <f t="shared" si="4"/>
        <v>19</v>
      </c>
      <c r="N11" s="221">
        <f t="shared" si="6"/>
        <v>2.2666666666666666</v>
      </c>
    </row>
    <row r="12" spans="1:14" ht="13.5" customHeight="1">
      <c r="A12" s="230" t="s">
        <v>13</v>
      </c>
      <c r="B12" s="15"/>
      <c r="C12" s="14"/>
      <c r="D12" s="192">
        <f t="shared" si="0"/>
        <v>0</v>
      </c>
      <c r="E12" s="15"/>
      <c r="F12" s="14"/>
      <c r="G12" s="192">
        <f t="shared" si="1"/>
        <v>0</v>
      </c>
      <c r="H12" s="220">
        <f t="shared" si="2"/>
        <v>0</v>
      </c>
      <c r="I12" s="223"/>
      <c r="J12" s="15"/>
      <c r="K12" s="14"/>
      <c r="L12" s="192">
        <f t="shared" si="3"/>
        <v>0</v>
      </c>
      <c r="M12" s="220">
        <f t="shared" si="4"/>
        <v>0</v>
      </c>
      <c r="N12" s="221"/>
    </row>
    <row r="13" spans="1:14" ht="13.5" customHeight="1">
      <c r="A13" s="230" t="s">
        <v>14</v>
      </c>
      <c r="B13" s="15"/>
      <c r="C13" s="14"/>
      <c r="D13" s="192">
        <f t="shared" si="0"/>
        <v>0</v>
      </c>
      <c r="E13" s="15"/>
      <c r="F13" s="14"/>
      <c r="G13" s="192">
        <f t="shared" si="1"/>
        <v>0</v>
      </c>
      <c r="H13" s="220">
        <f t="shared" si="2"/>
        <v>0</v>
      </c>
      <c r="I13" s="223"/>
      <c r="J13" s="15"/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/>
      <c r="F14" s="14"/>
      <c r="G14" s="192">
        <f t="shared" si="1"/>
        <v>0</v>
      </c>
      <c r="H14" s="220">
        <f t="shared" si="2"/>
        <v>0</v>
      </c>
      <c r="I14" s="223"/>
      <c r="J14" s="15"/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10323</v>
      </c>
      <c r="C15" s="14">
        <f>SUM(C16:C17)</f>
        <v>0</v>
      </c>
      <c r="D15" s="192">
        <f t="shared" si="0"/>
        <v>10323</v>
      </c>
      <c r="E15" s="15">
        <v>11321</v>
      </c>
      <c r="F15" s="14">
        <f>SUM(F16:F17)</f>
        <v>0</v>
      </c>
      <c r="G15" s="192">
        <f t="shared" si="1"/>
        <v>11321</v>
      </c>
      <c r="H15" s="220">
        <f t="shared" si="2"/>
        <v>998</v>
      </c>
      <c r="I15" s="223">
        <f t="shared" si="5"/>
        <v>1.096677322483774</v>
      </c>
      <c r="J15" s="17">
        <f>SUM(J16:J17)</f>
        <v>8439</v>
      </c>
      <c r="K15" s="17">
        <f>SUM(K16:K17)</f>
        <v>0</v>
      </c>
      <c r="L15" s="192">
        <f t="shared" si="3"/>
        <v>8439</v>
      </c>
      <c r="M15" s="220">
        <f t="shared" si="4"/>
        <v>-2882</v>
      </c>
      <c r="N15" s="221">
        <f t="shared" si="6"/>
        <v>0.7454288490416041</v>
      </c>
    </row>
    <row r="16" spans="1:14" ht="13.5" customHeight="1">
      <c r="A16" s="231" t="s">
        <v>219</v>
      </c>
      <c r="B16" s="15">
        <v>10323</v>
      </c>
      <c r="C16" s="14"/>
      <c r="D16" s="192">
        <v>10323</v>
      </c>
      <c r="E16" s="15">
        <v>11321</v>
      </c>
      <c r="F16" s="14"/>
      <c r="G16" s="192">
        <f t="shared" si="1"/>
        <v>11321</v>
      </c>
      <c r="H16" s="220">
        <f t="shared" si="2"/>
        <v>998</v>
      </c>
      <c r="I16" s="223">
        <f t="shared" si="5"/>
        <v>1.096677322483774</v>
      </c>
      <c r="J16" s="17">
        <f>1361-681</f>
        <v>680</v>
      </c>
      <c r="K16" s="14"/>
      <c r="L16" s="192">
        <f t="shared" si="3"/>
        <v>680</v>
      </c>
      <c r="M16" s="220">
        <f t="shared" si="4"/>
        <v>-10641</v>
      </c>
      <c r="N16" s="221">
        <f t="shared" si="6"/>
        <v>0.060065365250419576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7759</v>
      </c>
      <c r="K17" s="190"/>
      <c r="L17" s="193">
        <f t="shared" si="3"/>
        <v>7759</v>
      </c>
      <c r="M17" s="366">
        <f t="shared" si="4"/>
        <v>7759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16514</v>
      </c>
      <c r="C18" s="214">
        <f t="shared" si="7"/>
        <v>0</v>
      </c>
      <c r="D18" s="215">
        <f t="shared" si="7"/>
        <v>16514</v>
      </c>
      <c r="E18" s="213">
        <f t="shared" si="7"/>
        <v>16529</v>
      </c>
      <c r="F18" s="214">
        <f t="shared" si="7"/>
        <v>0</v>
      </c>
      <c r="G18" s="215">
        <f t="shared" si="7"/>
        <v>16529</v>
      </c>
      <c r="H18" s="217">
        <f t="shared" si="2"/>
        <v>15</v>
      </c>
      <c r="I18" s="132">
        <f t="shared" si="5"/>
        <v>1.0009083202131526</v>
      </c>
      <c r="J18" s="225">
        <f>SUM(J7+J8+J9+J10+J11+J13+J15)</f>
        <v>17972</v>
      </c>
      <c r="K18" s="214">
        <f>SUM(K7+K8+K9+K10+K11+K13+K15)</f>
        <v>0</v>
      </c>
      <c r="L18" s="215">
        <f>SUM(L7+L8+L9+L10+L11+L13+L15)</f>
        <v>17972</v>
      </c>
      <c r="M18" s="217">
        <f t="shared" si="4"/>
        <v>1443</v>
      </c>
      <c r="N18" s="226">
        <f t="shared" si="6"/>
        <v>1.0873011071450178</v>
      </c>
    </row>
    <row r="19" spans="1:14" ht="13.5" customHeight="1">
      <c r="A19" s="120" t="s">
        <v>18</v>
      </c>
      <c r="B19" s="95">
        <v>3186</v>
      </c>
      <c r="C19" s="96"/>
      <c r="D19" s="97">
        <f aca="true" t="shared" si="8" ref="D19:D36">SUM(B19:C19)</f>
        <v>3186</v>
      </c>
      <c r="E19" s="95">
        <v>2247</v>
      </c>
      <c r="F19" s="96"/>
      <c r="G19" s="121">
        <f aca="true" t="shared" si="9" ref="G19:G36">SUM(E19:F19)</f>
        <v>2247</v>
      </c>
      <c r="H19" s="122">
        <f t="shared" si="2"/>
        <v>-939</v>
      </c>
      <c r="I19" s="123">
        <f t="shared" si="5"/>
        <v>0.7052730696798494</v>
      </c>
      <c r="J19" s="100">
        <f>3067-481</f>
        <v>2586</v>
      </c>
      <c r="K19" s="96"/>
      <c r="L19" s="124">
        <f aca="true" t="shared" si="10" ref="L19:L36">SUM(J19:K19)</f>
        <v>2586</v>
      </c>
      <c r="M19" s="122">
        <f t="shared" si="4"/>
        <v>339</v>
      </c>
      <c r="N19" s="125">
        <f t="shared" si="6"/>
        <v>1.15086782376502</v>
      </c>
    </row>
    <row r="20" spans="1:14" ht="21" customHeight="1">
      <c r="A20" s="106" t="s">
        <v>19</v>
      </c>
      <c r="B20" s="95">
        <v>578</v>
      </c>
      <c r="C20" s="96"/>
      <c r="D20" s="97">
        <f t="shared" si="8"/>
        <v>578</v>
      </c>
      <c r="E20" s="95">
        <v>330</v>
      </c>
      <c r="F20" s="96"/>
      <c r="G20" s="121">
        <f t="shared" si="9"/>
        <v>330</v>
      </c>
      <c r="H20" s="98">
        <f t="shared" si="2"/>
        <v>-248</v>
      </c>
      <c r="I20" s="99">
        <f t="shared" si="5"/>
        <v>0.5709342560553633</v>
      </c>
      <c r="J20" s="100">
        <v>200</v>
      </c>
      <c r="K20" s="96"/>
      <c r="L20" s="124">
        <f t="shared" si="10"/>
        <v>200</v>
      </c>
      <c r="M20" s="98">
        <f t="shared" si="4"/>
        <v>-130</v>
      </c>
      <c r="N20" s="101">
        <f t="shared" si="6"/>
        <v>0.6060606060606061</v>
      </c>
    </row>
    <row r="21" spans="1:14" ht="13.5" customHeight="1">
      <c r="A21" s="102" t="s">
        <v>20</v>
      </c>
      <c r="B21" s="103">
        <v>947</v>
      </c>
      <c r="C21" s="104"/>
      <c r="D21" s="97">
        <f t="shared" si="8"/>
        <v>947</v>
      </c>
      <c r="E21" s="103">
        <v>1005</v>
      </c>
      <c r="F21" s="104"/>
      <c r="G21" s="121">
        <f t="shared" si="9"/>
        <v>1005</v>
      </c>
      <c r="H21" s="98">
        <f t="shared" si="2"/>
        <v>58</v>
      </c>
      <c r="I21" s="99">
        <f t="shared" si="5"/>
        <v>1.0612460401267159</v>
      </c>
      <c r="J21" s="105">
        <f>1300-200</f>
        <v>1100</v>
      </c>
      <c r="K21" s="104"/>
      <c r="L21" s="124">
        <f t="shared" si="10"/>
        <v>1100</v>
      </c>
      <c r="M21" s="98">
        <f t="shared" si="4"/>
        <v>95</v>
      </c>
      <c r="N21" s="101">
        <f t="shared" si="6"/>
        <v>1.0945273631840795</v>
      </c>
    </row>
    <row r="22" spans="1:14" ht="13.5" customHeight="1">
      <c r="A22" s="106" t="s">
        <v>21</v>
      </c>
      <c r="B22" s="103"/>
      <c r="C22" s="104"/>
      <c r="D22" s="97">
        <f t="shared" si="8"/>
        <v>0</v>
      </c>
      <c r="E22" s="103"/>
      <c r="F22" s="104"/>
      <c r="G22" s="121">
        <f t="shared" si="9"/>
        <v>0</v>
      </c>
      <c r="H22" s="98">
        <f t="shared" si="2"/>
        <v>0</v>
      </c>
      <c r="I22" s="99"/>
      <c r="J22" s="105"/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/>
      <c r="C23" s="104"/>
      <c r="D23" s="97">
        <f t="shared" si="8"/>
        <v>0</v>
      </c>
      <c r="E23" s="103"/>
      <c r="F23" s="104"/>
      <c r="G23" s="121">
        <f t="shared" si="9"/>
        <v>0</v>
      </c>
      <c r="H23" s="98">
        <f t="shared" si="2"/>
        <v>0</v>
      </c>
      <c r="I23" s="99"/>
      <c r="J23" s="105"/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980</v>
      </c>
      <c r="C24" s="104"/>
      <c r="D24" s="97">
        <f t="shared" si="8"/>
        <v>980</v>
      </c>
      <c r="E24" s="105">
        <v>876</v>
      </c>
      <c r="F24" s="104"/>
      <c r="G24" s="121">
        <f t="shared" si="9"/>
        <v>876</v>
      </c>
      <c r="H24" s="98">
        <f t="shared" si="2"/>
        <v>-104</v>
      </c>
      <c r="I24" s="99">
        <f aca="true" t="shared" si="11" ref="I24:I37">+G24/D24</f>
        <v>0.8938775510204081</v>
      </c>
      <c r="J24" s="105">
        <f>SUM(J25:J26)</f>
        <v>1104</v>
      </c>
      <c r="K24" s="104"/>
      <c r="L24" s="124">
        <f t="shared" si="10"/>
        <v>1104</v>
      </c>
      <c r="M24" s="98">
        <f t="shared" si="4"/>
        <v>228</v>
      </c>
      <c r="N24" s="101">
        <f aca="true" t="shared" si="12" ref="N24:N37">+L24/G24</f>
        <v>1.2602739726027397</v>
      </c>
    </row>
    <row r="25" spans="1:14" ht="13.5" customHeight="1">
      <c r="A25" s="106" t="s">
        <v>24</v>
      </c>
      <c r="B25" s="103">
        <v>633</v>
      </c>
      <c r="C25" s="104"/>
      <c r="D25" s="97">
        <f t="shared" si="8"/>
        <v>633</v>
      </c>
      <c r="E25" s="103">
        <v>423</v>
      </c>
      <c r="F25" s="104"/>
      <c r="G25" s="121">
        <f t="shared" si="9"/>
        <v>423</v>
      </c>
      <c r="H25" s="98">
        <f t="shared" si="2"/>
        <v>-210</v>
      </c>
      <c r="I25" s="99">
        <f t="shared" si="11"/>
        <v>0.6682464454976303</v>
      </c>
      <c r="J25" s="105">
        <v>529</v>
      </c>
      <c r="K25" s="104"/>
      <c r="L25" s="124">
        <f t="shared" si="10"/>
        <v>529</v>
      </c>
      <c r="M25" s="98">
        <f t="shared" si="4"/>
        <v>106</v>
      </c>
      <c r="N25" s="101">
        <f t="shared" si="12"/>
        <v>1.2505910165484633</v>
      </c>
    </row>
    <row r="26" spans="1:14" ht="13.5" customHeight="1">
      <c r="A26" s="102" t="s">
        <v>25</v>
      </c>
      <c r="B26" s="103">
        <v>333</v>
      </c>
      <c r="C26" s="104"/>
      <c r="D26" s="97">
        <f t="shared" si="8"/>
        <v>333</v>
      </c>
      <c r="E26" s="103">
        <v>426</v>
      </c>
      <c r="F26" s="104"/>
      <c r="G26" s="121">
        <f t="shared" si="9"/>
        <v>426</v>
      </c>
      <c r="H26" s="98">
        <f t="shared" si="2"/>
        <v>93</v>
      </c>
      <c r="I26" s="99">
        <f t="shared" si="11"/>
        <v>1.2792792792792793</v>
      </c>
      <c r="J26" s="105">
        <f>370+114+91</f>
        <v>575</v>
      </c>
      <c r="K26" s="104"/>
      <c r="L26" s="124">
        <f t="shared" si="10"/>
        <v>575</v>
      </c>
      <c r="M26" s="98">
        <f t="shared" si="4"/>
        <v>149</v>
      </c>
      <c r="N26" s="101">
        <f t="shared" si="12"/>
        <v>1.3497652582159625</v>
      </c>
    </row>
    <row r="27" spans="1:14" ht="13.5" customHeight="1">
      <c r="A27" s="127" t="s">
        <v>26</v>
      </c>
      <c r="B27" s="105">
        <v>10864</v>
      </c>
      <c r="C27" s="104"/>
      <c r="D27" s="97">
        <f t="shared" si="8"/>
        <v>10864</v>
      </c>
      <c r="E27" s="105">
        <v>11795</v>
      </c>
      <c r="F27" s="104"/>
      <c r="G27" s="121">
        <f t="shared" si="9"/>
        <v>11795</v>
      </c>
      <c r="H27" s="98">
        <f t="shared" si="2"/>
        <v>931</v>
      </c>
      <c r="I27" s="99">
        <f t="shared" si="11"/>
        <v>1.0856958762886597</v>
      </c>
      <c r="J27" s="105">
        <f>J28+J31</f>
        <v>12552.083999999999</v>
      </c>
      <c r="K27" s="104"/>
      <c r="L27" s="124">
        <f t="shared" si="10"/>
        <v>12552.083999999999</v>
      </c>
      <c r="M27" s="98">
        <f t="shared" si="4"/>
        <v>757.0839999999989</v>
      </c>
      <c r="N27" s="101">
        <f t="shared" si="12"/>
        <v>1.0641868588384908</v>
      </c>
    </row>
    <row r="28" spans="1:14" ht="13.5" customHeight="1">
      <c r="A28" s="106" t="s">
        <v>27</v>
      </c>
      <c r="B28" s="103">
        <v>7934</v>
      </c>
      <c r="C28" s="104"/>
      <c r="D28" s="97">
        <f t="shared" si="8"/>
        <v>7934</v>
      </c>
      <c r="E28" s="103">
        <v>8617</v>
      </c>
      <c r="F28" s="104"/>
      <c r="G28" s="121">
        <f t="shared" si="9"/>
        <v>8617</v>
      </c>
      <c r="H28" s="98">
        <f t="shared" si="2"/>
        <v>683</v>
      </c>
      <c r="I28" s="99">
        <f t="shared" si="11"/>
        <v>1.086085202924124</v>
      </c>
      <c r="J28" s="126">
        <f>J29+J30</f>
        <v>9297.84</v>
      </c>
      <c r="K28" s="128"/>
      <c r="L28" s="124">
        <f t="shared" si="10"/>
        <v>9297.84</v>
      </c>
      <c r="M28" s="98">
        <f t="shared" si="4"/>
        <v>680.8400000000001</v>
      </c>
      <c r="N28" s="101">
        <f t="shared" si="12"/>
        <v>1.079011256817918</v>
      </c>
    </row>
    <row r="29" spans="1:14" ht="13.5" customHeight="1">
      <c r="A29" s="127" t="s">
        <v>28</v>
      </c>
      <c r="B29" s="103">
        <v>7923</v>
      </c>
      <c r="C29" s="104"/>
      <c r="D29" s="97">
        <f t="shared" si="8"/>
        <v>7923</v>
      </c>
      <c r="E29" s="103">
        <v>8583</v>
      </c>
      <c r="F29" s="104"/>
      <c r="G29" s="121">
        <f t="shared" si="9"/>
        <v>8583</v>
      </c>
      <c r="H29" s="98">
        <f t="shared" si="2"/>
        <v>660</v>
      </c>
      <c r="I29" s="99">
        <f t="shared" si="11"/>
        <v>1.0833017796289284</v>
      </c>
      <c r="J29" s="105">
        <f>8573*1.08</f>
        <v>9258.84</v>
      </c>
      <c r="K29" s="104"/>
      <c r="L29" s="124">
        <f t="shared" si="10"/>
        <v>9258.84</v>
      </c>
      <c r="M29" s="98">
        <f t="shared" si="4"/>
        <v>675.8400000000001</v>
      </c>
      <c r="N29" s="101">
        <f t="shared" si="12"/>
        <v>1.078741698706746</v>
      </c>
    </row>
    <row r="30" spans="1:14" ht="13.5" customHeight="1">
      <c r="A30" s="106" t="s">
        <v>29</v>
      </c>
      <c r="B30" s="103">
        <v>11</v>
      </c>
      <c r="C30" s="104"/>
      <c r="D30" s="97">
        <f t="shared" si="8"/>
        <v>11</v>
      </c>
      <c r="E30" s="103">
        <v>34</v>
      </c>
      <c r="F30" s="104"/>
      <c r="G30" s="121">
        <f t="shared" si="9"/>
        <v>34</v>
      </c>
      <c r="H30" s="98">
        <f t="shared" si="2"/>
        <v>23</v>
      </c>
      <c r="I30" s="99">
        <f t="shared" si="11"/>
        <v>3.090909090909091</v>
      </c>
      <c r="J30" s="105">
        <v>39</v>
      </c>
      <c r="K30" s="104"/>
      <c r="L30" s="124">
        <f t="shared" si="10"/>
        <v>39</v>
      </c>
      <c r="M30" s="98">
        <f t="shared" si="4"/>
        <v>5</v>
      </c>
      <c r="N30" s="101">
        <f t="shared" si="12"/>
        <v>1.1470588235294117</v>
      </c>
    </row>
    <row r="31" spans="1:14" ht="13.5" customHeight="1">
      <c r="A31" s="106" t="s">
        <v>30</v>
      </c>
      <c r="B31" s="103">
        <v>2930</v>
      </c>
      <c r="C31" s="104"/>
      <c r="D31" s="97">
        <f t="shared" si="8"/>
        <v>2930</v>
      </c>
      <c r="E31" s="103">
        <v>3178</v>
      </c>
      <c r="F31" s="104"/>
      <c r="G31" s="121">
        <f t="shared" si="9"/>
        <v>3178</v>
      </c>
      <c r="H31" s="98">
        <f t="shared" si="2"/>
        <v>248</v>
      </c>
      <c r="I31" s="99">
        <f t="shared" si="11"/>
        <v>1.084641638225256</v>
      </c>
      <c r="J31" s="105">
        <f>J28*0.35</f>
        <v>3254.2439999999997</v>
      </c>
      <c r="K31" s="104"/>
      <c r="L31" s="124">
        <f t="shared" si="10"/>
        <v>3254.2439999999997</v>
      </c>
      <c r="M31" s="98">
        <f t="shared" si="4"/>
        <v>76.24399999999969</v>
      </c>
      <c r="N31" s="101">
        <f t="shared" si="12"/>
        <v>1.0239911894273126</v>
      </c>
    </row>
    <row r="32" spans="1:14" ht="13.5" customHeight="1">
      <c r="A32" s="127" t="s">
        <v>31</v>
      </c>
      <c r="B32" s="103"/>
      <c r="C32" s="104"/>
      <c r="D32" s="97">
        <f t="shared" si="8"/>
        <v>0</v>
      </c>
      <c r="E32" s="103">
        <v>1</v>
      </c>
      <c r="F32" s="104"/>
      <c r="G32" s="121">
        <f t="shared" si="9"/>
        <v>1</v>
      </c>
      <c r="H32" s="98">
        <f t="shared" si="2"/>
        <v>1</v>
      </c>
      <c r="I32" s="99"/>
      <c r="J32" s="105"/>
      <c r="K32" s="104"/>
      <c r="L32" s="124">
        <f t="shared" si="10"/>
        <v>0</v>
      </c>
      <c r="M32" s="98">
        <f t="shared" si="4"/>
        <v>-1</v>
      </c>
      <c r="N32" s="101">
        <f t="shared" si="12"/>
        <v>0</v>
      </c>
    </row>
    <row r="33" spans="1:14" ht="13.5" customHeight="1">
      <c r="A33" s="127" t="s">
        <v>32</v>
      </c>
      <c r="B33" s="103">
        <v>87</v>
      </c>
      <c r="C33" s="104"/>
      <c r="D33" s="97">
        <f t="shared" si="8"/>
        <v>87</v>
      </c>
      <c r="E33" s="103">
        <v>96</v>
      </c>
      <c r="F33" s="104"/>
      <c r="G33" s="121">
        <f t="shared" si="9"/>
        <v>96</v>
      </c>
      <c r="H33" s="98">
        <f t="shared" si="2"/>
        <v>9</v>
      </c>
      <c r="I33" s="99">
        <f t="shared" si="11"/>
        <v>1.103448275862069</v>
      </c>
      <c r="J33" s="105">
        <v>90</v>
      </c>
      <c r="K33" s="104"/>
      <c r="L33" s="124">
        <f t="shared" si="10"/>
        <v>90</v>
      </c>
      <c r="M33" s="98">
        <f t="shared" si="4"/>
        <v>-6</v>
      </c>
      <c r="N33" s="101">
        <f t="shared" si="12"/>
        <v>0.9375</v>
      </c>
    </row>
    <row r="34" spans="1:14" ht="13.5" customHeight="1">
      <c r="A34" s="106" t="s">
        <v>33</v>
      </c>
      <c r="B34" s="103">
        <v>436</v>
      </c>
      <c r="C34" s="104"/>
      <c r="D34" s="97">
        <f t="shared" si="8"/>
        <v>436</v>
      </c>
      <c r="E34" s="103">
        <v>489</v>
      </c>
      <c r="F34" s="104"/>
      <c r="G34" s="121">
        <f t="shared" si="9"/>
        <v>489</v>
      </c>
      <c r="H34" s="98">
        <f t="shared" si="2"/>
        <v>53</v>
      </c>
      <c r="I34" s="99">
        <f t="shared" si="11"/>
        <v>1.121559633027523</v>
      </c>
      <c r="J34" s="126">
        <v>540</v>
      </c>
      <c r="K34" s="104"/>
      <c r="L34" s="124">
        <f t="shared" si="10"/>
        <v>540</v>
      </c>
      <c r="M34" s="98">
        <f t="shared" si="4"/>
        <v>51</v>
      </c>
      <c r="N34" s="101">
        <f t="shared" si="12"/>
        <v>1.1042944785276074</v>
      </c>
    </row>
    <row r="35" spans="1:14" ht="22.5" customHeight="1">
      <c r="A35" s="106" t="s">
        <v>34</v>
      </c>
      <c r="B35" s="103">
        <v>436</v>
      </c>
      <c r="C35" s="104"/>
      <c r="D35" s="97">
        <f t="shared" si="8"/>
        <v>436</v>
      </c>
      <c r="E35" s="103">
        <v>489</v>
      </c>
      <c r="F35" s="104"/>
      <c r="G35" s="121">
        <f t="shared" si="9"/>
        <v>489</v>
      </c>
      <c r="H35" s="98">
        <f t="shared" si="2"/>
        <v>53</v>
      </c>
      <c r="I35" s="99">
        <f t="shared" si="11"/>
        <v>1.121559633027523</v>
      </c>
      <c r="J35" s="126">
        <v>540</v>
      </c>
      <c r="K35" s="104"/>
      <c r="L35" s="124">
        <f t="shared" si="10"/>
        <v>540</v>
      </c>
      <c r="M35" s="98">
        <f t="shared" si="4"/>
        <v>51</v>
      </c>
      <c r="N35" s="101">
        <f t="shared" si="12"/>
        <v>1.1042944785276074</v>
      </c>
    </row>
    <row r="36" spans="1:14" ht="13.5" customHeight="1" thickBot="1">
      <c r="A36" s="129" t="s">
        <v>35</v>
      </c>
      <c r="B36" s="107"/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/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16500</v>
      </c>
      <c r="C37" s="114">
        <f t="shared" si="13"/>
        <v>0</v>
      </c>
      <c r="D37" s="115">
        <f t="shared" si="13"/>
        <v>16500</v>
      </c>
      <c r="E37" s="113">
        <f t="shared" si="13"/>
        <v>16509</v>
      </c>
      <c r="F37" s="114">
        <f t="shared" si="13"/>
        <v>0</v>
      </c>
      <c r="G37" s="115">
        <f t="shared" si="13"/>
        <v>16509</v>
      </c>
      <c r="H37" s="116">
        <f t="shared" si="2"/>
        <v>9</v>
      </c>
      <c r="I37" s="117">
        <f t="shared" si="11"/>
        <v>1.0005454545454546</v>
      </c>
      <c r="J37" s="118">
        <f>SUM(J19+J21+J22+J23+J24+J27+J32+J33+J34+J36)</f>
        <v>17972.084</v>
      </c>
      <c r="K37" s="114">
        <f>SUM(K19+K21+K22+K23+K24+K27+K32+K33+K34+K36)</f>
        <v>0</v>
      </c>
      <c r="L37" s="115">
        <f>SUM(L19+L21+L22+L23+L24+L27+L32+L33+L34+L36)</f>
        <v>17972.084</v>
      </c>
      <c r="M37" s="116">
        <f t="shared" si="4"/>
        <v>1463.083999999999</v>
      </c>
      <c r="N37" s="119">
        <f t="shared" si="12"/>
        <v>1.0886234175298322</v>
      </c>
    </row>
    <row r="38" spans="1:14" ht="13.5" customHeight="1" thickBot="1">
      <c r="A38" s="112" t="s">
        <v>37</v>
      </c>
      <c r="B38" s="470">
        <f>+D18-D37</f>
        <v>14</v>
      </c>
      <c r="C38" s="470"/>
      <c r="D38" s="470"/>
      <c r="E38" s="471">
        <v>20.19</v>
      </c>
      <c r="F38" s="471"/>
      <c r="G38" s="471">
        <v>-50784</v>
      </c>
      <c r="H38" s="131">
        <f>+E38-B38</f>
        <v>6.190000000000001</v>
      </c>
      <c r="I38" s="132"/>
      <c r="J38" s="472">
        <f>+L18-L37</f>
        <v>-0.08399999999892316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347</v>
      </c>
      <c r="B43" s="469"/>
      <c r="C43" s="134"/>
      <c r="D43" s="468" t="s">
        <v>165</v>
      </c>
      <c r="E43" s="468"/>
      <c r="F43" s="468"/>
      <c r="G43" s="135">
        <v>327</v>
      </c>
      <c r="H43" s="467" t="s">
        <v>348</v>
      </c>
      <c r="I43" s="467"/>
      <c r="J43" s="467"/>
      <c r="K43" s="467"/>
      <c r="L43" s="136">
        <v>147</v>
      </c>
      <c r="O43"/>
      <c r="P43"/>
    </row>
    <row r="44" spans="1:16" ht="12.75">
      <c r="A44" s="463" t="s">
        <v>349</v>
      </c>
      <c r="B44" s="463"/>
      <c r="C44" s="137">
        <v>229</v>
      </c>
      <c r="D44" s="468" t="s">
        <v>84</v>
      </c>
      <c r="E44" s="468"/>
      <c r="F44" s="468"/>
      <c r="G44" s="138">
        <v>73</v>
      </c>
      <c r="H44" s="467" t="s">
        <v>350</v>
      </c>
      <c r="I44" s="467"/>
      <c r="J44" s="467"/>
      <c r="K44" s="467"/>
      <c r="L44" s="136">
        <v>230</v>
      </c>
      <c r="O44"/>
      <c r="P44"/>
    </row>
    <row r="45" spans="1:16" ht="12.75">
      <c r="A45" s="463" t="s">
        <v>84</v>
      </c>
      <c r="B45" s="463"/>
      <c r="C45" s="137">
        <v>46</v>
      </c>
      <c r="D45" s="468"/>
      <c r="E45" s="468"/>
      <c r="F45" s="468"/>
      <c r="G45" s="138"/>
      <c r="H45" s="467"/>
      <c r="I45" s="467"/>
      <c r="J45" s="467"/>
      <c r="K45" s="467"/>
      <c r="L45" s="136"/>
      <c r="O45"/>
      <c r="P45"/>
    </row>
    <row r="46" spans="1:16" ht="12.75">
      <c r="A46" s="463"/>
      <c r="B46" s="463"/>
      <c r="C46" s="139"/>
      <c r="D46" s="463"/>
      <c r="E46" s="463"/>
      <c r="F46" s="463"/>
      <c r="G46" s="140"/>
      <c r="H46" s="464"/>
      <c r="I46" s="464"/>
      <c r="J46" s="464"/>
      <c r="K46" s="464"/>
      <c r="L46" s="136"/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/>
      <c r="I47" s="464"/>
      <c r="J47" s="464"/>
      <c r="K47" s="464"/>
      <c r="L47" s="136"/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275</v>
      </c>
      <c r="D50" s="451" t="s">
        <v>3</v>
      </c>
      <c r="E50" s="451"/>
      <c r="F50" s="451"/>
      <c r="G50" s="141">
        <f>SUM(G43:G49)</f>
        <v>400</v>
      </c>
      <c r="H50" s="452" t="s">
        <v>3</v>
      </c>
      <c r="I50" s="452"/>
      <c r="J50" s="452"/>
      <c r="K50" s="452"/>
      <c r="L50" s="141">
        <f>SUM(L43:L49)</f>
        <v>377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351</v>
      </c>
      <c r="B54" s="446"/>
      <c r="C54" s="233">
        <v>100</v>
      </c>
      <c r="D54" s="447" t="s">
        <v>102</v>
      </c>
      <c r="E54" s="447"/>
      <c r="F54" s="447"/>
      <c r="G54" s="142">
        <v>50</v>
      </c>
      <c r="H54" s="467" t="s">
        <v>102</v>
      </c>
      <c r="I54" s="467"/>
      <c r="J54" s="467"/>
      <c r="K54" s="467"/>
      <c r="L54" s="136">
        <v>150</v>
      </c>
      <c r="O54"/>
      <c r="P54"/>
    </row>
    <row r="55" spans="1:16" ht="13.5" customHeight="1">
      <c r="A55" s="418" t="s">
        <v>102</v>
      </c>
      <c r="B55" s="419"/>
      <c r="C55" s="234">
        <v>150</v>
      </c>
      <c r="D55" s="420" t="s">
        <v>352</v>
      </c>
      <c r="E55" s="420"/>
      <c r="F55" s="420"/>
      <c r="G55" s="143">
        <v>35</v>
      </c>
      <c r="H55" s="464" t="s">
        <v>353</v>
      </c>
      <c r="I55" s="464"/>
      <c r="J55" s="464"/>
      <c r="K55" s="464"/>
      <c r="L55" s="144">
        <v>100</v>
      </c>
      <c r="O55"/>
      <c r="P55"/>
    </row>
    <row r="56" spans="1:16" ht="13.5" customHeight="1">
      <c r="A56" s="418" t="s">
        <v>354</v>
      </c>
      <c r="B56" s="419"/>
      <c r="C56" s="234">
        <v>39</v>
      </c>
      <c r="D56" s="420" t="s">
        <v>355</v>
      </c>
      <c r="E56" s="420"/>
      <c r="F56" s="420"/>
      <c r="G56" s="143">
        <v>32</v>
      </c>
      <c r="H56" s="464" t="s">
        <v>356</v>
      </c>
      <c r="I56" s="464"/>
      <c r="J56" s="464"/>
      <c r="K56" s="464"/>
      <c r="L56" s="144">
        <v>10</v>
      </c>
      <c r="O56"/>
      <c r="P56"/>
    </row>
    <row r="57" spans="1:16" ht="13.5" customHeight="1">
      <c r="A57" s="418" t="s">
        <v>166</v>
      </c>
      <c r="B57" s="419"/>
      <c r="C57" s="234">
        <v>81</v>
      </c>
      <c r="D57" s="420" t="s">
        <v>357</v>
      </c>
      <c r="E57" s="420"/>
      <c r="F57" s="420"/>
      <c r="G57" s="143">
        <v>80</v>
      </c>
      <c r="H57" s="464" t="s">
        <v>358</v>
      </c>
      <c r="I57" s="464"/>
      <c r="J57" s="464"/>
      <c r="K57" s="464"/>
      <c r="L57" s="144">
        <v>60</v>
      </c>
      <c r="O57"/>
      <c r="P57"/>
    </row>
    <row r="58" spans="1:16" ht="13.5" customHeight="1">
      <c r="A58" s="418" t="s">
        <v>167</v>
      </c>
      <c r="B58" s="419"/>
      <c r="C58" s="235">
        <v>35</v>
      </c>
      <c r="D58" s="420" t="s">
        <v>359</v>
      </c>
      <c r="E58" s="420"/>
      <c r="F58" s="420"/>
      <c r="G58" s="145">
        <v>15</v>
      </c>
      <c r="H58" s="464" t="s">
        <v>360</v>
      </c>
      <c r="I58" s="464"/>
      <c r="J58" s="464"/>
      <c r="K58" s="464"/>
      <c r="L58" s="146">
        <v>50</v>
      </c>
      <c r="O58"/>
      <c r="P58"/>
    </row>
    <row r="59" spans="1:16" ht="13.5" customHeight="1">
      <c r="A59" s="418" t="s">
        <v>101</v>
      </c>
      <c r="B59" s="419"/>
      <c r="C59" s="235">
        <v>55</v>
      </c>
      <c r="D59" s="420" t="s">
        <v>171</v>
      </c>
      <c r="E59" s="420"/>
      <c r="F59" s="420"/>
      <c r="G59" s="145">
        <v>25</v>
      </c>
      <c r="H59" s="464" t="s">
        <v>361</v>
      </c>
      <c r="I59" s="464"/>
      <c r="J59" s="464"/>
      <c r="K59" s="464"/>
      <c r="L59" s="146">
        <v>50</v>
      </c>
      <c r="O59"/>
      <c r="P59"/>
    </row>
    <row r="60" spans="1:16" ht="13.5" customHeight="1">
      <c r="A60" s="418" t="s">
        <v>168</v>
      </c>
      <c r="B60" s="518"/>
      <c r="C60" s="234">
        <v>73</v>
      </c>
      <c r="D60" s="420" t="s">
        <v>362</v>
      </c>
      <c r="E60" s="420"/>
      <c r="F60" s="420"/>
      <c r="G60" s="143">
        <v>15</v>
      </c>
      <c r="H60" s="464" t="s">
        <v>546</v>
      </c>
      <c r="I60" s="464"/>
      <c r="J60" s="464"/>
      <c r="K60" s="464"/>
      <c r="L60" s="144">
        <v>109</v>
      </c>
      <c r="O60"/>
      <c r="P60"/>
    </row>
    <row r="61" spans="1:16" ht="13.5" thickBot="1">
      <c r="A61" s="511" t="s">
        <v>100</v>
      </c>
      <c r="B61" s="512"/>
      <c r="C61" s="236">
        <v>100</v>
      </c>
      <c r="D61" s="513" t="s">
        <v>363</v>
      </c>
      <c r="E61" s="513"/>
      <c r="F61" s="513"/>
      <c r="G61" s="147">
        <v>171</v>
      </c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633</v>
      </c>
      <c r="D62" s="517" t="s">
        <v>3</v>
      </c>
      <c r="E62" s="517"/>
      <c r="F62" s="517"/>
      <c r="G62" s="149">
        <f>SUM(G54:G61)</f>
        <v>423</v>
      </c>
      <c r="H62" s="452" t="s">
        <v>3</v>
      </c>
      <c r="I62" s="452"/>
      <c r="J62" s="452"/>
      <c r="K62" s="452"/>
      <c r="L62" s="141">
        <f>SUM(L54:L61)</f>
        <v>529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83</v>
      </c>
      <c r="C67" s="483" t="s">
        <v>129</v>
      </c>
      <c r="D67" s="483"/>
      <c r="E67" s="63">
        <v>86</v>
      </c>
      <c r="F67" s="484" t="s">
        <v>126</v>
      </c>
      <c r="G67" s="485"/>
      <c r="H67" s="56">
        <v>9</v>
      </c>
      <c r="I67" s="483" t="s">
        <v>129</v>
      </c>
      <c r="J67" s="485"/>
      <c r="K67" s="485"/>
      <c r="L67" s="63">
        <v>20</v>
      </c>
      <c r="M67" s="22"/>
      <c r="N67" s="22"/>
    </row>
    <row r="68" spans="1:14" s="1" customFormat="1" ht="12.75">
      <c r="A68" s="64" t="s">
        <v>124</v>
      </c>
      <c r="B68" s="57">
        <v>12</v>
      </c>
      <c r="C68" s="478"/>
      <c r="D68" s="478"/>
      <c r="E68" s="65"/>
      <c r="F68" s="486" t="s">
        <v>127</v>
      </c>
      <c r="G68" s="479"/>
      <c r="H68" s="57">
        <v>20.19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95</v>
      </c>
      <c r="C71" s="473" t="s">
        <v>3</v>
      </c>
      <c r="D71" s="473"/>
      <c r="E71" s="70">
        <f>SUM(E67:E70)</f>
        <v>86</v>
      </c>
      <c r="F71" s="474" t="s">
        <v>3</v>
      </c>
      <c r="G71" s="475"/>
      <c r="H71" s="66">
        <f>SUM(H67:H70)</f>
        <v>29.19</v>
      </c>
      <c r="I71" s="473" t="s">
        <v>3</v>
      </c>
      <c r="J71" s="475"/>
      <c r="K71" s="475"/>
      <c r="L71" s="70">
        <f>SUM(L67:L70)</f>
        <v>20</v>
      </c>
      <c r="M71" s="22"/>
      <c r="N71" s="22"/>
    </row>
    <row r="72" spans="1:14" s="1" customFormat="1" ht="13.5" thickBot="1">
      <c r="A72" s="78" t="s">
        <v>212</v>
      </c>
      <c r="B72" s="79">
        <f>B71-E71</f>
        <v>9</v>
      </c>
      <c r="C72" s="22"/>
      <c r="D72" s="22"/>
      <c r="E72" s="22"/>
      <c r="F72" s="476" t="s">
        <v>212</v>
      </c>
      <c r="G72" s="477"/>
      <c r="H72" s="80">
        <f>H71-L71</f>
        <v>9.190000000000001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22801</v>
      </c>
      <c r="B80" s="30">
        <v>6036</v>
      </c>
      <c r="C80" s="73">
        <f>SUM(D80:I80)</f>
        <v>540</v>
      </c>
      <c r="D80" s="74">
        <v>34</v>
      </c>
      <c r="E80" s="74">
        <v>284</v>
      </c>
      <c r="F80" s="74">
        <v>52</v>
      </c>
      <c r="G80" s="74"/>
      <c r="H80" s="73">
        <v>170</v>
      </c>
      <c r="I80" s="81"/>
      <c r="J80" s="31">
        <f>SUM(A80-B80-C80)</f>
        <v>16225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871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603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/>
      <c r="C86" s="43">
        <v>21</v>
      </c>
      <c r="D86" s="44">
        <v>2</v>
      </c>
      <c r="E86" s="44">
        <v>0</v>
      </c>
      <c r="F86" s="45">
        <f>C86+D86-E86</f>
        <v>23</v>
      </c>
      <c r="G86" s="46"/>
      <c r="H86" s="198">
        <f>+G86-F86</f>
        <v>-23</v>
      </c>
      <c r="I86" s="43">
        <v>23</v>
      </c>
      <c r="J86" s="44">
        <v>0</v>
      </c>
      <c r="K86" s="44">
        <v>0</v>
      </c>
      <c r="L86" s="45">
        <f>I86+J86-K86</f>
        <v>23</v>
      </c>
    </row>
    <row r="87" spans="1:12" s="1" customFormat="1" ht="12.75">
      <c r="A87" s="41" t="s">
        <v>73</v>
      </c>
      <c r="B87" s="42"/>
      <c r="C87" s="43">
        <v>83</v>
      </c>
      <c r="D87" s="44">
        <v>12</v>
      </c>
      <c r="E87" s="44">
        <v>86</v>
      </c>
      <c r="F87" s="45">
        <f>C87+D87-E87</f>
        <v>9</v>
      </c>
      <c r="G87" s="46"/>
      <c r="H87" s="198">
        <f>+G87-F87</f>
        <v>-9</v>
      </c>
      <c r="I87" s="395">
        <v>9</v>
      </c>
      <c r="J87" s="396">
        <v>20.19</v>
      </c>
      <c r="K87" s="396">
        <v>20</v>
      </c>
      <c r="L87" s="397">
        <f>I87+J87-K87</f>
        <v>9.190000000000001</v>
      </c>
    </row>
    <row r="88" spans="1:12" s="1" customFormat="1" ht="12.75">
      <c r="A88" s="41" t="s">
        <v>96</v>
      </c>
      <c r="B88" s="42"/>
      <c r="C88" s="43">
        <v>200</v>
      </c>
      <c r="D88" s="44">
        <v>575</v>
      </c>
      <c r="E88" s="44">
        <v>400</v>
      </c>
      <c r="F88" s="45">
        <f>C88+D88-E88</f>
        <v>375</v>
      </c>
      <c r="G88" s="46"/>
      <c r="H88" s="198">
        <f>+G88-F88</f>
        <v>-375</v>
      </c>
      <c r="I88" s="206">
        <v>375</v>
      </c>
      <c r="J88" s="196">
        <v>560</v>
      </c>
      <c r="K88" s="196">
        <v>377</v>
      </c>
      <c r="L88" s="45">
        <f>I88+J88-K88</f>
        <v>558</v>
      </c>
    </row>
    <row r="89" spans="1:12" s="1" customFormat="1" ht="12.75">
      <c r="A89" s="41" t="s">
        <v>74</v>
      </c>
      <c r="B89" s="42">
        <v>871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603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141</v>
      </c>
      <c r="C90" s="49">
        <v>155</v>
      </c>
      <c r="D90" s="50">
        <v>170</v>
      </c>
      <c r="E90" s="50">
        <v>131</v>
      </c>
      <c r="F90" s="51">
        <f>C90+D90-E90</f>
        <v>194</v>
      </c>
      <c r="G90" s="52">
        <v>203</v>
      </c>
      <c r="H90" s="199">
        <f>+G90-F90</f>
        <v>9</v>
      </c>
      <c r="I90" s="49">
        <v>194</v>
      </c>
      <c r="J90" s="50">
        <v>172</v>
      </c>
      <c r="K90" s="50">
        <v>279</v>
      </c>
      <c r="L90" s="51">
        <f>I90+J90-K90</f>
        <v>87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351</v>
      </c>
      <c r="C96" s="159"/>
      <c r="D96" s="159"/>
      <c r="E96" s="159"/>
      <c r="F96" s="159"/>
      <c r="G96" s="158"/>
      <c r="H96" s="160">
        <f>SUM(C96:G96)</f>
        <v>0</v>
      </c>
      <c r="I96" s="27"/>
      <c r="J96" s="161">
        <v>2006</v>
      </c>
      <c r="K96" s="162">
        <v>8338</v>
      </c>
      <c r="L96" s="163">
        <f>+G29</f>
        <v>8583</v>
      </c>
    </row>
    <row r="97" spans="1:12" ht="13.5" thickBot="1">
      <c r="A97" s="164" t="s">
        <v>83</v>
      </c>
      <c r="B97" s="165">
        <v>1811</v>
      </c>
      <c r="C97" s="166"/>
      <c r="D97" s="166"/>
      <c r="E97" s="166"/>
      <c r="F97" s="166"/>
      <c r="G97" s="165"/>
      <c r="H97" s="167">
        <f>SUM(C97:G97)</f>
        <v>0</v>
      </c>
      <c r="I97" s="27"/>
      <c r="J97" s="168">
        <v>2007</v>
      </c>
      <c r="K97" s="169">
        <f>L29</f>
        <v>9258.84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</v>
      </c>
      <c r="C102" s="175">
        <v>4</v>
      </c>
      <c r="D102" s="175">
        <f aca="true" t="shared" si="14" ref="D102:D112">+C102-B102</f>
        <v>0</v>
      </c>
      <c r="E102" s="175">
        <v>4</v>
      </c>
      <c r="F102" s="175">
        <v>4</v>
      </c>
      <c r="G102" s="176">
        <f aca="true" t="shared" si="15" ref="G102:G112">+F102-E102</f>
        <v>0</v>
      </c>
      <c r="H102" s="177">
        <v>18491</v>
      </c>
      <c r="I102" s="178">
        <v>20589</v>
      </c>
      <c r="J102" s="179">
        <f aca="true" t="shared" si="16" ref="J102:J112">+I102-H102</f>
        <v>2098</v>
      </c>
    </row>
    <row r="103" spans="1:10" ht="12.75">
      <c r="A103" s="174" t="s">
        <v>85</v>
      </c>
      <c r="B103" s="175">
        <v>8.21</v>
      </c>
      <c r="C103" s="175">
        <v>6.9</v>
      </c>
      <c r="D103" s="175">
        <f t="shared" si="14"/>
        <v>-1.3100000000000005</v>
      </c>
      <c r="E103" s="175">
        <v>9</v>
      </c>
      <c r="F103" s="175">
        <v>6</v>
      </c>
      <c r="G103" s="176">
        <f t="shared" si="15"/>
        <v>-3</v>
      </c>
      <c r="H103" s="177">
        <v>16464</v>
      </c>
      <c r="I103" s="180">
        <v>22295</v>
      </c>
      <c r="J103" s="179">
        <f t="shared" si="16"/>
        <v>5831</v>
      </c>
    </row>
    <row r="104" spans="1:10" ht="12.75">
      <c r="A104" s="174" t="s">
        <v>52</v>
      </c>
      <c r="B104" s="175">
        <v>8.5</v>
      </c>
      <c r="C104" s="175">
        <v>8.35</v>
      </c>
      <c r="D104" s="175">
        <f t="shared" si="14"/>
        <v>-0.15000000000000036</v>
      </c>
      <c r="E104" s="175">
        <v>8.5</v>
      </c>
      <c r="F104" s="175">
        <v>7.75</v>
      </c>
      <c r="G104" s="176">
        <f t="shared" si="15"/>
        <v>-0.75</v>
      </c>
      <c r="H104" s="177">
        <v>12491</v>
      </c>
      <c r="I104" s="180">
        <v>12698</v>
      </c>
      <c r="J104" s="179">
        <f t="shared" si="16"/>
        <v>207</v>
      </c>
    </row>
    <row r="105" spans="1:10" ht="12.75">
      <c r="A105" s="174" t="s">
        <v>53</v>
      </c>
      <c r="B105" s="175"/>
      <c r="C105" s="175"/>
      <c r="D105" s="175">
        <f t="shared" si="14"/>
        <v>0</v>
      </c>
      <c r="E105" s="175"/>
      <c r="F105" s="175"/>
      <c r="G105" s="176">
        <f t="shared" si="15"/>
        <v>0</v>
      </c>
      <c r="H105" s="177"/>
      <c r="I105" s="180"/>
      <c r="J105" s="179">
        <f t="shared" si="16"/>
        <v>0</v>
      </c>
    </row>
    <row r="106" spans="1:10" ht="12.75">
      <c r="A106" s="174" t="s">
        <v>86</v>
      </c>
      <c r="B106" s="175"/>
      <c r="C106" s="175"/>
      <c r="D106" s="175">
        <f t="shared" si="14"/>
        <v>0</v>
      </c>
      <c r="E106" s="175"/>
      <c r="F106" s="175"/>
      <c r="G106" s="176">
        <f t="shared" si="15"/>
        <v>0</v>
      </c>
      <c r="H106" s="177"/>
      <c r="I106" s="180"/>
      <c r="J106" s="179">
        <f t="shared" si="16"/>
        <v>0</v>
      </c>
    </row>
    <row r="107" spans="1:10" ht="12.75">
      <c r="A107" s="174" t="s">
        <v>54</v>
      </c>
      <c r="B107" s="175">
        <v>1</v>
      </c>
      <c r="C107" s="175">
        <v>1</v>
      </c>
      <c r="D107" s="175">
        <f t="shared" si="14"/>
        <v>0</v>
      </c>
      <c r="E107" s="175">
        <v>1</v>
      </c>
      <c r="F107" s="175">
        <v>1</v>
      </c>
      <c r="G107" s="176">
        <f t="shared" si="15"/>
        <v>0</v>
      </c>
      <c r="H107" s="177">
        <v>18997</v>
      </c>
      <c r="I107" s="180">
        <v>20582</v>
      </c>
      <c r="J107" s="179">
        <f t="shared" si="16"/>
        <v>1585</v>
      </c>
    </row>
    <row r="108" spans="1:10" ht="12.75">
      <c r="A108" s="174" t="s">
        <v>55</v>
      </c>
      <c r="B108" s="175"/>
      <c r="C108" s="175"/>
      <c r="D108" s="175">
        <f t="shared" si="14"/>
        <v>0</v>
      </c>
      <c r="E108" s="175"/>
      <c r="F108" s="175"/>
      <c r="G108" s="176">
        <f t="shared" si="15"/>
        <v>0</v>
      </c>
      <c r="H108" s="177"/>
      <c r="I108" s="180"/>
      <c r="J108" s="179">
        <f t="shared" si="16"/>
        <v>0</v>
      </c>
    </row>
    <row r="109" spans="1:10" ht="12.75">
      <c r="A109" s="174" t="s">
        <v>56</v>
      </c>
      <c r="B109" s="175">
        <v>10.8</v>
      </c>
      <c r="C109" s="175">
        <v>12.5</v>
      </c>
      <c r="D109" s="175">
        <f t="shared" si="14"/>
        <v>1.6999999999999993</v>
      </c>
      <c r="E109" s="175">
        <v>11.75</v>
      </c>
      <c r="F109" s="175">
        <v>13</v>
      </c>
      <c r="G109" s="176">
        <f t="shared" si="15"/>
        <v>1.25</v>
      </c>
      <c r="H109" s="177">
        <v>12433</v>
      </c>
      <c r="I109" s="180">
        <v>13185</v>
      </c>
      <c r="J109" s="179">
        <f t="shared" si="16"/>
        <v>752</v>
      </c>
    </row>
    <row r="110" spans="1:10" ht="12.75">
      <c r="A110" s="174" t="s">
        <v>57</v>
      </c>
      <c r="B110" s="175">
        <v>1</v>
      </c>
      <c r="C110" s="175">
        <v>1</v>
      </c>
      <c r="D110" s="175">
        <f t="shared" si="14"/>
        <v>0</v>
      </c>
      <c r="E110" s="175">
        <v>1</v>
      </c>
      <c r="F110" s="175">
        <v>1</v>
      </c>
      <c r="G110" s="176">
        <f t="shared" si="15"/>
        <v>0</v>
      </c>
      <c r="H110" s="177">
        <v>15411</v>
      </c>
      <c r="I110" s="180">
        <v>16923</v>
      </c>
      <c r="J110" s="179">
        <f t="shared" si="16"/>
        <v>1512</v>
      </c>
    </row>
    <row r="111" spans="1:10" ht="12.75">
      <c r="A111" s="174" t="s">
        <v>58</v>
      </c>
      <c r="B111" s="175">
        <v>13.3</v>
      </c>
      <c r="C111" s="175">
        <v>12.9</v>
      </c>
      <c r="D111" s="175">
        <f t="shared" si="14"/>
        <v>-0.40000000000000036</v>
      </c>
      <c r="E111" s="175">
        <v>14.13</v>
      </c>
      <c r="F111" s="175">
        <v>14</v>
      </c>
      <c r="G111" s="176">
        <f t="shared" si="15"/>
        <v>-0.13000000000000078</v>
      </c>
      <c r="H111" s="177">
        <v>10889</v>
      </c>
      <c r="I111" s="180">
        <v>11141</v>
      </c>
      <c r="J111" s="179">
        <f t="shared" si="16"/>
        <v>252</v>
      </c>
    </row>
    <row r="112" spans="1:10" ht="13.5" thickBot="1">
      <c r="A112" s="181" t="s">
        <v>3</v>
      </c>
      <c r="B112" s="182">
        <f>SUM(B102:B111)</f>
        <v>46.81</v>
      </c>
      <c r="C112" s="182">
        <f>SUM(C102:C111)</f>
        <v>46.65</v>
      </c>
      <c r="D112" s="182">
        <f t="shared" si="14"/>
        <v>-0.1600000000000037</v>
      </c>
      <c r="E112" s="182">
        <f>SUM(E102:E111)</f>
        <v>49.38</v>
      </c>
      <c r="F112" s="182">
        <f>SUM(F102:F111)</f>
        <v>46.75</v>
      </c>
      <c r="G112" s="183">
        <f t="shared" si="15"/>
        <v>-2.6300000000000026</v>
      </c>
      <c r="H112" s="184"/>
      <c r="I112" s="185"/>
      <c r="J112" s="186">
        <f t="shared" si="16"/>
        <v>0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48</v>
      </c>
      <c r="C116" s="163">
        <v>46.65</v>
      </c>
      <c r="D116" s="27"/>
      <c r="E116" s="161">
        <v>2006</v>
      </c>
      <c r="F116" s="416">
        <v>90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47</v>
      </c>
      <c r="C117" s="369" t="s">
        <v>508</v>
      </c>
      <c r="D117" s="27"/>
      <c r="E117" s="168">
        <v>2007</v>
      </c>
      <c r="F117" s="417">
        <v>70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B4:D4"/>
    <mergeCell ref="E4:G4"/>
    <mergeCell ref="J4:L4"/>
    <mergeCell ref="A3:A6"/>
    <mergeCell ref="B3:N3"/>
    <mergeCell ref="H4:I4"/>
    <mergeCell ref="M4:N4"/>
    <mergeCell ref="C77:I77"/>
    <mergeCell ref="J77:J79"/>
    <mergeCell ref="L77:M77"/>
    <mergeCell ref="C78:C79"/>
    <mergeCell ref="D78:I78"/>
    <mergeCell ref="A77:A79"/>
    <mergeCell ref="B77:B79"/>
    <mergeCell ref="F68:G68"/>
    <mergeCell ref="I68:K68"/>
    <mergeCell ref="C69:D69"/>
    <mergeCell ref="F69:G69"/>
    <mergeCell ref="I69:K69"/>
    <mergeCell ref="C70:D70"/>
    <mergeCell ref="F70:G70"/>
    <mergeCell ref="I70:K70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2:B62"/>
    <mergeCell ref="D62:F62"/>
    <mergeCell ref="A94:A95"/>
    <mergeCell ref="B94:B95"/>
    <mergeCell ref="C94:H94"/>
    <mergeCell ref="H62:K62"/>
    <mergeCell ref="C71:D71"/>
    <mergeCell ref="F71:G71"/>
    <mergeCell ref="I71:K71"/>
    <mergeCell ref="F72:G72"/>
    <mergeCell ref="J94:L94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551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0</v>
      </c>
      <c r="C7" s="188"/>
      <c r="D7" s="191">
        <f aca="true" t="shared" si="0" ref="D7:D15">SUM(B7:C7)</f>
        <v>0</v>
      </c>
      <c r="E7" s="187">
        <v>0</v>
      </c>
      <c r="F7" s="188"/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>
        <v>0</v>
      </c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6900</v>
      </c>
      <c r="C8" s="14"/>
      <c r="D8" s="192">
        <f t="shared" si="0"/>
        <v>6900</v>
      </c>
      <c r="E8" s="15">
        <v>7216</v>
      </c>
      <c r="F8" s="14"/>
      <c r="G8" s="192">
        <f t="shared" si="1"/>
        <v>7216</v>
      </c>
      <c r="H8" s="220">
        <f t="shared" si="2"/>
        <v>316</v>
      </c>
      <c r="I8" s="223">
        <f aca="true" t="shared" si="5" ref="I8:I21">+G8/D8</f>
        <v>1.0457971014492753</v>
      </c>
      <c r="J8" s="15">
        <f>11778+500</f>
        <v>12278</v>
      </c>
      <c r="K8" s="14"/>
      <c r="L8" s="192">
        <f t="shared" si="3"/>
        <v>12278</v>
      </c>
      <c r="M8" s="220">
        <f t="shared" si="4"/>
        <v>5062</v>
      </c>
      <c r="N8" s="221">
        <f aca="true" t="shared" si="6" ref="N8:N21">+L8/G8</f>
        <v>1.7014966740576496</v>
      </c>
    </row>
    <row r="9" spans="1:14" ht="13.5" customHeight="1">
      <c r="A9" s="229" t="s">
        <v>10</v>
      </c>
      <c r="B9" s="15">
        <v>0</v>
      </c>
      <c r="C9" s="14"/>
      <c r="D9" s="192">
        <f t="shared" si="0"/>
        <v>0</v>
      </c>
      <c r="E9" s="15">
        <v>0</v>
      </c>
      <c r="F9" s="14"/>
      <c r="G9" s="192">
        <f t="shared" si="1"/>
        <v>0</v>
      </c>
      <c r="H9" s="220">
        <f t="shared" si="2"/>
        <v>0</v>
      </c>
      <c r="I9" s="223"/>
      <c r="J9" s="15">
        <v>0</v>
      </c>
      <c r="K9" s="14"/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>
        <v>0</v>
      </c>
      <c r="C10" s="14"/>
      <c r="D10" s="192">
        <f t="shared" si="0"/>
        <v>0</v>
      </c>
      <c r="E10" s="15">
        <v>0</v>
      </c>
      <c r="F10" s="14"/>
      <c r="G10" s="192">
        <f t="shared" si="1"/>
        <v>0</v>
      </c>
      <c r="H10" s="220">
        <f t="shared" si="2"/>
        <v>0</v>
      </c>
      <c r="I10" s="223"/>
      <c r="J10" s="15">
        <v>0</v>
      </c>
      <c r="K10" s="14"/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150</v>
      </c>
      <c r="C11" s="14"/>
      <c r="D11" s="192">
        <f t="shared" si="0"/>
        <v>150</v>
      </c>
      <c r="E11" s="15">
        <v>76</v>
      </c>
      <c r="F11" s="14"/>
      <c r="G11" s="192">
        <f t="shared" si="1"/>
        <v>76</v>
      </c>
      <c r="H11" s="220">
        <f t="shared" si="2"/>
        <v>-74</v>
      </c>
      <c r="I11" s="223">
        <f t="shared" si="5"/>
        <v>0.5066666666666667</v>
      </c>
      <c r="J11" s="15">
        <v>60</v>
      </c>
      <c r="K11" s="14"/>
      <c r="L11" s="192">
        <f t="shared" si="3"/>
        <v>60</v>
      </c>
      <c r="M11" s="220">
        <f t="shared" si="4"/>
        <v>-16</v>
      </c>
      <c r="N11" s="221">
        <f t="shared" si="6"/>
        <v>0.7894736842105263</v>
      </c>
    </row>
    <row r="12" spans="1:14" ht="13.5" customHeight="1">
      <c r="A12" s="230" t="s">
        <v>13</v>
      </c>
      <c r="B12" s="15">
        <v>94</v>
      </c>
      <c r="C12" s="14"/>
      <c r="D12" s="192">
        <f t="shared" si="0"/>
        <v>94</v>
      </c>
      <c r="E12" s="15">
        <v>20</v>
      </c>
      <c r="F12" s="14"/>
      <c r="G12" s="192">
        <f t="shared" si="1"/>
        <v>20</v>
      </c>
      <c r="H12" s="220">
        <f t="shared" si="2"/>
        <v>-74</v>
      </c>
      <c r="I12" s="223">
        <f t="shared" si="5"/>
        <v>0.2127659574468085</v>
      </c>
      <c r="J12" s="15">
        <v>10</v>
      </c>
      <c r="K12" s="14"/>
      <c r="L12" s="192">
        <f t="shared" si="3"/>
        <v>10</v>
      </c>
      <c r="M12" s="220">
        <f t="shared" si="4"/>
        <v>-10</v>
      </c>
      <c r="N12" s="221">
        <f t="shared" si="6"/>
        <v>0.5</v>
      </c>
    </row>
    <row r="13" spans="1:14" ht="13.5" customHeight="1">
      <c r="A13" s="230" t="s">
        <v>14</v>
      </c>
      <c r="B13" s="15">
        <v>0</v>
      </c>
      <c r="C13" s="14"/>
      <c r="D13" s="192">
        <f t="shared" si="0"/>
        <v>0</v>
      </c>
      <c r="E13" s="15">
        <v>0</v>
      </c>
      <c r="F13" s="14"/>
      <c r="G13" s="192">
        <f t="shared" si="1"/>
        <v>0</v>
      </c>
      <c r="H13" s="220">
        <f t="shared" si="2"/>
        <v>0</v>
      </c>
      <c r="I13" s="223"/>
      <c r="J13" s="15">
        <v>0</v>
      </c>
      <c r="K13" s="14"/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/>
      <c r="C14" s="14"/>
      <c r="D14" s="192">
        <f t="shared" si="0"/>
        <v>0</v>
      </c>
      <c r="E14" s="15">
        <v>0</v>
      </c>
      <c r="F14" s="14"/>
      <c r="G14" s="192">
        <f t="shared" si="1"/>
        <v>0</v>
      </c>
      <c r="H14" s="220">
        <f t="shared" si="2"/>
        <v>0</v>
      </c>
      <c r="I14" s="223"/>
      <c r="J14" s="15">
        <v>0</v>
      </c>
      <c r="K14" s="14"/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12892</v>
      </c>
      <c r="C15" s="14">
        <f>SUM(C16:C17)</f>
        <v>0</v>
      </c>
      <c r="D15" s="192">
        <f t="shared" si="0"/>
        <v>12892</v>
      </c>
      <c r="E15" s="15">
        <v>13538</v>
      </c>
      <c r="F15" s="14">
        <f>SUM(F16:F17)</f>
        <v>0</v>
      </c>
      <c r="G15" s="192">
        <f t="shared" si="1"/>
        <v>13538</v>
      </c>
      <c r="H15" s="220">
        <f t="shared" si="2"/>
        <v>646</v>
      </c>
      <c r="I15" s="223">
        <f t="shared" si="5"/>
        <v>1.050108594477195</v>
      </c>
      <c r="J15" s="17">
        <f>SUM(J16:J17)</f>
        <v>11412</v>
      </c>
      <c r="K15" s="17">
        <f>SUM(K16:K17)</f>
        <v>0</v>
      </c>
      <c r="L15" s="192">
        <f t="shared" si="3"/>
        <v>11412</v>
      </c>
      <c r="M15" s="220">
        <f t="shared" si="4"/>
        <v>-2126</v>
      </c>
      <c r="N15" s="221">
        <f t="shared" si="6"/>
        <v>0.842960555473482</v>
      </c>
    </row>
    <row r="16" spans="1:14" ht="13.5" customHeight="1">
      <c r="A16" s="231" t="s">
        <v>219</v>
      </c>
      <c r="B16" s="15">
        <v>12892</v>
      </c>
      <c r="C16" s="14"/>
      <c r="D16" s="192">
        <f>B16</f>
        <v>12892</v>
      </c>
      <c r="E16" s="15">
        <v>13538</v>
      </c>
      <c r="F16" s="14"/>
      <c r="G16" s="192">
        <f t="shared" si="1"/>
        <v>13538</v>
      </c>
      <c r="H16" s="220">
        <f t="shared" si="2"/>
        <v>646</v>
      </c>
      <c r="I16" s="223">
        <f t="shared" si="5"/>
        <v>1.050108594477195</v>
      </c>
      <c r="J16" s="17">
        <f>1633</f>
        <v>1633</v>
      </c>
      <c r="K16" s="14"/>
      <c r="L16" s="192">
        <f t="shared" si="3"/>
        <v>1633</v>
      </c>
      <c r="M16" s="220">
        <f t="shared" si="4"/>
        <v>-11905</v>
      </c>
      <c r="N16" s="221">
        <f t="shared" si="6"/>
        <v>0.12062343034421628</v>
      </c>
    </row>
    <row r="17" spans="1:14" ht="13.5" customHeight="1" thickBot="1">
      <c r="A17" s="232" t="s">
        <v>220</v>
      </c>
      <c r="B17" s="189"/>
      <c r="C17" s="190"/>
      <c r="D17" s="193"/>
      <c r="E17" s="189"/>
      <c r="F17" s="190"/>
      <c r="G17" s="193">
        <f t="shared" si="1"/>
        <v>0</v>
      </c>
      <c r="H17" s="366">
        <f t="shared" si="2"/>
        <v>0</v>
      </c>
      <c r="I17" s="370"/>
      <c r="J17" s="194">
        <v>9779</v>
      </c>
      <c r="K17" s="190"/>
      <c r="L17" s="193">
        <f t="shared" si="3"/>
        <v>9779</v>
      </c>
      <c r="M17" s="366">
        <f t="shared" si="4"/>
        <v>9779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19942</v>
      </c>
      <c r="C18" s="214">
        <f t="shared" si="7"/>
        <v>0</v>
      </c>
      <c r="D18" s="215">
        <f t="shared" si="7"/>
        <v>19942</v>
      </c>
      <c r="E18" s="213">
        <f t="shared" si="7"/>
        <v>20830</v>
      </c>
      <c r="F18" s="214">
        <f t="shared" si="7"/>
        <v>0</v>
      </c>
      <c r="G18" s="215">
        <f t="shared" si="7"/>
        <v>20830</v>
      </c>
      <c r="H18" s="217">
        <f t="shared" si="2"/>
        <v>888</v>
      </c>
      <c r="I18" s="132">
        <f t="shared" si="5"/>
        <v>1.0445291344900212</v>
      </c>
      <c r="J18" s="225">
        <f>SUM(J7+J8+J9+J10+J11+J13+J15)</f>
        <v>23750</v>
      </c>
      <c r="K18" s="214">
        <f>SUM(K7+K8+K9+K10+K11+K13+K15)</f>
        <v>0</v>
      </c>
      <c r="L18" s="215">
        <f>SUM(L7+L8+L9+L10+L11+L13+L15)</f>
        <v>23750</v>
      </c>
      <c r="M18" s="217">
        <f t="shared" si="4"/>
        <v>2920</v>
      </c>
      <c r="N18" s="226">
        <f t="shared" si="6"/>
        <v>1.1401824291886702</v>
      </c>
    </row>
    <row r="19" spans="1:14" ht="13.5" customHeight="1">
      <c r="A19" s="120" t="s">
        <v>18</v>
      </c>
      <c r="B19" s="95">
        <v>4045</v>
      </c>
      <c r="C19" s="96"/>
      <c r="D19" s="97">
        <f aca="true" t="shared" si="8" ref="D19:D36">SUM(B19:C19)</f>
        <v>4045</v>
      </c>
      <c r="E19" s="95">
        <v>3929</v>
      </c>
      <c r="F19" s="96"/>
      <c r="G19" s="121">
        <f aca="true" t="shared" si="9" ref="G19:G36">SUM(E19:F19)</f>
        <v>3929</v>
      </c>
      <c r="H19" s="122">
        <f t="shared" si="2"/>
        <v>-116</v>
      </c>
      <c r="I19" s="123">
        <f t="shared" si="5"/>
        <v>0.9713226205191594</v>
      </c>
      <c r="J19" s="100">
        <f>4350-109+167</f>
        <v>4408</v>
      </c>
      <c r="K19" s="96"/>
      <c r="L19" s="124">
        <f aca="true" t="shared" si="10" ref="L19:L36">SUM(J19:K19)</f>
        <v>4408</v>
      </c>
      <c r="M19" s="122">
        <f t="shared" si="4"/>
        <v>479</v>
      </c>
      <c r="N19" s="125">
        <f t="shared" si="6"/>
        <v>1.121913973021125</v>
      </c>
    </row>
    <row r="20" spans="1:14" ht="21" customHeight="1">
      <c r="A20" s="106" t="s">
        <v>19</v>
      </c>
      <c r="B20" s="95">
        <v>106</v>
      </c>
      <c r="C20" s="96"/>
      <c r="D20" s="97">
        <f t="shared" si="8"/>
        <v>106</v>
      </c>
      <c r="E20" s="95">
        <v>776</v>
      </c>
      <c r="F20" s="96"/>
      <c r="G20" s="121">
        <f t="shared" si="9"/>
        <v>776</v>
      </c>
      <c r="H20" s="98">
        <f t="shared" si="2"/>
        <v>670</v>
      </c>
      <c r="I20" s="99">
        <f t="shared" si="5"/>
        <v>7.320754716981132</v>
      </c>
      <c r="J20" s="100">
        <v>780</v>
      </c>
      <c r="K20" s="96"/>
      <c r="L20" s="124">
        <f t="shared" si="10"/>
        <v>780</v>
      </c>
      <c r="M20" s="98">
        <f t="shared" si="4"/>
        <v>4</v>
      </c>
      <c r="N20" s="101">
        <f t="shared" si="6"/>
        <v>1.0051546391752577</v>
      </c>
    </row>
    <row r="21" spans="1:14" ht="13.5" customHeight="1">
      <c r="A21" s="102" t="s">
        <v>20</v>
      </c>
      <c r="B21" s="103">
        <v>1355</v>
      </c>
      <c r="C21" s="104"/>
      <c r="D21" s="97">
        <f t="shared" si="8"/>
        <v>1355</v>
      </c>
      <c r="E21" s="103">
        <v>1584</v>
      </c>
      <c r="F21" s="104"/>
      <c r="G21" s="121">
        <f t="shared" si="9"/>
        <v>1584</v>
      </c>
      <c r="H21" s="98">
        <f t="shared" si="2"/>
        <v>229</v>
      </c>
      <c r="I21" s="99">
        <f t="shared" si="5"/>
        <v>1.1690036900369003</v>
      </c>
      <c r="J21" s="105">
        <f>467+2000-143-167</f>
        <v>2157</v>
      </c>
      <c r="K21" s="104"/>
      <c r="L21" s="124">
        <f t="shared" si="10"/>
        <v>2157</v>
      </c>
      <c r="M21" s="98">
        <f t="shared" si="4"/>
        <v>573</v>
      </c>
      <c r="N21" s="101">
        <f t="shared" si="6"/>
        <v>1.3617424242424243</v>
      </c>
    </row>
    <row r="22" spans="1:14" ht="13.5" customHeight="1">
      <c r="A22" s="106" t="s">
        <v>21</v>
      </c>
      <c r="B22" s="103">
        <v>0</v>
      </c>
      <c r="C22" s="104"/>
      <c r="D22" s="97">
        <f t="shared" si="8"/>
        <v>0</v>
      </c>
      <c r="E22" s="103">
        <v>0</v>
      </c>
      <c r="F22" s="104"/>
      <c r="G22" s="121">
        <f t="shared" si="9"/>
        <v>0</v>
      </c>
      <c r="H22" s="98">
        <f t="shared" si="2"/>
        <v>0</v>
      </c>
      <c r="I22" s="99"/>
      <c r="J22" s="105">
        <v>0</v>
      </c>
      <c r="K22" s="104"/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>
        <v>0</v>
      </c>
      <c r="C23" s="104"/>
      <c r="D23" s="97">
        <f t="shared" si="8"/>
        <v>0</v>
      </c>
      <c r="E23" s="103">
        <v>0</v>
      </c>
      <c r="F23" s="104"/>
      <c r="G23" s="121">
        <f t="shared" si="9"/>
        <v>0</v>
      </c>
      <c r="H23" s="98">
        <f t="shared" si="2"/>
        <v>0</v>
      </c>
      <c r="I23" s="99"/>
      <c r="J23" s="105">
        <v>0</v>
      </c>
      <c r="K23" s="104"/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894</v>
      </c>
      <c r="C24" s="104"/>
      <c r="D24" s="97">
        <f t="shared" si="8"/>
        <v>894</v>
      </c>
      <c r="E24" s="105">
        <v>975</v>
      </c>
      <c r="F24" s="104"/>
      <c r="G24" s="121">
        <f t="shared" si="9"/>
        <v>975</v>
      </c>
      <c r="H24" s="98">
        <f t="shared" si="2"/>
        <v>81</v>
      </c>
      <c r="I24" s="99">
        <f aca="true" t="shared" si="11" ref="I24:I37">+G24/D24</f>
        <v>1.0906040268456376</v>
      </c>
      <c r="J24" s="105">
        <f>SUM(J25:J26)</f>
        <v>1510</v>
      </c>
      <c r="K24" s="104"/>
      <c r="L24" s="124">
        <f t="shared" si="10"/>
        <v>1510</v>
      </c>
      <c r="M24" s="98">
        <f t="shared" si="4"/>
        <v>535</v>
      </c>
      <c r="N24" s="101">
        <f aca="true" t="shared" si="12" ref="N24:N37">+L24/G24</f>
        <v>1.5487179487179488</v>
      </c>
    </row>
    <row r="25" spans="1:14" ht="13.5" customHeight="1">
      <c r="A25" s="106" t="s">
        <v>24</v>
      </c>
      <c r="B25" s="103">
        <v>314</v>
      </c>
      <c r="C25" s="104"/>
      <c r="D25" s="97">
        <f t="shared" si="8"/>
        <v>314</v>
      </c>
      <c r="E25" s="103">
        <v>121</v>
      </c>
      <c r="F25" s="104"/>
      <c r="G25" s="121">
        <f t="shared" si="9"/>
        <v>121</v>
      </c>
      <c r="H25" s="98">
        <f t="shared" si="2"/>
        <v>-193</v>
      </c>
      <c r="I25" s="99">
        <f t="shared" si="11"/>
        <v>0.3853503184713376</v>
      </c>
      <c r="J25" s="126">
        <v>200</v>
      </c>
      <c r="K25" s="104"/>
      <c r="L25" s="124">
        <f t="shared" si="10"/>
        <v>200</v>
      </c>
      <c r="M25" s="98">
        <f t="shared" si="4"/>
        <v>79</v>
      </c>
      <c r="N25" s="101">
        <f t="shared" si="12"/>
        <v>1.6528925619834711</v>
      </c>
    </row>
    <row r="26" spans="1:14" ht="13.5" customHeight="1">
      <c r="A26" s="102" t="s">
        <v>25</v>
      </c>
      <c r="B26" s="103">
        <v>580</v>
      </c>
      <c r="C26" s="104"/>
      <c r="D26" s="97">
        <f t="shared" si="8"/>
        <v>580</v>
      </c>
      <c r="E26" s="103">
        <v>814</v>
      </c>
      <c r="F26" s="104"/>
      <c r="G26" s="121">
        <f t="shared" si="9"/>
        <v>814</v>
      </c>
      <c r="H26" s="98">
        <f t="shared" si="2"/>
        <v>234</v>
      </c>
      <c r="I26" s="99">
        <f t="shared" si="11"/>
        <v>1.403448275862069</v>
      </c>
      <c r="J26" s="126">
        <f>850+460</f>
        <v>1310</v>
      </c>
      <c r="K26" s="104"/>
      <c r="L26" s="124">
        <f t="shared" si="10"/>
        <v>1310</v>
      </c>
      <c r="M26" s="98">
        <f t="shared" si="4"/>
        <v>496</v>
      </c>
      <c r="N26" s="101">
        <f t="shared" si="12"/>
        <v>1.6093366093366093</v>
      </c>
    </row>
    <row r="27" spans="1:14" ht="13.5" customHeight="1">
      <c r="A27" s="127" t="s">
        <v>26</v>
      </c>
      <c r="B27" s="105">
        <v>13089</v>
      </c>
      <c r="C27" s="104"/>
      <c r="D27" s="97">
        <f t="shared" si="8"/>
        <v>13089</v>
      </c>
      <c r="E27" s="105">
        <v>13710</v>
      </c>
      <c r="F27" s="104"/>
      <c r="G27" s="121">
        <f t="shared" si="9"/>
        <v>13710</v>
      </c>
      <c r="H27" s="98">
        <f t="shared" si="2"/>
        <v>621</v>
      </c>
      <c r="I27" s="99">
        <f t="shared" si="11"/>
        <v>1.0474444189777676</v>
      </c>
      <c r="J27" s="105">
        <v>15045</v>
      </c>
      <c r="K27" s="104"/>
      <c r="L27" s="124">
        <f t="shared" si="10"/>
        <v>15045</v>
      </c>
      <c r="M27" s="98">
        <f t="shared" si="4"/>
        <v>1335</v>
      </c>
      <c r="N27" s="101">
        <f t="shared" si="12"/>
        <v>1.0973741794310723</v>
      </c>
    </row>
    <row r="28" spans="1:14" ht="13.5" customHeight="1">
      <c r="A28" s="106" t="s">
        <v>27</v>
      </c>
      <c r="B28" s="103">
        <v>9559</v>
      </c>
      <c r="C28" s="104"/>
      <c r="D28" s="97">
        <f t="shared" si="8"/>
        <v>9559</v>
      </c>
      <c r="E28" s="103">
        <v>10002</v>
      </c>
      <c r="F28" s="104"/>
      <c r="G28" s="121">
        <f t="shared" si="9"/>
        <v>10002</v>
      </c>
      <c r="H28" s="98">
        <f t="shared" si="2"/>
        <v>443</v>
      </c>
      <c r="I28" s="99">
        <f t="shared" si="11"/>
        <v>1.0463437598075112</v>
      </c>
      <c r="J28" s="126">
        <v>11095</v>
      </c>
      <c r="K28" s="128"/>
      <c r="L28" s="124">
        <f t="shared" si="10"/>
        <v>11095</v>
      </c>
      <c r="M28" s="98">
        <f t="shared" si="4"/>
        <v>1093</v>
      </c>
      <c r="N28" s="101">
        <f t="shared" si="12"/>
        <v>1.1092781443711257</v>
      </c>
    </row>
    <row r="29" spans="1:14" ht="13.5" customHeight="1">
      <c r="A29" s="127" t="s">
        <v>28</v>
      </c>
      <c r="B29" s="103">
        <v>9411</v>
      </c>
      <c r="C29" s="104"/>
      <c r="D29" s="97">
        <f t="shared" si="8"/>
        <v>9411</v>
      </c>
      <c r="E29" s="103">
        <v>9914</v>
      </c>
      <c r="F29" s="104"/>
      <c r="G29" s="121">
        <f t="shared" si="9"/>
        <v>9914</v>
      </c>
      <c r="H29" s="98">
        <f t="shared" si="2"/>
        <v>503</v>
      </c>
      <c r="I29" s="99">
        <f t="shared" si="11"/>
        <v>1.0534480926575285</v>
      </c>
      <c r="J29" s="105">
        <v>11020</v>
      </c>
      <c r="K29" s="104"/>
      <c r="L29" s="124">
        <f t="shared" si="10"/>
        <v>11020</v>
      </c>
      <c r="M29" s="98">
        <f t="shared" si="4"/>
        <v>1106</v>
      </c>
      <c r="N29" s="101">
        <f t="shared" si="12"/>
        <v>1.1115594109340328</v>
      </c>
    </row>
    <row r="30" spans="1:14" ht="13.5" customHeight="1">
      <c r="A30" s="106" t="s">
        <v>29</v>
      </c>
      <c r="B30" s="103">
        <v>148</v>
      </c>
      <c r="C30" s="104"/>
      <c r="D30" s="97">
        <f t="shared" si="8"/>
        <v>148</v>
      </c>
      <c r="E30" s="103">
        <v>88</v>
      </c>
      <c r="F30" s="104"/>
      <c r="G30" s="121">
        <f t="shared" si="9"/>
        <v>88</v>
      </c>
      <c r="H30" s="98">
        <f t="shared" si="2"/>
        <v>-60</v>
      </c>
      <c r="I30" s="99">
        <f t="shared" si="11"/>
        <v>0.5945945945945946</v>
      </c>
      <c r="J30" s="105">
        <v>75</v>
      </c>
      <c r="K30" s="104"/>
      <c r="L30" s="124">
        <f t="shared" si="10"/>
        <v>75</v>
      </c>
      <c r="M30" s="98">
        <f t="shared" si="4"/>
        <v>-13</v>
      </c>
      <c r="N30" s="101">
        <f t="shared" si="12"/>
        <v>0.8522727272727273</v>
      </c>
    </row>
    <row r="31" spans="1:14" ht="13.5" customHeight="1">
      <c r="A31" s="106" t="s">
        <v>30</v>
      </c>
      <c r="B31" s="103">
        <v>3530</v>
      </c>
      <c r="C31" s="104"/>
      <c r="D31" s="97">
        <f t="shared" si="8"/>
        <v>3530</v>
      </c>
      <c r="E31" s="103">
        <v>3708</v>
      </c>
      <c r="F31" s="104"/>
      <c r="G31" s="121">
        <f t="shared" si="9"/>
        <v>3708</v>
      </c>
      <c r="H31" s="98">
        <f t="shared" si="2"/>
        <v>178</v>
      </c>
      <c r="I31" s="99">
        <f t="shared" si="11"/>
        <v>1.0504249291784702</v>
      </c>
      <c r="J31" s="105">
        <v>3950</v>
      </c>
      <c r="K31" s="104"/>
      <c r="L31" s="124">
        <f t="shared" si="10"/>
        <v>3950</v>
      </c>
      <c r="M31" s="98">
        <f t="shared" si="4"/>
        <v>242</v>
      </c>
      <c r="N31" s="101">
        <f t="shared" si="12"/>
        <v>1.0652642934196332</v>
      </c>
    </row>
    <row r="32" spans="1:14" ht="13.5" customHeight="1">
      <c r="A32" s="127" t="s">
        <v>31</v>
      </c>
      <c r="B32" s="103">
        <v>-2</v>
      </c>
      <c r="C32" s="104"/>
      <c r="D32" s="97">
        <f t="shared" si="8"/>
        <v>-2</v>
      </c>
      <c r="E32" s="103">
        <v>1</v>
      </c>
      <c r="F32" s="104"/>
      <c r="G32" s="121">
        <f t="shared" si="9"/>
        <v>1</v>
      </c>
      <c r="H32" s="98">
        <f t="shared" si="2"/>
        <v>3</v>
      </c>
      <c r="I32" s="99">
        <f t="shared" si="11"/>
        <v>-0.5</v>
      </c>
      <c r="J32" s="105">
        <v>2</v>
      </c>
      <c r="K32" s="104"/>
      <c r="L32" s="124">
        <f t="shared" si="10"/>
        <v>2</v>
      </c>
      <c r="M32" s="98">
        <f t="shared" si="4"/>
        <v>1</v>
      </c>
      <c r="N32" s="101">
        <f t="shared" si="12"/>
        <v>2</v>
      </c>
    </row>
    <row r="33" spans="1:14" ht="13.5" customHeight="1">
      <c r="A33" s="127" t="s">
        <v>32</v>
      </c>
      <c r="B33" s="103">
        <v>111</v>
      </c>
      <c r="C33" s="104"/>
      <c r="D33" s="97">
        <f t="shared" si="8"/>
        <v>111</v>
      </c>
      <c r="E33" s="103">
        <v>144</v>
      </c>
      <c r="F33" s="104"/>
      <c r="G33" s="121">
        <f t="shared" si="9"/>
        <v>144</v>
      </c>
      <c r="H33" s="98">
        <f t="shared" si="2"/>
        <v>33</v>
      </c>
      <c r="I33" s="99">
        <f t="shared" si="11"/>
        <v>1.2972972972972974</v>
      </c>
      <c r="J33" s="105">
        <v>160</v>
      </c>
      <c r="K33" s="104"/>
      <c r="L33" s="124">
        <f t="shared" si="10"/>
        <v>160</v>
      </c>
      <c r="M33" s="98">
        <f t="shared" si="4"/>
        <v>16</v>
      </c>
      <c r="N33" s="101">
        <f t="shared" si="12"/>
        <v>1.1111111111111112</v>
      </c>
    </row>
    <row r="34" spans="1:14" ht="13.5" customHeight="1">
      <c r="A34" s="106" t="s">
        <v>33</v>
      </c>
      <c r="B34" s="103">
        <v>441</v>
      </c>
      <c r="C34" s="104"/>
      <c r="D34" s="97">
        <f t="shared" si="8"/>
        <v>441</v>
      </c>
      <c r="E34" s="103">
        <v>487</v>
      </c>
      <c r="F34" s="104"/>
      <c r="G34" s="121">
        <f t="shared" si="9"/>
        <v>487</v>
      </c>
      <c r="H34" s="98">
        <f t="shared" si="2"/>
        <v>46</v>
      </c>
      <c r="I34" s="99">
        <f t="shared" si="11"/>
        <v>1.1043083900226758</v>
      </c>
      <c r="J34" s="126">
        <v>468</v>
      </c>
      <c r="K34" s="104"/>
      <c r="L34" s="124">
        <f t="shared" si="10"/>
        <v>468</v>
      </c>
      <c r="M34" s="98">
        <f t="shared" si="4"/>
        <v>-19</v>
      </c>
      <c r="N34" s="101">
        <f t="shared" si="12"/>
        <v>0.9609856262833676</v>
      </c>
    </row>
    <row r="35" spans="1:14" ht="22.5" customHeight="1">
      <c r="A35" s="106" t="s">
        <v>34</v>
      </c>
      <c r="B35" s="103">
        <v>441</v>
      </c>
      <c r="C35" s="104"/>
      <c r="D35" s="97">
        <f t="shared" si="8"/>
        <v>441</v>
      </c>
      <c r="E35" s="103">
        <v>487</v>
      </c>
      <c r="F35" s="104"/>
      <c r="G35" s="121">
        <f t="shared" si="9"/>
        <v>487</v>
      </c>
      <c r="H35" s="98">
        <f t="shared" si="2"/>
        <v>46</v>
      </c>
      <c r="I35" s="99">
        <f t="shared" si="11"/>
        <v>1.1043083900226758</v>
      </c>
      <c r="J35" s="126">
        <v>468</v>
      </c>
      <c r="K35" s="104"/>
      <c r="L35" s="124">
        <f t="shared" si="10"/>
        <v>468</v>
      </c>
      <c r="M35" s="98">
        <f t="shared" si="4"/>
        <v>-19</v>
      </c>
      <c r="N35" s="101">
        <f t="shared" si="12"/>
        <v>0.9609856262833676</v>
      </c>
    </row>
    <row r="36" spans="1:14" ht="13.5" customHeight="1" thickBot="1">
      <c r="A36" s="129" t="s">
        <v>35</v>
      </c>
      <c r="B36" s="107">
        <v>0</v>
      </c>
      <c r="C36" s="108"/>
      <c r="D36" s="97">
        <f t="shared" si="8"/>
        <v>0</v>
      </c>
      <c r="E36" s="107"/>
      <c r="F36" s="108"/>
      <c r="G36" s="121">
        <f t="shared" si="9"/>
        <v>0</v>
      </c>
      <c r="H36" s="109">
        <f t="shared" si="2"/>
        <v>0</v>
      </c>
      <c r="I36" s="110"/>
      <c r="J36" s="130">
        <v>0</v>
      </c>
      <c r="K36" s="108"/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19933</v>
      </c>
      <c r="C37" s="114">
        <f t="shared" si="13"/>
        <v>0</v>
      </c>
      <c r="D37" s="115">
        <f t="shared" si="13"/>
        <v>19933</v>
      </c>
      <c r="E37" s="113">
        <f t="shared" si="13"/>
        <v>20830</v>
      </c>
      <c r="F37" s="114">
        <f t="shared" si="13"/>
        <v>0</v>
      </c>
      <c r="G37" s="115">
        <f t="shared" si="13"/>
        <v>20830</v>
      </c>
      <c r="H37" s="116">
        <f t="shared" si="2"/>
        <v>897</v>
      </c>
      <c r="I37" s="117">
        <f t="shared" si="11"/>
        <v>1.0450007525209453</v>
      </c>
      <c r="J37" s="118">
        <f>SUM(J19+J21+J22+J23+J24+J27+J32+J33+J34+J36)</f>
        <v>23750</v>
      </c>
      <c r="K37" s="114">
        <f>SUM(K19+K21+K22+K23+K24+K27+K32+K33+K34+K36)</f>
        <v>0</v>
      </c>
      <c r="L37" s="115">
        <f>SUM(L19+L21+L22+L23+L24+L27+L32+L33+L34+L36)</f>
        <v>23750</v>
      </c>
      <c r="M37" s="116">
        <f t="shared" si="4"/>
        <v>2920</v>
      </c>
      <c r="N37" s="119">
        <f t="shared" si="12"/>
        <v>1.1401824291886702</v>
      </c>
    </row>
    <row r="38" spans="1:14" ht="13.5" customHeight="1" thickBot="1">
      <c r="A38" s="112" t="s">
        <v>37</v>
      </c>
      <c r="B38" s="470">
        <f>+D18-D37</f>
        <v>9</v>
      </c>
      <c r="C38" s="470"/>
      <c r="D38" s="470"/>
      <c r="E38" s="471">
        <v>0.2</v>
      </c>
      <c r="F38" s="471"/>
      <c r="G38" s="471">
        <v>-50784</v>
      </c>
      <c r="H38" s="131">
        <f>+E38-B38</f>
        <v>-8.8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456"/>
      <c r="E42" s="456"/>
      <c r="F42" s="456"/>
      <c r="G42" s="444"/>
      <c r="H42" s="461"/>
      <c r="I42" s="461"/>
      <c r="J42" s="461"/>
      <c r="K42" s="461"/>
      <c r="L42" s="444"/>
      <c r="O42"/>
      <c r="P42"/>
    </row>
    <row r="43" spans="1:16" ht="12.75">
      <c r="A43" s="469" t="s">
        <v>418</v>
      </c>
      <c r="B43" s="469"/>
      <c r="C43" s="134">
        <v>399</v>
      </c>
      <c r="D43" s="468" t="s">
        <v>419</v>
      </c>
      <c r="E43" s="468"/>
      <c r="F43" s="468"/>
      <c r="G43" s="135">
        <v>52</v>
      </c>
      <c r="H43" s="467" t="s">
        <v>420</v>
      </c>
      <c r="I43" s="467"/>
      <c r="J43" s="467"/>
      <c r="K43" s="467"/>
      <c r="L43" s="136">
        <v>200</v>
      </c>
      <c r="O43"/>
      <c r="P43"/>
    </row>
    <row r="44" spans="1:16" ht="12.75">
      <c r="A44" s="463" t="s">
        <v>97</v>
      </c>
      <c r="B44" s="463"/>
      <c r="C44" s="137">
        <v>54</v>
      </c>
      <c r="D44" s="468" t="s">
        <v>421</v>
      </c>
      <c r="E44" s="468"/>
      <c r="F44" s="468"/>
      <c r="G44" s="138">
        <v>108</v>
      </c>
      <c r="H44" s="467" t="s">
        <v>422</v>
      </c>
      <c r="I44" s="467"/>
      <c r="J44" s="467"/>
      <c r="K44" s="467"/>
      <c r="L44" s="136">
        <v>90</v>
      </c>
      <c r="O44"/>
      <c r="P44"/>
    </row>
    <row r="45" spans="1:16" ht="12.75">
      <c r="A45" s="463" t="s">
        <v>163</v>
      </c>
      <c r="B45" s="463"/>
      <c r="C45" s="137">
        <v>98</v>
      </c>
      <c r="D45" s="468" t="s">
        <v>145</v>
      </c>
      <c r="E45" s="468"/>
      <c r="F45" s="468"/>
      <c r="G45" s="138">
        <v>60</v>
      </c>
      <c r="H45" s="467" t="s">
        <v>423</v>
      </c>
      <c r="I45" s="467"/>
      <c r="J45" s="467"/>
      <c r="K45" s="467"/>
      <c r="L45" s="136">
        <v>130</v>
      </c>
      <c r="O45"/>
      <c r="P45"/>
    </row>
    <row r="46" spans="1:16" ht="12.75">
      <c r="A46" s="463"/>
      <c r="B46" s="463"/>
      <c r="C46" s="139"/>
      <c r="D46" s="463" t="s">
        <v>424</v>
      </c>
      <c r="E46" s="463"/>
      <c r="F46" s="463"/>
      <c r="G46" s="140">
        <v>119</v>
      </c>
      <c r="H46" s="464" t="s">
        <v>425</v>
      </c>
      <c r="I46" s="464"/>
      <c r="J46" s="464"/>
      <c r="K46" s="464"/>
      <c r="L46" s="136">
        <v>221</v>
      </c>
      <c r="O46"/>
      <c r="P46"/>
    </row>
    <row r="47" spans="1:16" ht="12.75">
      <c r="A47" s="463"/>
      <c r="B47" s="463"/>
      <c r="C47" s="139"/>
      <c r="D47" s="463"/>
      <c r="E47" s="463"/>
      <c r="F47" s="463"/>
      <c r="G47" s="140"/>
      <c r="H47" s="464" t="s">
        <v>426</v>
      </c>
      <c r="I47" s="464"/>
      <c r="J47" s="464"/>
      <c r="K47" s="464"/>
      <c r="L47" s="136">
        <v>119</v>
      </c>
      <c r="O47"/>
      <c r="P47"/>
    </row>
    <row r="48" spans="1:16" ht="12.75">
      <c r="A48" s="463"/>
      <c r="B48" s="463"/>
      <c r="C48" s="139"/>
      <c r="D48" s="463"/>
      <c r="E48" s="463"/>
      <c r="F48" s="463"/>
      <c r="G48" s="140"/>
      <c r="H48" s="464"/>
      <c r="I48" s="464"/>
      <c r="J48" s="464"/>
      <c r="K48" s="464"/>
      <c r="L48" s="136"/>
      <c r="O48"/>
      <c r="P48"/>
    </row>
    <row r="49" spans="1:16" ht="13.5" thickBot="1">
      <c r="A49" s="465"/>
      <c r="B49" s="465"/>
      <c r="C49" s="139"/>
      <c r="D49" s="466"/>
      <c r="E49" s="466"/>
      <c r="F49" s="466"/>
      <c r="G49" s="140"/>
      <c r="H49" s="467"/>
      <c r="I49" s="467"/>
      <c r="J49" s="467"/>
      <c r="K49" s="467"/>
      <c r="L49" s="136"/>
      <c r="O49"/>
      <c r="P49"/>
    </row>
    <row r="50" spans="1:16" ht="13.5" thickBot="1">
      <c r="A50" s="450"/>
      <c r="B50" s="450"/>
      <c r="C50" s="141">
        <f>SUM(C43:C49)</f>
        <v>551</v>
      </c>
      <c r="D50" s="451" t="s">
        <v>3</v>
      </c>
      <c r="E50" s="451"/>
      <c r="F50" s="451"/>
      <c r="G50" s="141">
        <f>SUM(G43:G49)</f>
        <v>339</v>
      </c>
      <c r="H50" s="452" t="s">
        <v>3</v>
      </c>
      <c r="I50" s="452"/>
      <c r="J50" s="452"/>
      <c r="K50" s="452"/>
      <c r="L50" s="141">
        <f>SUM(L43:L49)</f>
        <v>760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427</v>
      </c>
      <c r="B54" s="446"/>
      <c r="C54" s="233">
        <v>94</v>
      </c>
      <c r="D54" s="447" t="s">
        <v>427</v>
      </c>
      <c r="E54" s="447"/>
      <c r="F54" s="447"/>
      <c r="G54" s="142">
        <v>50</v>
      </c>
      <c r="H54" s="467" t="s">
        <v>94</v>
      </c>
      <c r="I54" s="467"/>
      <c r="J54" s="467"/>
      <c r="K54" s="467"/>
      <c r="L54" s="136">
        <v>200</v>
      </c>
      <c r="O54"/>
      <c r="P54"/>
    </row>
    <row r="55" spans="1:16" ht="13.5" customHeight="1">
      <c r="A55" s="418" t="s">
        <v>164</v>
      </c>
      <c r="B55" s="419"/>
      <c r="C55" s="234">
        <v>134</v>
      </c>
      <c r="D55" s="420" t="s">
        <v>428</v>
      </c>
      <c r="E55" s="420"/>
      <c r="F55" s="420"/>
      <c r="G55" s="143">
        <v>71</v>
      </c>
      <c r="H55" s="464"/>
      <c r="I55" s="464"/>
      <c r="J55" s="464"/>
      <c r="K55" s="464"/>
      <c r="L55" s="144"/>
      <c r="O55"/>
      <c r="P55"/>
    </row>
    <row r="56" spans="1:16" ht="13.5" customHeight="1">
      <c r="A56" s="418" t="s">
        <v>94</v>
      </c>
      <c r="B56" s="419"/>
      <c r="C56" s="234">
        <v>86</v>
      </c>
      <c r="D56" s="420"/>
      <c r="E56" s="420"/>
      <c r="F56" s="420"/>
      <c r="G56" s="143"/>
      <c r="H56" s="464"/>
      <c r="I56" s="464"/>
      <c r="J56" s="464"/>
      <c r="K56" s="464"/>
      <c r="L56" s="144"/>
      <c r="O56"/>
      <c r="P56"/>
    </row>
    <row r="57" spans="1:16" ht="13.5" customHeight="1">
      <c r="A57" s="418"/>
      <c r="B57" s="419"/>
      <c r="C57" s="234"/>
      <c r="D57" s="420"/>
      <c r="E57" s="420"/>
      <c r="F57" s="420"/>
      <c r="G57" s="143"/>
      <c r="H57" s="464"/>
      <c r="I57" s="464"/>
      <c r="J57" s="464"/>
      <c r="K57" s="464"/>
      <c r="L57" s="144"/>
      <c r="O57"/>
      <c r="P57"/>
    </row>
    <row r="58" spans="1:16" ht="13.5" customHeight="1">
      <c r="A58" s="418"/>
      <c r="B58" s="419"/>
      <c r="C58" s="235"/>
      <c r="D58" s="420"/>
      <c r="E58" s="420"/>
      <c r="F58" s="420"/>
      <c r="G58" s="145"/>
      <c r="H58" s="464"/>
      <c r="I58" s="464"/>
      <c r="J58" s="464"/>
      <c r="K58" s="464"/>
      <c r="L58" s="146"/>
      <c r="O58"/>
      <c r="P58"/>
    </row>
    <row r="59" spans="1:16" ht="13.5" customHeight="1">
      <c r="A59" s="418"/>
      <c r="B59" s="419"/>
      <c r="C59" s="235"/>
      <c r="D59" s="420"/>
      <c r="E59" s="420"/>
      <c r="F59" s="420"/>
      <c r="G59" s="145"/>
      <c r="H59" s="464"/>
      <c r="I59" s="464"/>
      <c r="J59" s="464"/>
      <c r="K59" s="464"/>
      <c r="L59" s="146"/>
      <c r="O59"/>
      <c r="P59"/>
    </row>
    <row r="60" spans="1:16" ht="13.5" customHeight="1">
      <c r="A60" s="418"/>
      <c r="B60" s="518"/>
      <c r="C60" s="234"/>
      <c r="D60" s="420"/>
      <c r="E60" s="420"/>
      <c r="F60" s="420"/>
      <c r="G60" s="143"/>
      <c r="H60" s="464"/>
      <c r="I60" s="464"/>
      <c r="J60" s="464"/>
      <c r="K60" s="464"/>
      <c r="L60" s="144"/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/>
      <c r="I61" s="514"/>
      <c r="J61" s="514"/>
      <c r="K61" s="514"/>
      <c r="L61" s="148"/>
      <c r="O61"/>
      <c r="P61"/>
    </row>
    <row r="62" spans="1:16" ht="13.5" thickBot="1">
      <c r="A62" s="515" t="s">
        <v>3</v>
      </c>
      <c r="B62" s="516"/>
      <c r="C62" s="237">
        <f>SUM(C54:C61)</f>
        <v>314</v>
      </c>
      <c r="D62" s="517" t="s">
        <v>3</v>
      </c>
      <c r="E62" s="517"/>
      <c r="F62" s="517"/>
      <c r="G62" s="149">
        <f>SUM(G54:G61)</f>
        <v>121</v>
      </c>
      <c r="H62" s="452" t="s">
        <v>3</v>
      </c>
      <c r="I62" s="452"/>
      <c r="J62" s="452"/>
      <c r="K62" s="452"/>
      <c r="L62" s="141">
        <f>SUM(L54:L61)</f>
        <v>200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0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7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7</v>
      </c>
      <c r="C68" s="478"/>
      <c r="D68" s="478"/>
      <c r="E68" s="65"/>
      <c r="F68" s="486" t="s">
        <v>127</v>
      </c>
      <c r="G68" s="479"/>
      <c r="H68" s="57">
        <v>0.2</v>
      </c>
      <c r="I68" s="478" t="s">
        <v>511</v>
      </c>
      <c r="J68" s="479"/>
      <c r="K68" s="479"/>
      <c r="L68" s="65">
        <v>7</v>
      </c>
      <c r="M68" s="22"/>
      <c r="N68" s="22"/>
    </row>
    <row r="69" spans="1:14" s="1" customFormat="1" ht="12.75">
      <c r="A69" s="64" t="s">
        <v>125</v>
      </c>
      <c r="B69" s="57"/>
      <c r="C69" s="478"/>
      <c r="D69" s="478"/>
      <c r="E69" s="65"/>
      <c r="F69" s="478"/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7</v>
      </c>
      <c r="C71" s="473" t="s">
        <v>3</v>
      </c>
      <c r="D71" s="473"/>
      <c r="E71" s="70">
        <f>SUM(E67:E70)</f>
        <v>0</v>
      </c>
      <c r="F71" s="474" t="s">
        <v>3</v>
      </c>
      <c r="G71" s="475"/>
      <c r="H71" s="66">
        <f>SUM(H67:H70)</f>
        <v>7.2</v>
      </c>
      <c r="I71" s="473" t="s">
        <v>3</v>
      </c>
      <c r="J71" s="475"/>
      <c r="K71" s="475"/>
      <c r="L71" s="70">
        <f>SUM(L67:L70)</f>
        <v>7</v>
      </c>
      <c r="M71" s="22"/>
      <c r="N71" s="22"/>
    </row>
    <row r="72" spans="1:14" s="1" customFormat="1" ht="13.5" thickBot="1">
      <c r="A72" s="78" t="s">
        <v>212</v>
      </c>
      <c r="B72" s="79">
        <f>B71-E71</f>
        <v>7</v>
      </c>
      <c r="C72" s="22"/>
      <c r="D72" s="22"/>
      <c r="E72" s="22"/>
      <c r="F72" s="476" t="s">
        <v>212</v>
      </c>
      <c r="G72" s="477"/>
      <c r="H72" s="80">
        <f>H71-L71</f>
        <v>0.20000000000000018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/>
      <c r="O78" s="85"/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16707</v>
      </c>
      <c r="B80" s="30">
        <v>6832</v>
      </c>
      <c r="C80" s="73">
        <f>SUM(D80:I80)</f>
        <v>468</v>
      </c>
      <c r="D80" s="74">
        <v>161</v>
      </c>
      <c r="E80" s="74">
        <v>164</v>
      </c>
      <c r="F80" s="74">
        <v>24</v>
      </c>
      <c r="G80" s="74">
        <v>0</v>
      </c>
      <c r="H80" s="73">
        <v>119</v>
      </c>
      <c r="I80" s="81">
        <v>0</v>
      </c>
      <c r="J80" s="31">
        <f>SUM(A80-B80-C80)</f>
        <v>9407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905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1154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0</v>
      </c>
      <c r="C86" s="43">
        <v>0</v>
      </c>
      <c r="D86" s="44">
        <v>0</v>
      </c>
      <c r="E86" s="44">
        <v>0</v>
      </c>
      <c r="F86" s="45">
        <f>C86+D86-E86</f>
        <v>0</v>
      </c>
      <c r="G86" s="46">
        <v>0</v>
      </c>
      <c r="H86" s="198">
        <f>+G86-F86</f>
        <v>0</v>
      </c>
      <c r="I86" s="43">
        <v>0</v>
      </c>
      <c r="J86" s="44">
        <v>0</v>
      </c>
      <c r="K86" s="44">
        <v>0</v>
      </c>
      <c r="L86" s="45">
        <f>I86+J86-K86</f>
        <v>0</v>
      </c>
    </row>
    <row r="87" spans="1:12" s="1" customFormat="1" ht="12.75">
      <c r="A87" s="41" t="s">
        <v>73</v>
      </c>
      <c r="B87" s="42">
        <v>0</v>
      </c>
      <c r="C87" s="43">
        <v>0</v>
      </c>
      <c r="D87" s="44">
        <v>7</v>
      </c>
      <c r="E87" s="44">
        <v>0</v>
      </c>
      <c r="F87" s="45">
        <f>C87+D87-E87</f>
        <v>7</v>
      </c>
      <c r="G87" s="46">
        <v>7</v>
      </c>
      <c r="H87" s="198">
        <f>+G87-F87</f>
        <v>0</v>
      </c>
      <c r="I87" s="395">
        <v>7</v>
      </c>
      <c r="J87" s="396">
        <v>0.2</v>
      </c>
      <c r="K87" s="396">
        <v>7</v>
      </c>
      <c r="L87" s="397">
        <f>I87+J87-K87</f>
        <v>0.20000000000000018</v>
      </c>
    </row>
    <row r="88" spans="1:12" s="1" customFormat="1" ht="12.75">
      <c r="A88" s="41" t="s">
        <v>96</v>
      </c>
      <c r="B88" s="42">
        <v>144</v>
      </c>
      <c r="C88" s="43">
        <v>144</v>
      </c>
      <c r="D88" s="44">
        <v>487</v>
      </c>
      <c r="E88" s="44">
        <v>339</v>
      </c>
      <c r="F88" s="45">
        <f>C88+D88-E88</f>
        <v>292</v>
      </c>
      <c r="G88" s="46">
        <v>453</v>
      </c>
      <c r="H88" s="198">
        <f>+G88-F88</f>
        <v>161</v>
      </c>
      <c r="I88" s="206">
        <v>292</v>
      </c>
      <c r="J88" s="196">
        <v>468</v>
      </c>
      <c r="K88" s="196">
        <v>760</v>
      </c>
      <c r="L88" s="45">
        <f>I88+J88-K88</f>
        <v>0</v>
      </c>
    </row>
    <row r="89" spans="1:12" s="1" customFormat="1" ht="12.75">
      <c r="A89" s="41" t="s">
        <v>74</v>
      </c>
      <c r="B89" s="42">
        <v>761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694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35</v>
      </c>
      <c r="C90" s="49">
        <v>42</v>
      </c>
      <c r="D90" s="50">
        <v>198</v>
      </c>
      <c r="E90" s="50">
        <v>235</v>
      </c>
      <c r="F90" s="51">
        <f>C90+D90-E90</f>
        <v>5</v>
      </c>
      <c r="G90" s="52">
        <v>5</v>
      </c>
      <c r="H90" s="199">
        <f>+G90-F90</f>
        <v>0</v>
      </c>
      <c r="I90" s="49">
        <v>5</v>
      </c>
      <c r="J90" s="50">
        <v>221</v>
      </c>
      <c r="K90" s="50">
        <v>226</v>
      </c>
      <c r="L90" s="51">
        <f>I90+J90-K90</f>
        <v>0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165</v>
      </c>
      <c r="C96" s="159">
        <v>148</v>
      </c>
      <c r="D96" s="159">
        <v>0</v>
      </c>
      <c r="E96" s="159">
        <v>0</v>
      </c>
      <c r="F96" s="159">
        <v>0</v>
      </c>
      <c r="G96" s="158">
        <v>4</v>
      </c>
      <c r="H96" s="160">
        <f>SUM(C96:G96)</f>
        <v>152</v>
      </c>
      <c r="I96" s="27"/>
      <c r="J96" s="161">
        <v>2006</v>
      </c>
      <c r="K96" s="162">
        <v>10002</v>
      </c>
      <c r="L96" s="163">
        <v>10002</v>
      </c>
    </row>
    <row r="97" spans="1:12" ht="13.5" thickBot="1">
      <c r="A97" s="164" t="s">
        <v>83</v>
      </c>
      <c r="B97" s="165">
        <v>1562</v>
      </c>
      <c r="C97" s="166">
        <v>146</v>
      </c>
      <c r="D97" s="166">
        <v>0</v>
      </c>
      <c r="E97" s="166">
        <v>0</v>
      </c>
      <c r="F97" s="166">
        <v>0</v>
      </c>
      <c r="G97" s="165">
        <v>0</v>
      </c>
      <c r="H97" s="167">
        <f>SUM(C97:G97)</f>
        <v>146</v>
      </c>
      <c r="I97" s="27"/>
      <c r="J97" s="168">
        <v>2007</v>
      </c>
      <c r="K97" s="169">
        <v>11020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4.39</v>
      </c>
      <c r="C102" s="175">
        <v>4.98</v>
      </c>
      <c r="D102" s="175">
        <f aca="true" t="shared" si="14" ref="D102:D111">+C102-B102</f>
        <v>0.5900000000000007</v>
      </c>
      <c r="E102" s="175">
        <v>4.5</v>
      </c>
      <c r="F102" s="175">
        <v>4.75</v>
      </c>
      <c r="G102" s="176">
        <f aca="true" t="shared" si="15" ref="G102:G112">+F102-E102</f>
        <v>0.25</v>
      </c>
      <c r="H102" s="177">
        <v>20739</v>
      </c>
      <c r="I102" s="178">
        <v>20698</v>
      </c>
      <c r="J102" s="179">
        <f aca="true" t="shared" si="16" ref="J102:J112">+I102-H102</f>
        <v>-41</v>
      </c>
    </row>
    <row r="103" spans="1:10" ht="12.75">
      <c r="A103" s="174" t="s">
        <v>85</v>
      </c>
      <c r="B103" s="175">
        <v>7</v>
      </c>
      <c r="C103" s="175">
        <v>7</v>
      </c>
      <c r="D103" s="175">
        <f t="shared" si="14"/>
        <v>0</v>
      </c>
      <c r="E103" s="175">
        <v>7</v>
      </c>
      <c r="F103" s="175">
        <v>7</v>
      </c>
      <c r="G103" s="176">
        <f t="shared" si="15"/>
        <v>0</v>
      </c>
      <c r="H103" s="177">
        <v>21244</v>
      </c>
      <c r="I103" s="180">
        <v>23570</v>
      </c>
      <c r="J103" s="179">
        <f t="shared" si="16"/>
        <v>2326</v>
      </c>
    </row>
    <row r="104" spans="1:10" ht="12.75">
      <c r="A104" s="174" t="s">
        <v>52</v>
      </c>
      <c r="B104" s="175">
        <v>1</v>
      </c>
      <c r="C104" s="175">
        <v>1</v>
      </c>
      <c r="D104" s="175">
        <f t="shared" si="14"/>
        <v>0</v>
      </c>
      <c r="E104" s="175">
        <v>1</v>
      </c>
      <c r="F104" s="175">
        <v>1</v>
      </c>
      <c r="G104" s="176">
        <f t="shared" si="15"/>
        <v>0</v>
      </c>
      <c r="H104" s="177">
        <v>18608</v>
      </c>
      <c r="I104" s="180">
        <v>19131</v>
      </c>
      <c r="J104" s="179">
        <f t="shared" si="16"/>
        <v>523</v>
      </c>
    </row>
    <row r="105" spans="1:10" ht="12.75">
      <c r="A105" s="174" t="s">
        <v>53</v>
      </c>
      <c r="B105" s="175">
        <v>0</v>
      </c>
      <c r="C105" s="175">
        <v>0</v>
      </c>
      <c r="D105" s="175">
        <f t="shared" si="14"/>
        <v>0</v>
      </c>
      <c r="E105" s="175">
        <v>0</v>
      </c>
      <c r="F105" s="175">
        <v>0</v>
      </c>
      <c r="G105" s="176">
        <f t="shared" si="15"/>
        <v>0</v>
      </c>
      <c r="H105" s="177">
        <v>0</v>
      </c>
      <c r="I105" s="180">
        <v>0</v>
      </c>
      <c r="J105" s="179">
        <f t="shared" si="16"/>
        <v>0</v>
      </c>
    </row>
    <row r="106" spans="1:10" ht="12.75">
      <c r="A106" s="174" t="s">
        <v>86</v>
      </c>
      <c r="B106" s="175">
        <v>0</v>
      </c>
      <c r="C106" s="175">
        <v>0</v>
      </c>
      <c r="D106" s="175">
        <f t="shared" si="14"/>
        <v>0</v>
      </c>
      <c r="E106" s="175">
        <v>0</v>
      </c>
      <c r="F106" s="175">
        <v>0</v>
      </c>
      <c r="G106" s="176">
        <f t="shared" si="15"/>
        <v>0</v>
      </c>
      <c r="H106" s="177">
        <v>0</v>
      </c>
      <c r="I106" s="180">
        <v>0</v>
      </c>
      <c r="J106" s="179">
        <f t="shared" si="16"/>
        <v>0</v>
      </c>
    </row>
    <row r="107" spans="1:10" ht="12.75">
      <c r="A107" s="174" t="s">
        <v>54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55</v>
      </c>
      <c r="B108" s="175">
        <v>4</v>
      </c>
      <c r="C108" s="175">
        <v>4.54</v>
      </c>
      <c r="D108" s="175">
        <f t="shared" si="14"/>
        <v>0.54</v>
      </c>
      <c r="E108" s="175">
        <v>4</v>
      </c>
      <c r="F108" s="175">
        <v>5.3</v>
      </c>
      <c r="G108" s="176">
        <f t="shared" si="15"/>
        <v>1.2999999999999998</v>
      </c>
      <c r="H108" s="177">
        <v>15981</v>
      </c>
      <c r="I108" s="180">
        <v>17948</v>
      </c>
      <c r="J108" s="179">
        <f t="shared" si="16"/>
        <v>1967</v>
      </c>
    </row>
    <row r="109" spans="1:10" ht="12.75">
      <c r="A109" s="174" t="s">
        <v>56</v>
      </c>
      <c r="B109" s="175">
        <v>9.41</v>
      </c>
      <c r="C109" s="175">
        <v>8.85</v>
      </c>
      <c r="D109" s="175">
        <f t="shared" si="14"/>
        <v>-0.5600000000000005</v>
      </c>
      <c r="E109" s="175">
        <v>9</v>
      </c>
      <c r="F109" s="175">
        <v>8</v>
      </c>
      <c r="G109" s="176">
        <f t="shared" si="15"/>
        <v>-1</v>
      </c>
      <c r="H109" s="177">
        <v>14044</v>
      </c>
      <c r="I109" s="180">
        <v>15033</v>
      </c>
      <c r="J109" s="179">
        <f t="shared" si="16"/>
        <v>989</v>
      </c>
    </row>
    <row r="110" spans="1:10" ht="12.75">
      <c r="A110" s="174" t="s">
        <v>57</v>
      </c>
      <c r="B110" s="175">
        <v>4</v>
      </c>
      <c r="C110" s="175">
        <v>3.44</v>
      </c>
      <c r="D110" s="175">
        <f t="shared" si="14"/>
        <v>-0.56</v>
      </c>
      <c r="E110" s="175">
        <v>4</v>
      </c>
      <c r="F110" s="175">
        <v>3.7</v>
      </c>
      <c r="G110" s="176">
        <f t="shared" si="15"/>
        <v>-0.2999999999999998</v>
      </c>
      <c r="H110" s="177">
        <v>20078</v>
      </c>
      <c r="I110" s="180">
        <v>16911</v>
      </c>
      <c r="J110" s="179">
        <f t="shared" si="16"/>
        <v>-3167</v>
      </c>
    </row>
    <row r="111" spans="1:10" ht="12.75">
      <c r="A111" s="174" t="s">
        <v>58</v>
      </c>
      <c r="B111" s="175">
        <v>22.39</v>
      </c>
      <c r="C111" s="175">
        <v>22.51</v>
      </c>
      <c r="D111" s="175">
        <f t="shared" si="14"/>
        <v>0.120000000000001</v>
      </c>
      <c r="E111" s="175">
        <v>22.18</v>
      </c>
      <c r="F111" s="175">
        <v>22.68</v>
      </c>
      <c r="G111" s="176">
        <f t="shared" si="15"/>
        <v>0.5</v>
      </c>
      <c r="H111" s="177">
        <v>11121</v>
      </c>
      <c r="I111" s="180">
        <v>11808</v>
      </c>
      <c r="J111" s="179">
        <f t="shared" si="16"/>
        <v>687</v>
      </c>
    </row>
    <row r="112" spans="1:10" ht="13.5" thickBot="1">
      <c r="A112" s="181" t="s">
        <v>3</v>
      </c>
      <c r="B112" s="182">
        <v>52.2</v>
      </c>
      <c r="C112" s="182">
        <v>52.33</v>
      </c>
      <c r="D112" s="182">
        <v>0.13</v>
      </c>
      <c r="E112" s="182">
        <v>51.68</v>
      </c>
      <c r="F112" s="182">
        <v>52.43</v>
      </c>
      <c r="G112" s="183">
        <f t="shared" si="15"/>
        <v>0.75</v>
      </c>
      <c r="H112" s="184">
        <v>15022</v>
      </c>
      <c r="I112" s="185">
        <v>15785</v>
      </c>
      <c r="J112" s="186">
        <f t="shared" si="16"/>
        <v>763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52</v>
      </c>
      <c r="C116" s="163">
        <v>52</v>
      </c>
      <c r="D116" s="27"/>
      <c r="E116" s="161">
        <v>2006</v>
      </c>
      <c r="F116" s="416">
        <v>110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53</v>
      </c>
      <c r="C117" s="369" t="s">
        <v>508</v>
      </c>
      <c r="D117" s="27"/>
      <c r="E117" s="168">
        <v>2007</v>
      </c>
      <c r="F117" s="417">
        <v>100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A100:A101"/>
    <mergeCell ref="B100:D100"/>
    <mergeCell ref="E100:G100"/>
    <mergeCell ref="H100:J100"/>
    <mergeCell ref="B4:D4"/>
    <mergeCell ref="E4:G4"/>
    <mergeCell ref="J4:L4"/>
    <mergeCell ref="A3:A6"/>
    <mergeCell ref="B3:N3"/>
    <mergeCell ref="H4:I4"/>
    <mergeCell ref="M4:N4"/>
    <mergeCell ref="F68:G68"/>
    <mergeCell ref="I68:K68"/>
    <mergeCell ref="C69:D69"/>
    <mergeCell ref="F69:G69"/>
    <mergeCell ref="I69:K69"/>
    <mergeCell ref="A94:A95"/>
    <mergeCell ref="B94:B95"/>
    <mergeCell ref="C94:H94"/>
    <mergeCell ref="J94:L94"/>
    <mergeCell ref="C70:D70"/>
    <mergeCell ref="F70:G70"/>
    <mergeCell ref="I70:K70"/>
    <mergeCell ref="C71:D71"/>
    <mergeCell ref="F71:G71"/>
    <mergeCell ref="I71:K71"/>
    <mergeCell ref="L41:L42"/>
    <mergeCell ref="A43:B43"/>
    <mergeCell ref="L52:L53"/>
    <mergeCell ref="B38:D38"/>
    <mergeCell ref="E38:G38"/>
    <mergeCell ref="J38:L38"/>
    <mergeCell ref="B39:D39"/>
    <mergeCell ref="E39:G39"/>
    <mergeCell ref="D43:F43"/>
    <mergeCell ref="H43:K43"/>
    <mergeCell ref="H41:K42"/>
    <mergeCell ref="A44:B44"/>
    <mergeCell ref="D44:F44"/>
    <mergeCell ref="H44:K44"/>
    <mergeCell ref="A41:B42"/>
    <mergeCell ref="C41:C42"/>
    <mergeCell ref="D41:F42"/>
    <mergeCell ref="G41:G42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H52:K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F72:G72"/>
    <mergeCell ref="A77:A79"/>
    <mergeCell ref="B77:B79"/>
    <mergeCell ref="C77:I77"/>
    <mergeCell ref="C78:C79"/>
    <mergeCell ref="D78:I78"/>
    <mergeCell ref="J77:J79"/>
    <mergeCell ref="L77:M77"/>
    <mergeCell ref="A83:A84"/>
    <mergeCell ref="B83:B84"/>
    <mergeCell ref="C83:F83"/>
    <mergeCell ref="G83:G84"/>
    <mergeCell ref="H83:H84"/>
    <mergeCell ref="I83:L83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1" r:id="rId1"/>
  <headerFooter alignWithMargins="0">
    <oddFooter>&amp;C&amp;P</oddFooter>
  </headerFooter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workbookViewId="0" topLeftCell="A16">
      <selection activeCell="J17" sqref="J17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9.25390625" style="7" customWidth="1"/>
    <col min="12" max="12" width="8.625" style="7" customWidth="1"/>
    <col min="13" max="16" width="9.125" style="7" customWidth="1"/>
  </cols>
  <sheetData>
    <row r="1" spans="1:14" ht="15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 t="s">
        <v>215</v>
      </c>
    </row>
    <row r="3" spans="1:14" ht="24" customHeight="1" thickBot="1">
      <c r="A3" s="552" t="s">
        <v>0</v>
      </c>
      <c r="B3" s="414" t="s">
        <v>552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4.25" thickBot="1" thickTop="1">
      <c r="A4" s="552"/>
      <c r="B4" s="424" t="s">
        <v>130</v>
      </c>
      <c r="C4" s="424"/>
      <c r="D4" s="424"/>
      <c r="E4" s="424" t="s">
        <v>216</v>
      </c>
      <c r="F4" s="424"/>
      <c r="G4" s="424"/>
      <c r="H4" s="415" t="s">
        <v>131</v>
      </c>
      <c r="I4" s="415"/>
      <c r="J4" s="424" t="s">
        <v>217</v>
      </c>
      <c r="K4" s="424"/>
      <c r="L4" s="424"/>
      <c r="M4" s="424" t="s">
        <v>218</v>
      </c>
      <c r="N4" s="424"/>
    </row>
    <row r="5" spans="1:14" ht="14.25" thickBot="1" thickTop="1">
      <c r="A5" s="552"/>
      <c r="B5" s="90" t="s">
        <v>1</v>
      </c>
      <c r="C5" s="91" t="s">
        <v>2</v>
      </c>
      <c r="D5" s="92" t="s">
        <v>3</v>
      </c>
      <c r="E5" s="90" t="s">
        <v>1</v>
      </c>
      <c r="F5" s="91" t="s">
        <v>2</v>
      </c>
      <c r="G5" s="92" t="s">
        <v>3</v>
      </c>
      <c r="H5" s="93" t="s">
        <v>3</v>
      </c>
      <c r="I5" s="93" t="s">
        <v>4</v>
      </c>
      <c r="J5" s="94" t="s">
        <v>1</v>
      </c>
      <c r="K5" s="91" t="s">
        <v>2</v>
      </c>
      <c r="L5" s="92" t="s">
        <v>3</v>
      </c>
      <c r="M5" s="93" t="s">
        <v>3</v>
      </c>
      <c r="N5" s="92" t="s">
        <v>4</v>
      </c>
    </row>
    <row r="6" spans="1:14" ht="14.25" thickBot="1" thickTop="1">
      <c r="A6" s="413"/>
      <c r="B6" s="210" t="s">
        <v>5</v>
      </c>
      <c r="C6" s="211" t="s">
        <v>5</v>
      </c>
      <c r="D6" s="212"/>
      <c r="E6" s="210" t="s">
        <v>5</v>
      </c>
      <c r="F6" s="211" t="s">
        <v>5</v>
      </c>
      <c r="G6" s="212"/>
      <c r="H6" s="216" t="s">
        <v>6</v>
      </c>
      <c r="I6" s="216" t="s">
        <v>7</v>
      </c>
      <c r="J6" s="224" t="s">
        <v>5</v>
      </c>
      <c r="K6" s="211" t="s">
        <v>5</v>
      </c>
      <c r="L6" s="212"/>
      <c r="M6" s="216" t="s">
        <v>6</v>
      </c>
      <c r="N6" s="212" t="s">
        <v>7</v>
      </c>
    </row>
    <row r="7" spans="1:14" ht="13.5" customHeight="1">
      <c r="A7" s="228" t="s">
        <v>8</v>
      </c>
      <c r="B7" s="187">
        <v>0</v>
      </c>
      <c r="C7" s="188">
        <v>0</v>
      </c>
      <c r="D7" s="191">
        <f aca="true" t="shared" si="0" ref="D7:D16">SUM(B7:C7)</f>
        <v>0</v>
      </c>
      <c r="E7" s="187">
        <v>0</v>
      </c>
      <c r="F7" s="188">
        <v>0</v>
      </c>
      <c r="G7" s="191">
        <f aca="true" t="shared" si="1" ref="G7:G17">SUM(E7:F7)</f>
        <v>0</v>
      </c>
      <c r="H7" s="218">
        <f aca="true" t="shared" si="2" ref="H7:H37">+G7-D7</f>
        <v>0</v>
      </c>
      <c r="I7" s="222"/>
      <c r="J7" s="187">
        <v>0</v>
      </c>
      <c r="K7" s="188"/>
      <c r="L7" s="191">
        <f aca="true" t="shared" si="3" ref="L7:L17">SUM(J7:K7)</f>
        <v>0</v>
      </c>
      <c r="M7" s="218">
        <f aca="true" t="shared" si="4" ref="M7:M37">+L7-G7</f>
        <v>0</v>
      </c>
      <c r="N7" s="219"/>
    </row>
    <row r="8" spans="1:14" ht="13.5" customHeight="1">
      <c r="A8" s="229" t="s">
        <v>9</v>
      </c>
      <c r="B8" s="15">
        <v>14448</v>
      </c>
      <c r="C8" s="14">
        <v>0</v>
      </c>
      <c r="D8" s="192">
        <f t="shared" si="0"/>
        <v>14448</v>
      </c>
      <c r="E8" s="15">
        <v>15566</v>
      </c>
      <c r="F8" s="14">
        <v>0</v>
      </c>
      <c r="G8" s="192">
        <f t="shared" si="1"/>
        <v>15566</v>
      </c>
      <c r="H8" s="220">
        <f t="shared" si="2"/>
        <v>1118</v>
      </c>
      <c r="I8" s="223">
        <f aca="true" t="shared" si="5" ref="I8:I21">+G8/D8</f>
        <v>1.0773809523809523</v>
      </c>
      <c r="J8" s="15">
        <f>20924+700</f>
        <v>21624</v>
      </c>
      <c r="K8" s="14">
        <v>0</v>
      </c>
      <c r="L8" s="192">
        <f t="shared" si="3"/>
        <v>21624</v>
      </c>
      <c r="M8" s="220">
        <f t="shared" si="4"/>
        <v>6058</v>
      </c>
      <c r="N8" s="221">
        <f aca="true" t="shared" si="6" ref="N8:N21">+L8/G8</f>
        <v>1.3891815495310291</v>
      </c>
    </row>
    <row r="9" spans="1:14" ht="13.5" customHeight="1">
      <c r="A9" s="229" t="s">
        <v>10</v>
      </c>
      <c r="B9" s="15">
        <v>0</v>
      </c>
      <c r="C9" s="14">
        <v>0</v>
      </c>
      <c r="D9" s="192">
        <f t="shared" si="0"/>
        <v>0</v>
      </c>
      <c r="E9" s="15">
        <v>0</v>
      </c>
      <c r="F9" s="14">
        <v>0</v>
      </c>
      <c r="G9" s="192">
        <f t="shared" si="1"/>
        <v>0</v>
      </c>
      <c r="H9" s="220">
        <f t="shared" si="2"/>
        <v>0</v>
      </c>
      <c r="I9" s="223"/>
      <c r="J9" s="15">
        <v>0</v>
      </c>
      <c r="K9" s="14">
        <v>0</v>
      </c>
      <c r="L9" s="192">
        <f t="shared" si="3"/>
        <v>0</v>
      </c>
      <c r="M9" s="220">
        <f t="shared" si="4"/>
        <v>0</v>
      </c>
      <c r="N9" s="221"/>
    </row>
    <row r="10" spans="1:14" ht="13.5" customHeight="1">
      <c r="A10" s="229" t="s">
        <v>11</v>
      </c>
      <c r="B10" s="15">
        <v>0</v>
      </c>
      <c r="C10" s="14">
        <v>0</v>
      </c>
      <c r="D10" s="192">
        <f t="shared" si="0"/>
        <v>0</v>
      </c>
      <c r="E10" s="15">
        <v>0</v>
      </c>
      <c r="F10" s="14">
        <v>0</v>
      </c>
      <c r="G10" s="192">
        <f t="shared" si="1"/>
        <v>0</v>
      </c>
      <c r="H10" s="220">
        <f t="shared" si="2"/>
        <v>0</v>
      </c>
      <c r="I10" s="223"/>
      <c r="J10" s="15">
        <v>0</v>
      </c>
      <c r="K10" s="14">
        <v>0</v>
      </c>
      <c r="L10" s="192">
        <f t="shared" si="3"/>
        <v>0</v>
      </c>
      <c r="M10" s="220">
        <f t="shared" si="4"/>
        <v>0</v>
      </c>
      <c r="N10" s="221"/>
    </row>
    <row r="11" spans="1:14" ht="13.5" customHeight="1">
      <c r="A11" s="229" t="s">
        <v>12</v>
      </c>
      <c r="B11" s="15">
        <v>33</v>
      </c>
      <c r="C11" s="14">
        <v>0</v>
      </c>
      <c r="D11" s="192">
        <f t="shared" si="0"/>
        <v>33</v>
      </c>
      <c r="E11" s="15">
        <v>91</v>
      </c>
      <c r="F11" s="14">
        <v>0</v>
      </c>
      <c r="G11" s="192">
        <f t="shared" si="1"/>
        <v>91</v>
      </c>
      <c r="H11" s="220">
        <f t="shared" si="2"/>
        <v>58</v>
      </c>
      <c r="I11" s="223">
        <f t="shared" si="5"/>
        <v>2.757575757575758</v>
      </c>
      <c r="J11" s="15">
        <v>84</v>
      </c>
      <c r="K11" s="14">
        <v>0</v>
      </c>
      <c r="L11" s="192">
        <f t="shared" si="3"/>
        <v>84</v>
      </c>
      <c r="M11" s="220">
        <f t="shared" si="4"/>
        <v>-7</v>
      </c>
      <c r="N11" s="221">
        <f t="shared" si="6"/>
        <v>0.9230769230769231</v>
      </c>
    </row>
    <row r="12" spans="1:14" ht="13.5" customHeight="1">
      <c r="A12" s="230" t="s">
        <v>13</v>
      </c>
      <c r="B12" s="15">
        <v>7</v>
      </c>
      <c r="C12" s="14">
        <v>0</v>
      </c>
      <c r="D12" s="192">
        <f t="shared" si="0"/>
        <v>7</v>
      </c>
      <c r="E12" s="15">
        <v>73</v>
      </c>
      <c r="F12" s="14">
        <v>0</v>
      </c>
      <c r="G12" s="192">
        <f t="shared" si="1"/>
        <v>73</v>
      </c>
      <c r="H12" s="220">
        <f t="shared" si="2"/>
        <v>66</v>
      </c>
      <c r="I12" s="223">
        <f t="shared" si="5"/>
        <v>10.428571428571429</v>
      </c>
      <c r="J12" s="15">
        <v>0</v>
      </c>
      <c r="K12" s="14">
        <v>0</v>
      </c>
      <c r="L12" s="192">
        <f t="shared" si="3"/>
        <v>0</v>
      </c>
      <c r="M12" s="220">
        <f t="shared" si="4"/>
        <v>-73</v>
      </c>
      <c r="N12" s="221">
        <f t="shared" si="6"/>
        <v>0</v>
      </c>
    </row>
    <row r="13" spans="1:14" ht="13.5" customHeight="1">
      <c r="A13" s="230" t="s">
        <v>14</v>
      </c>
      <c r="B13" s="15">
        <v>0</v>
      </c>
      <c r="C13" s="14">
        <v>0</v>
      </c>
      <c r="D13" s="192">
        <f t="shared" si="0"/>
        <v>0</v>
      </c>
      <c r="E13" s="15">
        <v>0</v>
      </c>
      <c r="F13" s="14">
        <v>0</v>
      </c>
      <c r="G13" s="192">
        <f t="shared" si="1"/>
        <v>0</v>
      </c>
      <c r="H13" s="220">
        <f t="shared" si="2"/>
        <v>0</v>
      </c>
      <c r="I13" s="223"/>
      <c r="J13" s="15">
        <v>0</v>
      </c>
      <c r="K13" s="14">
        <v>0</v>
      </c>
      <c r="L13" s="192">
        <f t="shared" si="3"/>
        <v>0</v>
      </c>
      <c r="M13" s="220">
        <f t="shared" si="4"/>
        <v>0</v>
      </c>
      <c r="N13" s="221"/>
    </row>
    <row r="14" spans="1:14" ht="23.25" customHeight="1">
      <c r="A14" s="230" t="s">
        <v>15</v>
      </c>
      <c r="B14" s="15">
        <v>0</v>
      </c>
      <c r="C14" s="14">
        <v>0</v>
      </c>
      <c r="D14" s="192">
        <f t="shared" si="0"/>
        <v>0</v>
      </c>
      <c r="E14" s="15">
        <v>0</v>
      </c>
      <c r="F14" s="14">
        <v>0</v>
      </c>
      <c r="G14" s="192">
        <f t="shared" si="1"/>
        <v>0</v>
      </c>
      <c r="H14" s="220">
        <f t="shared" si="2"/>
        <v>0</v>
      </c>
      <c r="I14" s="223"/>
      <c r="J14" s="15">
        <v>0</v>
      </c>
      <c r="K14" s="14">
        <v>0</v>
      </c>
      <c r="L14" s="192">
        <f t="shared" si="3"/>
        <v>0</v>
      </c>
      <c r="M14" s="220">
        <f t="shared" si="4"/>
        <v>0</v>
      </c>
      <c r="N14" s="221"/>
    </row>
    <row r="15" spans="1:14" ht="13.5" customHeight="1">
      <c r="A15" s="229" t="s">
        <v>16</v>
      </c>
      <c r="B15" s="15">
        <v>20855</v>
      </c>
      <c r="C15" s="14">
        <v>0</v>
      </c>
      <c r="D15" s="192">
        <f t="shared" si="0"/>
        <v>20855</v>
      </c>
      <c r="E15" s="15">
        <v>21857</v>
      </c>
      <c r="F15" s="14">
        <f>SUM(F16:F17)</f>
        <v>0</v>
      </c>
      <c r="G15" s="192">
        <f t="shared" si="1"/>
        <v>21857</v>
      </c>
      <c r="H15" s="220">
        <f t="shared" si="2"/>
        <v>1002</v>
      </c>
      <c r="I15" s="223">
        <f t="shared" si="5"/>
        <v>1.0480460321265883</v>
      </c>
      <c r="J15" s="17">
        <f>SUM(J16:J17)</f>
        <v>22011</v>
      </c>
      <c r="K15" s="17">
        <v>0</v>
      </c>
      <c r="L15" s="192">
        <f t="shared" si="3"/>
        <v>22011</v>
      </c>
      <c r="M15" s="220">
        <f t="shared" si="4"/>
        <v>154</v>
      </c>
      <c r="N15" s="221">
        <f t="shared" si="6"/>
        <v>1.0070457976849523</v>
      </c>
    </row>
    <row r="16" spans="1:14" ht="13.5" customHeight="1">
      <c r="A16" s="231" t="s">
        <v>219</v>
      </c>
      <c r="B16" s="15">
        <v>20855</v>
      </c>
      <c r="C16" s="14">
        <v>0</v>
      </c>
      <c r="D16" s="192">
        <f t="shared" si="0"/>
        <v>20855</v>
      </c>
      <c r="E16" s="15">
        <v>21857</v>
      </c>
      <c r="F16" s="14">
        <v>0</v>
      </c>
      <c r="G16" s="192">
        <f t="shared" si="1"/>
        <v>21857</v>
      </c>
      <c r="H16" s="220">
        <f t="shared" si="2"/>
        <v>1002</v>
      </c>
      <c r="I16" s="223">
        <f t="shared" si="5"/>
        <v>1.0480460321265883</v>
      </c>
      <c r="J16" s="17">
        <f>2634-1317</f>
        <v>1317</v>
      </c>
      <c r="K16" s="14">
        <v>0</v>
      </c>
      <c r="L16" s="192">
        <f t="shared" si="3"/>
        <v>1317</v>
      </c>
      <c r="M16" s="220">
        <f t="shared" si="4"/>
        <v>-20540</v>
      </c>
      <c r="N16" s="221">
        <f t="shared" si="6"/>
        <v>0.06025529578624697</v>
      </c>
    </row>
    <row r="17" spans="1:14" ht="13.5" customHeight="1" thickBot="1">
      <c r="A17" s="232" t="s">
        <v>220</v>
      </c>
      <c r="B17" s="189"/>
      <c r="C17" s="190">
        <v>0</v>
      </c>
      <c r="D17" s="193"/>
      <c r="E17" s="189"/>
      <c r="F17" s="190">
        <v>0</v>
      </c>
      <c r="G17" s="193">
        <f t="shared" si="1"/>
        <v>0</v>
      </c>
      <c r="H17" s="366">
        <f t="shared" si="2"/>
        <v>0</v>
      </c>
      <c r="I17" s="370"/>
      <c r="J17" s="194">
        <v>20694</v>
      </c>
      <c r="K17" s="190">
        <v>0</v>
      </c>
      <c r="L17" s="193">
        <f t="shared" si="3"/>
        <v>20694</v>
      </c>
      <c r="M17" s="366">
        <f t="shared" si="4"/>
        <v>20694</v>
      </c>
      <c r="N17" s="367"/>
    </row>
    <row r="18" spans="1:14" ht="13.5" customHeight="1" thickBot="1">
      <c r="A18" s="209" t="s">
        <v>17</v>
      </c>
      <c r="B18" s="213">
        <f aca="true" t="shared" si="7" ref="B18:G18">SUM(B7+B8+B9+B10+B11+B13+B15)</f>
        <v>35336</v>
      </c>
      <c r="C18" s="214">
        <f t="shared" si="7"/>
        <v>0</v>
      </c>
      <c r="D18" s="215">
        <f t="shared" si="7"/>
        <v>35336</v>
      </c>
      <c r="E18" s="213">
        <f t="shared" si="7"/>
        <v>37514</v>
      </c>
      <c r="F18" s="214">
        <f t="shared" si="7"/>
        <v>0</v>
      </c>
      <c r="G18" s="215">
        <f t="shared" si="7"/>
        <v>37514</v>
      </c>
      <c r="H18" s="217">
        <f t="shared" si="2"/>
        <v>2178</v>
      </c>
      <c r="I18" s="132">
        <f t="shared" si="5"/>
        <v>1.0616368575956532</v>
      </c>
      <c r="J18" s="225">
        <f>SUM(J7+J8+J9+J10+J11+J13+J15)</f>
        <v>43719</v>
      </c>
      <c r="K18" s="214">
        <v>0</v>
      </c>
      <c r="L18" s="215">
        <f>SUM(L7+L8+L9+L10+L11+L13+L15)</f>
        <v>43719</v>
      </c>
      <c r="M18" s="217">
        <f t="shared" si="4"/>
        <v>6205</v>
      </c>
      <c r="N18" s="226">
        <f t="shared" si="6"/>
        <v>1.165404915498214</v>
      </c>
    </row>
    <row r="19" spans="1:14" ht="13.5" customHeight="1">
      <c r="A19" s="120" t="s">
        <v>18</v>
      </c>
      <c r="B19" s="95">
        <v>7203</v>
      </c>
      <c r="C19" s="96">
        <v>0</v>
      </c>
      <c r="D19" s="97">
        <f aca="true" t="shared" si="8" ref="D19:D36">SUM(B19:C19)</f>
        <v>7203</v>
      </c>
      <c r="E19" s="95">
        <v>6200</v>
      </c>
      <c r="F19" s="96">
        <v>0</v>
      </c>
      <c r="G19" s="121">
        <f aca="true" t="shared" si="9" ref="G19:G36">SUM(E19:F19)</f>
        <v>6200</v>
      </c>
      <c r="H19" s="122">
        <f t="shared" si="2"/>
        <v>-1003</v>
      </c>
      <c r="I19" s="123">
        <f t="shared" si="5"/>
        <v>0.8607524642510065</v>
      </c>
      <c r="J19" s="100">
        <f>7909-200</f>
        <v>7709</v>
      </c>
      <c r="K19" s="96">
        <v>0</v>
      </c>
      <c r="L19" s="124">
        <f aca="true" t="shared" si="10" ref="L19:L36">SUM(J19:K19)</f>
        <v>7709</v>
      </c>
      <c r="M19" s="122">
        <f t="shared" si="4"/>
        <v>1509</v>
      </c>
      <c r="N19" s="125">
        <f t="shared" si="6"/>
        <v>1.2433870967741936</v>
      </c>
    </row>
    <row r="20" spans="1:14" ht="21" customHeight="1">
      <c r="A20" s="106" t="s">
        <v>19</v>
      </c>
      <c r="B20" s="95">
        <v>1734</v>
      </c>
      <c r="C20" s="96">
        <v>0</v>
      </c>
      <c r="D20" s="97">
        <f t="shared" si="8"/>
        <v>1734</v>
      </c>
      <c r="E20" s="95">
        <v>723</v>
      </c>
      <c r="F20" s="96">
        <v>0</v>
      </c>
      <c r="G20" s="121">
        <f t="shared" si="9"/>
        <v>723</v>
      </c>
      <c r="H20" s="98">
        <f t="shared" si="2"/>
        <v>-1011</v>
      </c>
      <c r="I20" s="99">
        <f t="shared" si="5"/>
        <v>0.41695501730103807</v>
      </c>
      <c r="J20" s="100">
        <v>1700</v>
      </c>
      <c r="K20" s="96">
        <v>0</v>
      </c>
      <c r="L20" s="124">
        <f t="shared" si="10"/>
        <v>1700</v>
      </c>
      <c r="M20" s="98">
        <f t="shared" si="4"/>
        <v>977</v>
      </c>
      <c r="N20" s="101">
        <f t="shared" si="6"/>
        <v>2.351313969571231</v>
      </c>
    </row>
    <row r="21" spans="1:14" ht="13.5" customHeight="1">
      <c r="A21" s="102" t="s">
        <v>20</v>
      </c>
      <c r="B21" s="103">
        <v>2661</v>
      </c>
      <c r="C21" s="104">
        <v>0</v>
      </c>
      <c r="D21" s="97">
        <f t="shared" si="8"/>
        <v>2661</v>
      </c>
      <c r="E21" s="103">
        <v>3210</v>
      </c>
      <c r="F21" s="104">
        <v>0</v>
      </c>
      <c r="G21" s="121">
        <f t="shared" si="9"/>
        <v>3210</v>
      </c>
      <c r="H21" s="98">
        <f t="shared" si="2"/>
        <v>549</v>
      </c>
      <c r="I21" s="99">
        <f t="shared" si="5"/>
        <v>1.2063134160090192</v>
      </c>
      <c r="J21" s="105">
        <f>3500+1034-117</f>
        <v>4417</v>
      </c>
      <c r="K21" s="104">
        <v>0</v>
      </c>
      <c r="L21" s="124">
        <f t="shared" si="10"/>
        <v>4417</v>
      </c>
      <c r="M21" s="98">
        <f t="shared" si="4"/>
        <v>1207</v>
      </c>
      <c r="N21" s="101">
        <f t="shared" si="6"/>
        <v>1.37601246105919</v>
      </c>
    </row>
    <row r="22" spans="1:14" ht="13.5" customHeight="1">
      <c r="A22" s="106" t="s">
        <v>21</v>
      </c>
      <c r="B22" s="103">
        <v>0</v>
      </c>
      <c r="C22" s="104">
        <v>0</v>
      </c>
      <c r="D22" s="97">
        <f t="shared" si="8"/>
        <v>0</v>
      </c>
      <c r="E22" s="103">
        <v>0</v>
      </c>
      <c r="F22" s="104">
        <v>0</v>
      </c>
      <c r="G22" s="121">
        <f t="shared" si="9"/>
        <v>0</v>
      </c>
      <c r="H22" s="98">
        <f t="shared" si="2"/>
        <v>0</v>
      </c>
      <c r="I22" s="99"/>
      <c r="J22" s="105">
        <v>0</v>
      </c>
      <c r="K22" s="104">
        <v>0</v>
      </c>
      <c r="L22" s="124">
        <f t="shared" si="10"/>
        <v>0</v>
      </c>
      <c r="M22" s="98">
        <f t="shared" si="4"/>
        <v>0</v>
      </c>
      <c r="N22" s="101"/>
    </row>
    <row r="23" spans="1:14" ht="13.5" customHeight="1">
      <c r="A23" s="102" t="s">
        <v>22</v>
      </c>
      <c r="B23" s="103">
        <v>0</v>
      </c>
      <c r="C23" s="104">
        <v>0</v>
      </c>
      <c r="D23" s="97">
        <f t="shared" si="8"/>
        <v>0</v>
      </c>
      <c r="E23" s="103">
        <v>0</v>
      </c>
      <c r="F23" s="104">
        <v>0</v>
      </c>
      <c r="G23" s="121">
        <f t="shared" si="9"/>
        <v>0</v>
      </c>
      <c r="H23" s="98">
        <f t="shared" si="2"/>
        <v>0</v>
      </c>
      <c r="I23" s="99"/>
      <c r="J23" s="105">
        <v>0</v>
      </c>
      <c r="K23" s="104">
        <v>0</v>
      </c>
      <c r="L23" s="124">
        <f t="shared" si="10"/>
        <v>0</v>
      </c>
      <c r="M23" s="98">
        <f t="shared" si="4"/>
        <v>0</v>
      </c>
      <c r="N23" s="101"/>
    </row>
    <row r="24" spans="1:14" ht="13.5" customHeight="1">
      <c r="A24" s="102" t="s">
        <v>23</v>
      </c>
      <c r="B24" s="105">
        <v>2278</v>
      </c>
      <c r="C24" s="104">
        <v>0</v>
      </c>
      <c r="D24" s="97">
        <f t="shared" si="8"/>
        <v>2278</v>
      </c>
      <c r="E24" s="105">
        <v>3424</v>
      </c>
      <c r="F24" s="104">
        <v>0</v>
      </c>
      <c r="G24" s="121">
        <f t="shared" si="9"/>
        <v>3424</v>
      </c>
      <c r="H24" s="98">
        <f t="shared" si="2"/>
        <v>1146</v>
      </c>
      <c r="I24" s="99">
        <f aca="true" t="shared" si="11" ref="I24:I37">+G24/D24</f>
        <v>1.5030728709394205</v>
      </c>
      <c r="J24" s="105">
        <v>3500</v>
      </c>
      <c r="K24" s="104">
        <v>0</v>
      </c>
      <c r="L24" s="124">
        <f t="shared" si="10"/>
        <v>3500</v>
      </c>
      <c r="M24" s="98">
        <f t="shared" si="4"/>
        <v>76</v>
      </c>
      <c r="N24" s="101">
        <f aca="true" t="shared" si="12" ref="N24:N37">+L24/G24</f>
        <v>1.022196261682243</v>
      </c>
    </row>
    <row r="25" spans="1:14" ht="13.5" customHeight="1">
      <c r="A25" s="106" t="s">
        <v>24</v>
      </c>
      <c r="B25" s="103">
        <v>1578</v>
      </c>
      <c r="C25" s="104">
        <v>0</v>
      </c>
      <c r="D25" s="97">
        <f t="shared" si="8"/>
        <v>1578</v>
      </c>
      <c r="E25" s="103">
        <v>2584</v>
      </c>
      <c r="F25" s="104">
        <v>0</v>
      </c>
      <c r="G25" s="121">
        <f t="shared" si="9"/>
        <v>2584</v>
      </c>
      <c r="H25" s="98">
        <f t="shared" si="2"/>
        <v>1006</v>
      </c>
      <c r="I25" s="99">
        <f t="shared" si="11"/>
        <v>1.6375158428390368</v>
      </c>
      <c r="J25" s="126">
        <v>2500</v>
      </c>
      <c r="K25" s="104">
        <v>0</v>
      </c>
      <c r="L25" s="124">
        <f t="shared" si="10"/>
        <v>2500</v>
      </c>
      <c r="M25" s="98">
        <f t="shared" si="4"/>
        <v>-84</v>
      </c>
      <c r="N25" s="101">
        <f t="shared" si="12"/>
        <v>0.9674922600619195</v>
      </c>
    </row>
    <row r="26" spans="1:14" ht="13.5" customHeight="1">
      <c r="A26" s="102" t="s">
        <v>25</v>
      </c>
      <c r="B26" s="103">
        <v>700</v>
      </c>
      <c r="C26" s="104">
        <v>0</v>
      </c>
      <c r="D26" s="97">
        <f t="shared" si="8"/>
        <v>700</v>
      </c>
      <c r="E26" s="103">
        <v>840</v>
      </c>
      <c r="F26" s="104">
        <v>0</v>
      </c>
      <c r="G26" s="121">
        <f t="shared" si="9"/>
        <v>840</v>
      </c>
      <c r="H26" s="98">
        <f t="shared" si="2"/>
        <v>140</v>
      </c>
      <c r="I26" s="99">
        <f t="shared" si="11"/>
        <v>1.2</v>
      </c>
      <c r="J26" s="126">
        <v>1000</v>
      </c>
      <c r="K26" s="104">
        <v>0</v>
      </c>
      <c r="L26" s="124">
        <f t="shared" si="10"/>
        <v>1000</v>
      </c>
      <c r="M26" s="98">
        <f t="shared" si="4"/>
        <v>160</v>
      </c>
      <c r="N26" s="101">
        <f t="shared" si="12"/>
        <v>1.1904761904761905</v>
      </c>
    </row>
    <row r="27" spans="1:14" ht="13.5" customHeight="1">
      <c r="A27" s="127" t="s">
        <v>26</v>
      </c>
      <c r="B27" s="105">
        <v>21808</v>
      </c>
      <c r="C27" s="104">
        <v>0</v>
      </c>
      <c r="D27" s="97">
        <f t="shared" si="8"/>
        <v>21808</v>
      </c>
      <c r="E27" s="105">
        <v>23355</v>
      </c>
      <c r="F27" s="104">
        <v>0</v>
      </c>
      <c r="G27" s="121">
        <f t="shared" si="9"/>
        <v>23355</v>
      </c>
      <c r="H27" s="98">
        <f t="shared" si="2"/>
        <v>1547</v>
      </c>
      <c r="I27" s="99">
        <f t="shared" si="11"/>
        <v>1.070937270726339</v>
      </c>
      <c r="J27" s="105">
        <v>26680</v>
      </c>
      <c r="K27" s="104">
        <v>0</v>
      </c>
      <c r="L27" s="124">
        <f t="shared" si="10"/>
        <v>26680</v>
      </c>
      <c r="M27" s="98">
        <f t="shared" si="4"/>
        <v>3325</v>
      </c>
      <c r="N27" s="101">
        <f t="shared" si="12"/>
        <v>1.1423678013273388</v>
      </c>
    </row>
    <row r="28" spans="1:14" ht="13.5" customHeight="1">
      <c r="A28" s="106" t="s">
        <v>27</v>
      </c>
      <c r="B28" s="103">
        <v>15925</v>
      </c>
      <c r="C28" s="104">
        <v>0</v>
      </c>
      <c r="D28" s="97">
        <f t="shared" si="8"/>
        <v>15925</v>
      </c>
      <c r="E28" s="103">
        <v>17050</v>
      </c>
      <c r="F28" s="104">
        <v>0</v>
      </c>
      <c r="G28" s="121">
        <f t="shared" si="9"/>
        <v>17050</v>
      </c>
      <c r="H28" s="98">
        <f t="shared" si="2"/>
        <v>1125</v>
      </c>
      <c r="I28" s="99">
        <f t="shared" si="11"/>
        <v>1.0706436420722134</v>
      </c>
      <c r="J28" s="126">
        <v>19475</v>
      </c>
      <c r="K28" s="128">
        <v>0</v>
      </c>
      <c r="L28" s="124">
        <f t="shared" si="10"/>
        <v>19475</v>
      </c>
      <c r="M28" s="98">
        <f t="shared" si="4"/>
        <v>2425</v>
      </c>
      <c r="N28" s="101">
        <f t="shared" si="12"/>
        <v>1.1422287390029326</v>
      </c>
    </row>
    <row r="29" spans="1:14" ht="13.5" customHeight="1">
      <c r="A29" s="127" t="s">
        <v>28</v>
      </c>
      <c r="B29" s="103">
        <v>15879</v>
      </c>
      <c r="C29" s="104">
        <v>0</v>
      </c>
      <c r="D29" s="97">
        <f t="shared" si="8"/>
        <v>15879</v>
      </c>
      <c r="E29" s="103">
        <v>17050</v>
      </c>
      <c r="F29" s="104">
        <v>0</v>
      </c>
      <c r="G29" s="121">
        <f t="shared" si="9"/>
        <v>17050</v>
      </c>
      <c r="H29" s="98">
        <f t="shared" si="2"/>
        <v>1171</v>
      </c>
      <c r="I29" s="99">
        <f t="shared" si="11"/>
        <v>1.0737451980603312</v>
      </c>
      <c r="J29" s="105">
        <v>19475</v>
      </c>
      <c r="K29" s="104">
        <v>0</v>
      </c>
      <c r="L29" s="124">
        <f t="shared" si="10"/>
        <v>19475</v>
      </c>
      <c r="M29" s="98">
        <f t="shared" si="4"/>
        <v>2425</v>
      </c>
      <c r="N29" s="101">
        <f t="shared" si="12"/>
        <v>1.1422287390029326</v>
      </c>
    </row>
    <row r="30" spans="1:14" ht="13.5" customHeight="1">
      <c r="A30" s="106" t="s">
        <v>29</v>
      </c>
      <c r="B30" s="103">
        <v>46</v>
      </c>
      <c r="C30" s="104">
        <v>0</v>
      </c>
      <c r="D30" s="97">
        <f t="shared" si="8"/>
        <v>46</v>
      </c>
      <c r="E30" s="103">
        <v>0</v>
      </c>
      <c r="F30" s="104">
        <v>0</v>
      </c>
      <c r="G30" s="121">
        <f t="shared" si="9"/>
        <v>0</v>
      </c>
      <c r="H30" s="98">
        <f t="shared" si="2"/>
        <v>-46</v>
      </c>
      <c r="I30" s="99">
        <f t="shared" si="11"/>
        <v>0</v>
      </c>
      <c r="J30" s="105">
        <v>0</v>
      </c>
      <c r="K30" s="104">
        <v>0</v>
      </c>
      <c r="L30" s="124">
        <f t="shared" si="10"/>
        <v>0</v>
      </c>
      <c r="M30" s="98">
        <f t="shared" si="4"/>
        <v>0</v>
      </c>
      <c r="N30" s="101"/>
    </row>
    <row r="31" spans="1:14" ht="13.5" customHeight="1">
      <c r="A31" s="106" t="s">
        <v>30</v>
      </c>
      <c r="B31" s="103">
        <v>5883</v>
      </c>
      <c r="C31" s="104">
        <v>0</v>
      </c>
      <c r="D31" s="97">
        <f t="shared" si="8"/>
        <v>5883</v>
      </c>
      <c r="E31" s="103">
        <v>6305</v>
      </c>
      <c r="F31" s="104">
        <v>0</v>
      </c>
      <c r="G31" s="121">
        <f t="shared" si="9"/>
        <v>6305</v>
      </c>
      <c r="H31" s="98">
        <f t="shared" si="2"/>
        <v>422</v>
      </c>
      <c r="I31" s="99">
        <f t="shared" si="11"/>
        <v>1.0717321094679586</v>
      </c>
      <c r="J31" s="105">
        <v>7205</v>
      </c>
      <c r="K31" s="104">
        <v>0</v>
      </c>
      <c r="L31" s="124">
        <f t="shared" si="10"/>
        <v>7205</v>
      </c>
      <c r="M31" s="98">
        <f t="shared" si="4"/>
        <v>900</v>
      </c>
      <c r="N31" s="101">
        <f t="shared" si="12"/>
        <v>1.1427438540840602</v>
      </c>
    </row>
    <row r="32" spans="1:14" ht="13.5" customHeight="1">
      <c r="A32" s="127" t="s">
        <v>31</v>
      </c>
      <c r="B32" s="103">
        <v>0</v>
      </c>
      <c r="C32" s="104">
        <v>0</v>
      </c>
      <c r="D32" s="97">
        <f t="shared" si="8"/>
        <v>0</v>
      </c>
      <c r="E32" s="103">
        <v>0</v>
      </c>
      <c r="F32" s="104">
        <v>0</v>
      </c>
      <c r="G32" s="121">
        <f t="shared" si="9"/>
        <v>0</v>
      </c>
      <c r="H32" s="98">
        <f t="shared" si="2"/>
        <v>0</v>
      </c>
      <c r="I32" s="99"/>
      <c r="J32" s="105">
        <v>0</v>
      </c>
      <c r="K32" s="104">
        <v>0</v>
      </c>
      <c r="L32" s="124">
        <f t="shared" si="10"/>
        <v>0</v>
      </c>
      <c r="M32" s="98">
        <f t="shared" si="4"/>
        <v>0</v>
      </c>
      <c r="N32" s="101"/>
    </row>
    <row r="33" spans="1:14" ht="13.5" customHeight="1">
      <c r="A33" s="127" t="s">
        <v>32</v>
      </c>
      <c r="B33" s="103">
        <v>192</v>
      </c>
      <c r="C33" s="104">
        <v>0</v>
      </c>
      <c r="D33" s="97">
        <f t="shared" si="8"/>
        <v>192</v>
      </c>
      <c r="E33" s="103">
        <v>171</v>
      </c>
      <c r="F33" s="104">
        <v>0</v>
      </c>
      <c r="G33" s="121">
        <f t="shared" si="9"/>
        <v>171</v>
      </c>
      <c r="H33" s="98">
        <f t="shared" si="2"/>
        <v>-21</v>
      </c>
      <c r="I33" s="99">
        <f t="shared" si="11"/>
        <v>0.890625</v>
      </c>
      <c r="J33" s="105">
        <v>250</v>
      </c>
      <c r="K33" s="104">
        <v>0</v>
      </c>
      <c r="L33" s="124">
        <f t="shared" si="10"/>
        <v>250</v>
      </c>
      <c r="M33" s="98">
        <f t="shared" si="4"/>
        <v>79</v>
      </c>
      <c r="N33" s="101">
        <f t="shared" si="12"/>
        <v>1.4619883040935673</v>
      </c>
    </row>
    <row r="34" spans="1:14" ht="13.5" customHeight="1">
      <c r="A34" s="106" t="s">
        <v>33</v>
      </c>
      <c r="B34" s="103">
        <v>1169</v>
      </c>
      <c r="C34" s="104">
        <v>0</v>
      </c>
      <c r="D34" s="97">
        <f t="shared" si="8"/>
        <v>1169</v>
      </c>
      <c r="E34" s="103">
        <v>1097</v>
      </c>
      <c r="F34" s="104">
        <v>0</v>
      </c>
      <c r="G34" s="121">
        <f t="shared" si="9"/>
        <v>1097</v>
      </c>
      <c r="H34" s="98">
        <f t="shared" si="2"/>
        <v>-72</v>
      </c>
      <c r="I34" s="99">
        <f t="shared" si="11"/>
        <v>0.9384088964927289</v>
      </c>
      <c r="J34" s="126">
        <v>1163</v>
      </c>
      <c r="K34" s="104">
        <v>0</v>
      </c>
      <c r="L34" s="124">
        <f t="shared" si="10"/>
        <v>1163</v>
      </c>
      <c r="M34" s="98">
        <f t="shared" si="4"/>
        <v>66</v>
      </c>
      <c r="N34" s="101">
        <f t="shared" si="12"/>
        <v>1.0601640838650865</v>
      </c>
    </row>
    <row r="35" spans="1:14" ht="22.5" customHeight="1">
      <c r="A35" s="106" t="s">
        <v>34</v>
      </c>
      <c r="B35" s="103">
        <v>1169</v>
      </c>
      <c r="C35" s="104">
        <v>0</v>
      </c>
      <c r="D35" s="97">
        <f t="shared" si="8"/>
        <v>1169</v>
      </c>
      <c r="E35" s="103">
        <v>1097</v>
      </c>
      <c r="F35" s="104">
        <v>0</v>
      </c>
      <c r="G35" s="121">
        <f t="shared" si="9"/>
        <v>1097</v>
      </c>
      <c r="H35" s="98">
        <f t="shared" si="2"/>
        <v>-72</v>
      </c>
      <c r="I35" s="99">
        <f t="shared" si="11"/>
        <v>0.9384088964927289</v>
      </c>
      <c r="J35" s="126">
        <v>1163</v>
      </c>
      <c r="K35" s="104">
        <v>0</v>
      </c>
      <c r="L35" s="124">
        <f t="shared" si="10"/>
        <v>1163</v>
      </c>
      <c r="M35" s="98">
        <f t="shared" si="4"/>
        <v>66</v>
      </c>
      <c r="N35" s="101">
        <f t="shared" si="12"/>
        <v>1.0601640838650865</v>
      </c>
    </row>
    <row r="36" spans="1:14" ht="13.5" customHeight="1" thickBot="1">
      <c r="A36" s="129" t="s">
        <v>35</v>
      </c>
      <c r="B36" s="107">
        <v>0</v>
      </c>
      <c r="C36" s="108">
        <v>0</v>
      </c>
      <c r="D36" s="97">
        <f t="shared" si="8"/>
        <v>0</v>
      </c>
      <c r="E36" s="107">
        <v>0</v>
      </c>
      <c r="F36" s="108">
        <v>0</v>
      </c>
      <c r="G36" s="121">
        <f t="shared" si="9"/>
        <v>0</v>
      </c>
      <c r="H36" s="109">
        <f t="shared" si="2"/>
        <v>0</v>
      </c>
      <c r="I36" s="110"/>
      <c r="J36" s="130">
        <v>0</v>
      </c>
      <c r="K36" s="108">
        <v>0</v>
      </c>
      <c r="L36" s="124">
        <f t="shared" si="10"/>
        <v>0</v>
      </c>
      <c r="M36" s="109">
        <f t="shared" si="4"/>
        <v>0</v>
      </c>
      <c r="N36" s="111"/>
    </row>
    <row r="37" spans="1:14" ht="13.5" customHeight="1" thickBot="1">
      <c r="A37" s="112" t="s">
        <v>36</v>
      </c>
      <c r="B37" s="113">
        <f aca="true" t="shared" si="13" ref="B37:G37">SUM(B19+B21+B22+B23+B24+B27+B32+B33+B34+B36)</f>
        <v>35311</v>
      </c>
      <c r="C37" s="114">
        <f t="shared" si="13"/>
        <v>0</v>
      </c>
      <c r="D37" s="115">
        <f t="shared" si="13"/>
        <v>35311</v>
      </c>
      <c r="E37" s="113">
        <f t="shared" si="13"/>
        <v>37457</v>
      </c>
      <c r="F37" s="114">
        <f t="shared" si="13"/>
        <v>0</v>
      </c>
      <c r="G37" s="115">
        <f t="shared" si="13"/>
        <v>37457</v>
      </c>
      <c r="H37" s="116">
        <f t="shared" si="2"/>
        <v>2146</v>
      </c>
      <c r="I37" s="117">
        <f t="shared" si="11"/>
        <v>1.0607742629775425</v>
      </c>
      <c r="J37" s="118">
        <f>SUM(J19+J21+J22+J23+J24+J27+J32+J33+J34+J36)</f>
        <v>43719</v>
      </c>
      <c r="K37" s="114">
        <f>SUM(K19+K21+K22+K23+K24+K27+K32+K33+K34+K36)</f>
        <v>0</v>
      </c>
      <c r="L37" s="115">
        <f>SUM(L19+L21+L22+L23+L24+L27+L32+L33+L34+L36)</f>
        <v>43719</v>
      </c>
      <c r="M37" s="116">
        <f t="shared" si="4"/>
        <v>6262</v>
      </c>
      <c r="N37" s="119">
        <f t="shared" si="12"/>
        <v>1.167178364524655</v>
      </c>
    </row>
    <row r="38" spans="1:14" ht="13.5" customHeight="1" thickBot="1">
      <c r="A38" s="112" t="s">
        <v>37</v>
      </c>
      <c r="B38" s="470">
        <f>+D18-D37</f>
        <v>25</v>
      </c>
      <c r="C38" s="470"/>
      <c r="D38" s="470"/>
      <c r="E38" s="471">
        <v>57.2</v>
      </c>
      <c r="F38" s="471"/>
      <c r="G38" s="471">
        <v>-50784</v>
      </c>
      <c r="H38" s="131">
        <f>+E38-B38</f>
        <v>32.2</v>
      </c>
      <c r="I38" s="132"/>
      <c r="J38" s="472">
        <f>+L18-L37</f>
        <v>0</v>
      </c>
      <c r="K38" s="472"/>
      <c r="L38" s="472">
        <v>0</v>
      </c>
      <c r="M38" s="116"/>
      <c r="N38" s="119"/>
    </row>
    <row r="39" spans="1:16" ht="20.25" customHeight="1" thickBot="1">
      <c r="A39" s="133" t="s">
        <v>38</v>
      </c>
      <c r="B39" s="470"/>
      <c r="C39" s="470"/>
      <c r="D39" s="470"/>
      <c r="E39" s="470"/>
      <c r="F39" s="470"/>
      <c r="G39" s="470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19"/>
      <c r="E40" s="7"/>
      <c r="F40" s="7"/>
      <c r="G40" s="7"/>
      <c r="H40" s="7"/>
    </row>
    <row r="41" spans="1:16" ht="13.5" thickBot="1">
      <c r="A41" s="456" t="s">
        <v>132</v>
      </c>
      <c r="B41" s="456"/>
      <c r="C41" s="444" t="s">
        <v>39</v>
      </c>
      <c r="D41" s="456" t="s">
        <v>221</v>
      </c>
      <c r="E41" s="456"/>
      <c r="F41" s="456"/>
      <c r="G41" s="444" t="s">
        <v>39</v>
      </c>
      <c r="H41" s="461" t="s">
        <v>222</v>
      </c>
      <c r="I41" s="461"/>
      <c r="J41" s="461"/>
      <c r="K41" s="461"/>
      <c r="L41" s="444" t="s">
        <v>39</v>
      </c>
      <c r="O41"/>
      <c r="P41"/>
    </row>
    <row r="42" spans="1:16" ht="13.5" thickBot="1">
      <c r="A42" s="456"/>
      <c r="B42" s="456"/>
      <c r="C42" s="444"/>
      <c r="D42" s="581"/>
      <c r="E42" s="581"/>
      <c r="F42" s="581"/>
      <c r="G42" s="429"/>
      <c r="H42" s="462"/>
      <c r="I42" s="462"/>
      <c r="J42" s="462"/>
      <c r="K42" s="462"/>
      <c r="L42" s="429"/>
      <c r="O42"/>
      <c r="P42"/>
    </row>
    <row r="43" spans="1:16" ht="12.75">
      <c r="A43" s="576" t="s">
        <v>87</v>
      </c>
      <c r="B43" s="576"/>
      <c r="C43" s="372">
        <v>100</v>
      </c>
      <c r="D43" s="577" t="s">
        <v>97</v>
      </c>
      <c r="E43" s="578"/>
      <c r="F43" s="578"/>
      <c r="G43" s="373">
        <v>71</v>
      </c>
      <c r="H43" s="579" t="s">
        <v>91</v>
      </c>
      <c r="I43" s="580"/>
      <c r="J43" s="580"/>
      <c r="K43" s="580"/>
      <c r="L43" s="374">
        <v>400</v>
      </c>
      <c r="O43"/>
      <c r="P43"/>
    </row>
    <row r="44" spans="1:16" ht="12.75">
      <c r="A44" s="556" t="s">
        <v>88</v>
      </c>
      <c r="B44" s="556"/>
      <c r="C44" s="375">
        <v>400</v>
      </c>
      <c r="D44" s="572" t="s">
        <v>389</v>
      </c>
      <c r="E44" s="573"/>
      <c r="F44" s="573"/>
      <c r="G44" s="376">
        <v>484</v>
      </c>
      <c r="H44" s="574" t="s">
        <v>390</v>
      </c>
      <c r="I44" s="575"/>
      <c r="J44" s="575"/>
      <c r="K44" s="575"/>
      <c r="L44" s="377">
        <v>100</v>
      </c>
      <c r="O44"/>
      <c r="P44"/>
    </row>
    <row r="45" spans="1:16" ht="12.75">
      <c r="A45" s="556" t="s">
        <v>90</v>
      </c>
      <c r="B45" s="556"/>
      <c r="C45" s="375">
        <v>140</v>
      </c>
      <c r="D45" s="572" t="s">
        <v>184</v>
      </c>
      <c r="E45" s="573"/>
      <c r="F45" s="573"/>
      <c r="G45" s="376">
        <v>130</v>
      </c>
      <c r="H45" s="574" t="s">
        <v>391</v>
      </c>
      <c r="I45" s="575"/>
      <c r="J45" s="575"/>
      <c r="K45" s="575"/>
      <c r="L45" s="377">
        <v>115</v>
      </c>
      <c r="O45"/>
      <c r="P45"/>
    </row>
    <row r="46" spans="1:16" ht="12.75">
      <c r="A46" s="556" t="s">
        <v>89</v>
      </c>
      <c r="B46" s="556"/>
      <c r="C46" s="378">
        <v>463</v>
      </c>
      <c r="D46" s="568" t="s">
        <v>89</v>
      </c>
      <c r="E46" s="556"/>
      <c r="F46" s="556"/>
      <c r="G46" s="379">
        <v>520</v>
      </c>
      <c r="H46" s="569" t="s">
        <v>392</v>
      </c>
      <c r="I46" s="570"/>
      <c r="J46" s="570"/>
      <c r="K46" s="570"/>
      <c r="L46" s="377">
        <v>220</v>
      </c>
      <c r="O46"/>
      <c r="P46"/>
    </row>
    <row r="47" spans="1:16" ht="12.75">
      <c r="A47" s="556"/>
      <c r="B47" s="556"/>
      <c r="C47" s="378"/>
      <c r="D47" s="571"/>
      <c r="E47" s="561"/>
      <c r="F47" s="561"/>
      <c r="G47" s="379"/>
      <c r="H47" s="559" t="s">
        <v>89</v>
      </c>
      <c r="I47" s="560"/>
      <c r="J47" s="560"/>
      <c r="K47" s="560"/>
      <c r="L47" s="380">
        <v>544</v>
      </c>
      <c r="O47"/>
      <c r="P47"/>
    </row>
    <row r="48" spans="1:16" ht="12.75">
      <c r="A48" s="556"/>
      <c r="B48" s="556"/>
      <c r="C48" s="378"/>
      <c r="D48" s="557"/>
      <c r="E48" s="558"/>
      <c r="F48" s="558"/>
      <c r="G48" s="371"/>
      <c r="H48" s="566"/>
      <c r="I48" s="567"/>
      <c r="J48" s="567"/>
      <c r="K48" s="567"/>
      <c r="L48" s="371"/>
      <c r="O48"/>
      <c r="P48"/>
    </row>
    <row r="49" spans="1:16" ht="13.5" thickBot="1">
      <c r="A49" s="561"/>
      <c r="B49" s="561"/>
      <c r="C49" s="378"/>
      <c r="D49" s="562"/>
      <c r="E49" s="563"/>
      <c r="F49" s="563"/>
      <c r="G49" s="381"/>
      <c r="H49" s="564"/>
      <c r="I49" s="565"/>
      <c r="J49" s="565"/>
      <c r="K49" s="565"/>
      <c r="L49" s="382"/>
      <c r="O49"/>
      <c r="P49"/>
    </row>
    <row r="50" spans="1:16" ht="13.5" thickBot="1">
      <c r="A50" s="450"/>
      <c r="B50" s="450"/>
      <c r="C50" s="141">
        <f>SUM(C43:C49)</f>
        <v>1103</v>
      </c>
      <c r="D50" s="451" t="s">
        <v>3</v>
      </c>
      <c r="E50" s="451"/>
      <c r="F50" s="451"/>
      <c r="G50" s="332">
        <f>SUM(G43:G49)</f>
        <v>1205</v>
      </c>
      <c r="H50" s="438" t="s">
        <v>3</v>
      </c>
      <c r="I50" s="438"/>
      <c r="J50" s="438"/>
      <c r="K50" s="438"/>
      <c r="L50" s="332">
        <f>SUM(L43:L49)</f>
        <v>1379</v>
      </c>
      <c r="M50" s="20"/>
      <c r="N50" s="20"/>
      <c r="O50"/>
      <c r="P50"/>
    </row>
    <row r="51" spans="1:16" s="1" customFormat="1" ht="13.5" customHeight="1" thickBot="1">
      <c r="A51" s="21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453" t="s">
        <v>230</v>
      </c>
      <c r="B52" s="454"/>
      <c r="C52" s="457" t="s">
        <v>39</v>
      </c>
      <c r="D52" s="459" t="s">
        <v>231</v>
      </c>
      <c r="E52" s="459"/>
      <c r="F52" s="459"/>
      <c r="G52" s="460" t="s">
        <v>39</v>
      </c>
      <c r="H52" s="461" t="s">
        <v>232</v>
      </c>
      <c r="I52" s="461"/>
      <c r="J52" s="461"/>
      <c r="K52" s="461"/>
      <c r="L52" s="444" t="s">
        <v>39</v>
      </c>
      <c r="O52"/>
      <c r="P52"/>
    </row>
    <row r="53" spans="1:16" ht="13.5" thickBot="1">
      <c r="A53" s="455"/>
      <c r="B53" s="456"/>
      <c r="C53" s="458"/>
      <c r="D53" s="459"/>
      <c r="E53" s="459"/>
      <c r="F53" s="459"/>
      <c r="G53" s="460"/>
      <c r="H53" s="461"/>
      <c r="I53" s="461"/>
      <c r="J53" s="461"/>
      <c r="K53" s="461"/>
      <c r="L53" s="444"/>
      <c r="O53"/>
      <c r="P53"/>
    </row>
    <row r="54" spans="1:16" ht="12.75">
      <c r="A54" s="445" t="s">
        <v>393</v>
      </c>
      <c r="B54" s="446"/>
      <c r="C54" s="233">
        <v>550</v>
      </c>
      <c r="D54" s="447" t="s">
        <v>394</v>
      </c>
      <c r="E54" s="447"/>
      <c r="F54" s="447"/>
      <c r="G54" s="142">
        <v>170</v>
      </c>
      <c r="H54" s="467" t="s">
        <v>395</v>
      </c>
      <c r="I54" s="467"/>
      <c r="J54" s="467"/>
      <c r="K54" s="467"/>
      <c r="L54" s="383">
        <v>15</v>
      </c>
      <c r="O54"/>
      <c r="P54"/>
    </row>
    <row r="55" spans="1:16" ht="13.5" customHeight="1">
      <c r="A55" s="418" t="s">
        <v>185</v>
      </c>
      <c r="B55" s="419"/>
      <c r="C55" s="234">
        <v>200</v>
      </c>
      <c r="D55" s="420" t="s">
        <v>396</v>
      </c>
      <c r="E55" s="420"/>
      <c r="F55" s="420"/>
      <c r="G55" s="143">
        <v>1775</v>
      </c>
      <c r="H55" s="464" t="s">
        <v>397</v>
      </c>
      <c r="I55" s="464"/>
      <c r="J55" s="464"/>
      <c r="K55" s="464"/>
      <c r="L55" s="384">
        <v>300</v>
      </c>
      <c r="O55"/>
      <c r="P55"/>
    </row>
    <row r="56" spans="1:16" ht="13.5" customHeight="1">
      <c r="A56" s="418" t="s">
        <v>186</v>
      </c>
      <c r="B56" s="419"/>
      <c r="C56" s="234">
        <v>300</v>
      </c>
      <c r="D56" s="420" t="s">
        <v>188</v>
      </c>
      <c r="E56" s="420"/>
      <c r="F56" s="420"/>
      <c r="G56" s="143">
        <v>350</v>
      </c>
      <c r="H56" s="464" t="s">
        <v>188</v>
      </c>
      <c r="I56" s="464"/>
      <c r="J56" s="464"/>
      <c r="K56" s="464"/>
      <c r="L56" s="384">
        <v>450</v>
      </c>
      <c r="O56"/>
      <c r="P56"/>
    </row>
    <row r="57" spans="1:16" ht="13.5" customHeight="1">
      <c r="A57" s="418" t="s">
        <v>151</v>
      </c>
      <c r="B57" s="419"/>
      <c r="C57" s="234">
        <v>373</v>
      </c>
      <c r="D57" s="420" t="s">
        <v>185</v>
      </c>
      <c r="E57" s="420"/>
      <c r="F57" s="420"/>
      <c r="G57" s="143">
        <v>100</v>
      </c>
      <c r="H57" s="464" t="s">
        <v>398</v>
      </c>
      <c r="I57" s="464"/>
      <c r="J57" s="464"/>
      <c r="K57" s="464"/>
      <c r="L57" s="384">
        <v>450</v>
      </c>
      <c r="O57"/>
      <c r="P57"/>
    </row>
    <row r="58" spans="1:16" ht="13.5" customHeight="1">
      <c r="A58" s="418" t="s">
        <v>187</v>
      </c>
      <c r="B58" s="419"/>
      <c r="C58" s="235">
        <v>100</v>
      </c>
      <c r="D58" s="420" t="s">
        <v>399</v>
      </c>
      <c r="E58" s="420"/>
      <c r="F58" s="420"/>
      <c r="G58" s="145">
        <v>2</v>
      </c>
      <c r="H58" s="464" t="s">
        <v>400</v>
      </c>
      <c r="I58" s="464"/>
      <c r="J58" s="464"/>
      <c r="K58" s="464"/>
      <c r="L58" s="385">
        <v>470</v>
      </c>
      <c r="O58"/>
      <c r="P58"/>
    </row>
    <row r="59" spans="1:16" ht="13.5" customHeight="1">
      <c r="A59" s="418" t="s">
        <v>401</v>
      </c>
      <c r="B59" s="419"/>
      <c r="C59" s="235">
        <v>55</v>
      </c>
      <c r="D59" s="420" t="s">
        <v>187</v>
      </c>
      <c r="E59" s="420"/>
      <c r="F59" s="420"/>
      <c r="G59" s="145">
        <v>77</v>
      </c>
      <c r="H59" s="464" t="s">
        <v>402</v>
      </c>
      <c r="I59" s="464"/>
      <c r="J59" s="464"/>
      <c r="K59" s="464"/>
      <c r="L59" s="385">
        <v>250</v>
      </c>
      <c r="O59"/>
      <c r="P59"/>
    </row>
    <row r="60" spans="1:16" ht="13.5" customHeight="1">
      <c r="A60" s="418"/>
      <c r="B60" s="518"/>
      <c r="C60" s="234"/>
      <c r="D60" s="420" t="s">
        <v>403</v>
      </c>
      <c r="E60" s="420"/>
      <c r="F60" s="420"/>
      <c r="G60" s="143">
        <v>110</v>
      </c>
      <c r="H60" s="464" t="s">
        <v>92</v>
      </c>
      <c r="I60" s="464"/>
      <c r="J60" s="464"/>
      <c r="K60" s="464"/>
      <c r="L60" s="384">
        <v>505</v>
      </c>
      <c r="O60"/>
      <c r="P60"/>
    </row>
    <row r="61" spans="1:16" ht="13.5" thickBot="1">
      <c r="A61" s="511"/>
      <c r="B61" s="512"/>
      <c r="C61" s="236"/>
      <c r="D61" s="513"/>
      <c r="E61" s="513"/>
      <c r="F61" s="513"/>
      <c r="G61" s="147"/>
      <c r="H61" s="514" t="s">
        <v>399</v>
      </c>
      <c r="I61" s="514"/>
      <c r="J61" s="514"/>
      <c r="K61" s="514"/>
      <c r="L61" s="386">
        <v>60</v>
      </c>
      <c r="O61"/>
      <c r="P61"/>
    </row>
    <row r="62" spans="1:16" ht="13.5" thickBot="1">
      <c r="A62" s="515" t="s">
        <v>3</v>
      </c>
      <c r="B62" s="516"/>
      <c r="C62" s="237">
        <f>SUM(C54:C61)</f>
        <v>1578</v>
      </c>
      <c r="D62" s="517" t="s">
        <v>3</v>
      </c>
      <c r="E62" s="517"/>
      <c r="F62" s="517"/>
      <c r="G62" s="149">
        <f>SUM(G54:G61)</f>
        <v>2584</v>
      </c>
      <c r="H62" s="452" t="s">
        <v>3</v>
      </c>
      <c r="I62" s="452"/>
      <c r="J62" s="452"/>
      <c r="K62" s="452"/>
      <c r="L62" s="141">
        <f>SUM(L54:L61)</f>
        <v>2500</v>
      </c>
      <c r="M62" s="20"/>
      <c r="N62" s="20"/>
      <c r="O62"/>
      <c r="P62"/>
    </row>
    <row r="63" spans="1:14" s="1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3.5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26.25" customHeight="1" thickBot="1">
      <c r="A65" s="499" t="s">
        <v>509</v>
      </c>
      <c r="B65" s="500"/>
      <c r="C65" s="500"/>
      <c r="D65" s="500"/>
      <c r="E65" s="501"/>
      <c r="F65" s="502" t="s">
        <v>510</v>
      </c>
      <c r="G65" s="503"/>
      <c r="H65" s="503"/>
      <c r="I65" s="503"/>
      <c r="J65" s="503"/>
      <c r="K65" s="503"/>
      <c r="L65" s="504"/>
      <c r="M65" s="22"/>
      <c r="N65" s="22"/>
    </row>
    <row r="66" spans="1:14" s="1" customFormat="1" ht="14.25" customHeight="1" thickBot="1">
      <c r="A66" s="58" t="s">
        <v>68</v>
      </c>
      <c r="B66" s="59" t="s">
        <v>122</v>
      </c>
      <c r="C66" s="505" t="s">
        <v>69</v>
      </c>
      <c r="D66" s="505"/>
      <c r="E66" s="60" t="s">
        <v>123</v>
      </c>
      <c r="F66" s="506" t="s">
        <v>68</v>
      </c>
      <c r="G66" s="507"/>
      <c r="H66" s="59" t="s">
        <v>122</v>
      </c>
      <c r="I66" s="505" t="s">
        <v>69</v>
      </c>
      <c r="J66" s="505"/>
      <c r="K66" s="505"/>
      <c r="L66" s="61" t="s">
        <v>123</v>
      </c>
      <c r="M66" s="22"/>
      <c r="N66" s="22"/>
    </row>
    <row r="67" spans="1:14" s="1" customFormat="1" ht="12.75">
      <c r="A67" s="62" t="s">
        <v>126</v>
      </c>
      <c r="B67" s="56">
        <v>49</v>
      </c>
      <c r="C67" s="483" t="s">
        <v>129</v>
      </c>
      <c r="D67" s="483"/>
      <c r="E67" s="63">
        <v>0</v>
      </c>
      <c r="F67" s="484" t="s">
        <v>126</v>
      </c>
      <c r="G67" s="485"/>
      <c r="H67" s="56">
        <v>71</v>
      </c>
      <c r="I67" s="483" t="s">
        <v>129</v>
      </c>
      <c r="J67" s="485"/>
      <c r="K67" s="485"/>
      <c r="L67" s="63">
        <v>0</v>
      </c>
      <c r="M67" s="22"/>
      <c r="N67" s="22"/>
    </row>
    <row r="68" spans="1:14" s="1" customFormat="1" ht="12.75">
      <c r="A68" s="64" t="s">
        <v>124</v>
      </c>
      <c r="B68" s="57">
        <v>25</v>
      </c>
      <c r="C68" s="478" t="s">
        <v>511</v>
      </c>
      <c r="D68" s="478"/>
      <c r="E68" s="65">
        <v>73</v>
      </c>
      <c r="F68" s="486" t="s">
        <v>127</v>
      </c>
      <c r="G68" s="479"/>
      <c r="H68" s="57">
        <v>46.2</v>
      </c>
      <c r="I68" s="478"/>
      <c r="J68" s="479"/>
      <c r="K68" s="479"/>
      <c r="L68" s="65"/>
      <c r="M68" s="22"/>
      <c r="N68" s="22"/>
    </row>
    <row r="69" spans="1:14" s="1" customFormat="1" ht="12.75">
      <c r="A69" s="64" t="s">
        <v>125</v>
      </c>
      <c r="B69" s="57">
        <v>70</v>
      </c>
      <c r="C69" s="478"/>
      <c r="D69" s="478"/>
      <c r="E69" s="65"/>
      <c r="F69" s="478" t="s">
        <v>125</v>
      </c>
      <c r="G69" s="478"/>
      <c r="H69" s="57"/>
      <c r="I69" s="478"/>
      <c r="J69" s="479"/>
      <c r="K69" s="479"/>
      <c r="L69" s="65"/>
      <c r="M69" s="22"/>
      <c r="N69" s="22"/>
    </row>
    <row r="70" spans="1:14" s="1" customFormat="1" ht="13.5" thickBot="1">
      <c r="A70" s="68"/>
      <c r="B70" s="67"/>
      <c r="C70" s="480"/>
      <c r="D70" s="480"/>
      <c r="E70" s="69"/>
      <c r="F70" s="481"/>
      <c r="G70" s="482"/>
      <c r="H70" s="67"/>
      <c r="I70" s="480"/>
      <c r="J70" s="482"/>
      <c r="K70" s="482"/>
      <c r="L70" s="69"/>
      <c r="M70" s="22"/>
      <c r="N70" s="22"/>
    </row>
    <row r="71" spans="1:14" s="1" customFormat="1" ht="13.5" thickBot="1">
      <c r="A71" s="76" t="s">
        <v>3</v>
      </c>
      <c r="B71" s="77">
        <f>SUM(B67:B70)</f>
        <v>144</v>
      </c>
      <c r="C71" s="473" t="s">
        <v>3</v>
      </c>
      <c r="D71" s="473"/>
      <c r="E71" s="70">
        <f>SUM(E67:E70)</f>
        <v>73</v>
      </c>
      <c r="F71" s="474" t="s">
        <v>3</v>
      </c>
      <c r="G71" s="475"/>
      <c r="H71" s="66">
        <f>SUM(H67:H70)</f>
        <v>117.2</v>
      </c>
      <c r="I71" s="473" t="s">
        <v>3</v>
      </c>
      <c r="J71" s="475"/>
      <c r="K71" s="475"/>
      <c r="L71" s="70">
        <f>SUM(L67:L70)</f>
        <v>0</v>
      </c>
      <c r="M71" s="22"/>
      <c r="N71" s="22"/>
    </row>
    <row r="72" spans="1:14" s="1" customFormat="1" ht="13.5" thickBot="1">
      <c r="A72" s="78" t="s">
        <v>212</v>
      </c>
      <c r="B72" s="79">
        <f>B71-E71</f>
        <v>71</v>
      </c>
      <c r="C72" s="22"/>
      <c r="D72" s="22"/>
      <c r="E72" s="22"/>
      <c r="F72" s="476" t="s">
        <v>212</v>
      </c>
      <c r="G72" s="477"/>
      <c r="H72" s="80">
        <f>H71-L71</f>
        <v>117.2</v>
      </c>
      <c r="I72" s="22"/>
      <c r="J72" s="22"/>
      <c r="K72" s="22"/>
      <c r="L72" s="22"/>
      <c r="M72" s="22"/>
      <c r="N72" s="22"/>
    </row>
    <row r="73" spans="1:14" s="1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2" s="1" customFormat="1" ht="12.75">
      <c r="A75" s="23"/>
      <c r="B75" s="24"/>
      <c r="C75" s="24"/>
      <c r="D75" s="24"/>
      <c r="E75" s="2"/>
      <c r="F75" s="4"/>
      <c r="G75" s="4"/>
      <c r="H75" s="23"/>
      <c r="I75" s="24"/>
      <c r="J75" s="24"/>
      <c r="K75" s="24"/>
      <c r="L75" s="2"/>
    </row>
    <row r="76" spans="1:12" s="1" customFormat="1" ht="13.5" thickBot="1">
      <c r="A76" s="23"/>
      <c r="B76" s="24"/>
      <c r="C76" s="24"/>
      <c r="D76" s="24"/>
      <c r="E76" s="2"/>
      <c r="F76" s="4"/>
      <c r="G76" s="4"/>
      <c r="H76" s="23"/>
      <c r="I76" s="24"/>
      <c r="J76" s="24" t="s">
        <v>215</v>
      </c>
      <c r="K76" s="24"/>
      <c r="L76" s="2"/>
    </row>
    <row r="77" spans="1:15" s="1" customFormat="1" ht="12.75">
      <c r="A77" s="519" t="s">
        <v>64</v>
      </c>
      <c r="B77" s="522" t="s">
        <v>245</v>
      </c>
      <c r="C77" s="525" t="s">
        <v>246</v>
      </c>
      <c r="D77" s="526"/>
      <c r="E77" s="526"/>
      <c r="F77" s="526"/>
      <c r="G77" s="526"/>
      <c r="H77" s="526"/>
      <c r="I77" s="527"/>
      <c r="J77" s="528" t="s">
        <v>247</v>
      </c>
      <c r="K77" s="7"/>
      <c r="L77" s="531" t="s">
        <v>41</v>
      </c>
      <c r="M77" s="532"/>
      <c r="N77" s="83">
        <v>2005</v>
      </c>
      <c r="O77" s="84">
        <v>2006</v>
      </c>
    </row>
    <row r="78" spans="1:15" s="1" customFormat="1" ht="12.75">
      <c r="A78" s="520"/>
      <c r="B78" s="523"/>
      <c r="C78" s="533" t="s">
        <v>65</v>
      </c>
      <c r="D78" s="535" t="s">
        <v>66</v>
      </c>
      <c r="E78" s="536"/>
      <c r="F78" s="536"/>
      <c r="G78" s="536"/>
      <c r="H78" s="536"/>
      <c r="I78" s="537"/>
      <c r="J78" s="529"/>
      <c r="K78" s="7"/>
      <c r="L78" s="87" t="s">
        <v>128</v>
      </c>
      <c r="M78" s="86"/>
      <c r="N78" s="82">
        <v>0</v>
      </c>
      <c r="O78" s="85">
        <v>0</v>
      </c>
    </row>
    <row r="79" spans="1:15" s="1" customFormat="1" ht="13.5" thickBot="1">
      <c r="A79" s="521"/>
      <c r="B79" s="524"/>
      <c r="C79" s="534"/>
      <c r="D79" s="28">
        <v>1</v>
      </c>
      <c r="E79" s="28">
        <v>2</v>
      </c>
      <c r="F79" s="28">
        <v>3</v>
      </c>
      <c r="G79" s="28">
        <v>4</v>
      </c>
      <c r="H79" s="28">
        <v>5</v>
      </c>
      <c r="I79" s="75">
        <v>6</v>
      </c>
      <c r="J79" s="530"/>
      <c r="K79" s="7"/>
      <c r="L79" s="86" t="s">
        <v>42</v>
      </c>
      <c r="M79" s="87"/>
      <c r="N79" s="25">
        <v>0</v>
      </c>
      <c r="O79" s="26">
        <v>0</v>
      </c>
    </row>
    <row r="80" spans="1:15" s="1" customFormat="1" ht="13.5" thickBot="1">
      <c r="A80" s="29">
        <v>67411</v>
      </c>
      <c r="B80" s="30">
        <v>12068</v>
      </c>
      <c r="C80" s="73">
        <f>SUM(D80:I80)</f>
        <v>1163</v>
      </c>
      <c r="D80" s="74">
        <v>85</v>
      </c>
      <c r="E80" s="74">
        <v>505</v>
      </c>
      <c r="F80" s="74">
        <v>1</v>
      </c>
      <c r="G80" s="74"/>
      <c r="H80" s="73">
        <v>572</v>
      </c>
      <c r="I80" s="81"/>
      <c r="J80" s="31">
        <f>SUM(A80-B80-C80)</f>
        <v>54180</v>
      </c>
      <c r="K80" s="7"/>
      <c r="L80" s="88" t="s">
        <v>43</v>
      </c>
      <c r="M80" s="89"/>
      <c r="N80" s="71">
        <v>0</v>
      </c>
      <c r="O80" s="72">
        <v>0</v>
      </c>
    </row>
    <row r="81" spans="1:12" s="1" customFormat="1" ht="12.75">
      <c r="A81" s="23"/>
      <c r="B81" s="24"/>
      <c r="C81" s="24"/>
      <c r="D81" s="24"/>
      <c r="E81" s="2"/>
      <c r="F81" s="227"/>
      <c r="G81" s="4"/>
      <c r="H81" s="23"/>
      <c r="I81" s="24"/>
      <c r="J81" s="24"/>
      <c r="K81" s="24"/>
      <c r="L81" s="2"/>
    </row>
    <row r="82" spans="1:12" s="1" customFormat="1" ht="13.5" thickBot="1">
      <c r="A82" s="23"/>
      <c r="B82" s="24"/>
      <c r="C82" s="24"/>
      <c r="D82" s="24"/>
      <c r="E82" s="2"/>
      <c r="F82" s="227"/>
      <c r="G82" s="4"/>
      <c r="H82" s="23"/>
      <c r="I82" s="24"/>
      <c r="J82" s="24"/>
      <c r="K82" s="24"/>
      <c r="L82" s="24" t="s">
        <v>215</v>
      </c>
    </row>
    <row r="83" spans="1:12" s="1" customFormat="1" ht="12.75">
      <c r="A83" s="543" t="s">
        <v>95</v>
      </c>
      <c r="B83" s="545" t="s">
        <v>248</v>
      </c>
      <c r="C83" s="547" t="s">
        <v>249</v>
      </c>
      <c r="D83" s="548"/>
      <c r="E83" s="548"/>
      <c r="F83" s="549"/>
      <c r="G83" s="550" t="s">
        <v>250</v>
      </c>
      <c r="H83" s="538" t="s">
        <v>67</v>
      </c>
      <c r="I83" s="540" t="s">
        <v>251</v>
      </c>
      <c r="J83" s="541"/>
      <c r="K83" s="541"/>
      <c r="L83" s="542"/>
    </row>
    <row r="84" spans="1:12" s="1" customFormat="1" ht="18.75" thickBot="1">
      <c r="A84" s="544"/>
      <c r="B84" s="546"/>
      <c r="C84" s="32" t="s">
        <v>204</v>
      </c>
      <c r="D84" s="33" t="s">
        <v>68</v>
      </c>
      <c r="E84" s="33" t="s">
        <v>69</v>
      </c>
      <c r="F84" s="34" t="s">
        <v>205</v>
      </c>
      <c r="G84" s="551"/>
      <c r="H84" s="539"/>
      <c r="I84" s="200" t="s">
        <v>252</v>
      </c>
      <c r="J84" s="201" t="s">
        <v>68</v>
      </c>
      <c r="K84" s="201" t="s">
        <v>69</v>
      </c>
      <c r="L84" s="202" t="s">
        <v>253</v>
      </c>
    </row>
    <row r="85" spans="1:12" s="1" customFormat="1" ht="12.75">
      <c r="A85" s="35" t="s">
        <v>70</v>
      </c>
      <c r="B85" s="36">
        <v>2807</v>
      </c>
      <c r="C85" s="37" t="s">
        <v>71</v>
      </c>
      <c r="D85" s="38" t="s">
        <v>71</v>
      </c>
      <c r="E85" s="38" t="s">
        <v>71</v>
      </c>
      <c r="F85" s="39" t="s">
        <v>71</v>
      </c>
      <c r="G85" s="40">
        <v>2406</v>
      </c>
      <c r="H85" s="197" t="s">
        <v>71</v>
      </c>
      <c r="I85" s="203" t="s">
        <v>71</v>
      </c>
      <c r="J85" s="204" t="s">
        <v>71</v>
      </c>
      <c r="K85" s="204" t="s">
        <v>71</v>
      </c>
      <c r="L85" s="205" t="s">
        <v>71</v>
      </c>
    </row>
    <row r="86" spans="1:12" s="1" customFormat="1" ht="12.75">
      <c r="A86" s="41" t="s">
        <v>72</v>
      </c>
      <c r="B86" s="42">
        <v>0</v>
      </c>
      <c r="C86" s="43">
        <v>0</v>
      </c>
      <c r="D86" s="44">
        <v>0</v>
      </c>
      <c r="E86" s="44">
        <v>0</v>
      </c>
      <c r="F86" s="45">
        <f>C86+D86-E86</f>
        <v>0</v>
      </c>
      <c r="G86" s="46">
        <v>0</v>
      </c>
      <c r="H86" s="198">
        <f>+G86-F86</f>
        <v>0</v>
      </c>
      <c r="I86" s="43">
        <v>0</v>
      </c>
      <c r="J86" s="44">
        <v>11</v>
      </c>
      <c r="K86" s="44">
        <v>0</v>
      </c>
      <c r="L86" s="45">
        <f>I86+J86-K86</f>
        <v>11</v>
      </c>
    </row>
    <row r="87" spans="1:12" s="1" customFormat="1" ht="12.75">
      <c r="A87" s="41" t="s">
        <v>73</v>
      </c>
      <c r="B87" s="42">
        <v>49</v>
      </c>
      <c r="C87" s="43">
        <v>49</v>
      </c>
      <c r="D87" s="44">
        <v>95</v>
      </c>
      <c r="E87" s="44">
        <v>73</v>
      </c>
      <c r="F87" s="45">
        <f>C87+D87-E87</f>
        <v>71</v>
      </c>
      <c r="G87" s="46">
        <v>71</v>
      </c>
      <c r="H87" s="198">
        <f>+G87-F87</f>
        <v>0</v>
      </c>
      <c r="I87" s="395">
        <v>71</v>
      </c>
      <c r="J87" s="396">
        <v>46.2</v>
      </c>
      <c r="K87" s="396">
        <v>0</v>
      </c>
      <c r="L87" s="397">
        <f>I87+J87-K87</f>
        <v>117.2</v>
      </c>
    </row>
    <row r="88" spans="1:12" s="1" customFormat="1" ht="12.75">
      <c r="A88" s="41" t="s">
        <v>96</v>
      </c>
      <c r="B88" s="42">
        <v>553</v>
      </c>
      <c r="C88" s="43">
        <v>553</v>
      </c>
      <c r="D88" s="44">
        <v>1097</v>
      </c>
      <c r="E88" s="44">
        <v>1205</v>
      </c>
      <c r="F88" s="45">
        <f>C88+D88-E88</f>
        <v>445</v>
      </c>
      <c r="G88" s="46">
        <v>445</v>
      </c>
      <c r="H88" s="198">
        <f>+G88-F88</f>
        <v>0</v>
      </c>
      <c r="I88" s="206">
        <v>445</v>
      </c>
      <c r="J88" s="196">
        <v>1163</v>
      </c>
      <c r="K88" s="196">
        <f>L50</f>
        <v>1379</v>
      </c>
      <c r="L88" s="45">
        <f>I88+J88-K88</f>
        <v>229</v>
      </c>
    </row>
    <row r="89" spans="1:12" s="1" customFormat="1" ht="12.75">
      <c r="A89" s="41" t="s">
        <v>74</v>
      </c>
      <c r="B89" s="42">
        <v>2205</v>
      </c>
      <c r="C89" s="53" t="s">
        <v>71</v>
      </c>
      <c r="D89" s="38" t="s">
        <v>71</v>
      </c>
      <c r="E89" s="54" t="s">
        <v>71</v>
      </c>
      <c r="F89" s="55" t="s">
        <v>71</v>
      </c>
      <c r="G89" s="46">
        <v>1890</v>
      </c>
      <c r="H89" s="53" t="s">
        <v>71</v>
      </c>
      <c r="I89" s="37" t="s">
        <v>71</v>
      </c>
      <c r="J89" s="38" t="s">
        <v>71</v>
      </c>
      <c r="K89" s="38" t="s">
        <v>71</v>
      </c>
      <c r="L89" s="207">
        <v>0</v>
      </c>
    </row>
    <row r="90" spans="1:12" s="1" customFormat="1" ht="13.5" thickBot="1">
      <c r="A90" s="47" t="s">
        <v>75</v>
      </c>
      <c r="B90" s="48">
        <v>256</v>
      </c>
      <c r="C90" s="49">
        <v>289</v>
      </c>
      <c r="D90" s="50">
        <v>341</v>
      </c>
      <c r="E90" s="50">
        <v>476</v>
      </c>
      <c r="F90" s="51">
        <f>C90+D90-E90</f>
        <v>154</v>
      </c>
      <c r="G90" s="52">
        <v>135</v>
      </c>
      <c r="H90" s="199">
        <f>+G90-F90</f>
        <v>-19</v>
      </c>
      <c r="I90" s="49">
        <v>154</v>
      </c>
      <c r="J90" s="50">
        <v>390</v>
      </c>
      <c r="K90" s="50">
        <v>400</v>
      </c>
      <c r="L90" s="51">
        <f>I90+J90-K90</f>
        <v>144</v>
      </c>
    </row>
    <row r="91" spans="1:12" s="1" customFormat="1" ht="12.75">
      <c r="A91" s="23"/>
      <c r="B91" s="24"/>
      <c r="C91" s="24"/>
      <c r="D91" s="24"/>
      <c r="E91" s="2"/>
      <c r="F91" s="227"/>
      <c r="G91" s="4"/>
      <c r="H91" s="23"/>
      <c r="I91" s="24"/>
      <c r="J91" s="24"/>
      <c r="K91" s="24"/>
      <c r="L91" s="2"/>
    </row>
    <row r="92" spans="1:12" s="1" customFormat="1" ht="12.75">
      <c r="A92" s="23"/>
      <c r="B92" s="24"/>
      <c r="C92" s="24"/>
      <c r="D92" s="24"/>
      <c r="E92" s="2"/>
      <c r="F92" s="4"/>
      <c r="G92" s="4"/>
      <c r="H92" s="23"/>
      <c r="I92" s="24"/>
      <c r="J92" s="24"/>
      <c r="K92" s="24"/>
      <c r="L92" s="2"/>
    </row>
    <row r="93" spans="8:12" ht="13.5" thickBot="1">
      <c r="H93" s="24" t="s">
        <v>215</v>
      </c>
      <c r="L93" s="24" t="s">
        <v>215</v>
      </c>
    </row>
    <row r="94" spans="1:12" ht="13.5" thickBot="1">
      <c r="A94" s="421" t="s">
        <v>254</v>
      </c>
      <c r="B94" s="412" t="s">
        <v>3</v>
      </c>
      <c r="C94" s="429" t="s">
        <v>76</v>
      </c>
      <c r="D94" s="429"/>
      <c r="E94" s="429"/>
      <c r="F94" s="429"/>
      <c r="G94" s="429"/>
      <c r="H94" s="429"/>
      <c r="I94" s="27"/>
      <c r="J94" s="431" t="s">
        <v>44</v>
      </c>
      <c r="K94" s="431"/>
      <c r="L94" s="431"/>
    </row>
    <row r="95" spans="1:12" ht="13.5" thickBot="1">
      <c r="A95" s="421"/>
      <c r="B95" s="412"/>
      <c r="C95" s="150" t="s">
        <v>77</v>
      </c>
      <c r="D95" s="151" t="s">
        <v>78</v>
      </c>
      <c r="E95" s="151" t="s">
        <v>79</v>
      </c>
      <c r="F95" s="151" t="s">
        <v>80</v>
      </c>
      <c r="G95" s="152" t="s">
        <v>81</v>
      </c>
      <c r="H95" s="153" t="s">
        <v>65</v>
      </c>
      <c r="I95" s="27"/>
      <c r="J95" s="154"/>
      <c r="K95" s="155" t="s">
        <v>45</v>
      </c>
      <c r="L95" s="156" t="s">
        <v>46</v>
      </c>
    </row>
    <row r="96" spans="1:12" ht="12.75">
      <c r="A96" s="157" t="s">
        <v>82</v>
      </c>
      <c r="B96" s="158">
        <v>20</v>
      </c>
      <c r="C96" s="159"/>
      <c r="D96" s="159"/>
      <c r="E96" s="159"/>
      <c r="F96" s="159"/>
      <c r="G96" s="158"/>
      <c r="H96" s="160">
        <f>SUM(C96:G96)</f>
        <v>0</v>
      </c>
      <c r="I96" s="27"/>
      <c r="J96" s="161">
        <v>2006</v>
      </c>
      <c r="K96" s="162">
        <v>17050</v>
      </c>
      <c r="L96" s="163">
        <f>+G29</f>
        <v>17050</v>
      </c>
    </row>
    <row r="97" spans="1:12" ht="13.5" thickBot="1">
      <c r="A97" s="164" t="s">
        <v>83</v>
      </c>
      <c r="B97" s="165">
        <v>3097</v>
      </c>
      <c r="C97" s="166"/>
      <c r="D97" s="166"/>
      <c r="E97" s="166"/>
      <c r="F97" s="166"/>
      <c r="G97" s="165"/>
      <c r="H97" s="167">
        <f>SUM(C97:G97)</f>
        <v>0</v>
      </c>
      <c r="I97" s="27"/>
      <c r="J97" s="168">
        <v>2007</v>
      </c>
      <c r="K97" s="169">
        <f>L29</f>
        <v>19475</v>
      </c>
      <c r="L97" s="170"/>
    </row>
    <row r="98" ht="12.75" customHeight="1"/>
    <row r="99" ht="13.5" thickBot="1">
      <c r="J99" s="242" t="s">
        <v>255</v>
      </c>
    </row>
    <row r="100" spans="1:10" ht="21" customHeight="1" thickBot="1">
      <c r="A100" s="421" t="s">
        <v>47</v>
      </c>
      <c r="B100" s="422" t="s">
        <v>48</v>
      </c>
      <c r="C100" s="422"/>
      <c r="D100" s="422"/>
      <c r="E100" s="423" t="s">
        <v>134</v>
      </c>
      <c r="F100" s="423"/>
      <c r="G100" s="423"/>
      <c r="H100" s="430" t="s">
        <v>49</v>
      </c>
      <c r="I100" s="430"/>
      <c r="J100" s="430"/>
    </row>
    <row r="101" spans="1:10" ht="12.75">
      <c r="A101" s="421"/>
      <c r="B101" s="171">
        <v>2005</v>
      </c>
      <c r="C101" s="171">
        <v>2006</v>
      </c>
      <c r="D101" s="171" t="s">
        <v>50</v>
      </c>
      <c r="E101" s="171">
        <v>2005</v>
      </c>
      <c r="F101" s="171">
        <v>2006</v>
      </c>
      <c r="G101" s="172" t="s">
        <v>50</v>
      </c>
      <c r="H101" s="173">
        <v>2005</v>
      </c>
      <c r="I101" s="171">
        <v>2006</v>
      </c>
      <c r="J101" s="172" t="s">
        <v>50</v>
      </c>
    </row>
    <row r="102" spans="1:10" ht="18.75">
      <c r="A102" s="174" t="s">
        <v>51</v>
      </c>
      <c r="B102" s="175">
        <v>5</v>
      </c>
      <c r="C102" s="175">
        <v>5</v>
      </c>
      <c r="D102" s="175">
        <f aca="true" t="shared" si="14" ref="D102:D112">+C102-B102</f>
        <v>0</v>
      </c>
      <c r="E102" s="175">
        <v>5</v>
      </c>
      <c r="F102" s="175">
        <v>5</v>
      </c>
      <c r="G102" s="176">
        <f aca="true" t="shared" si="15" ref="G102:G112">+F102-E102</f>
        <v>0</v>
      </c>
      <c r="H102" s="177">
        <v>18054</v>
      </c>
      <c r="I102" s="178">
        <v>20159</v>
      </c>
      <c r="J102" s="179">
        <f aca="true" t="shared" si="16" ref="J102:J112">+I102-H102</f>
        <v>2105</v>
      </c>
    </row>
    <row r="103" spans="1:10" ht="12.75">
      <c r="A103" s="174" t="s">
        <v>85</v>
      </c>
      <c r="B103" s="175">
        <v>13.15</v>
      </c>
      <c r="C103" s="175">
        <v>14.12</v>
      </c>
      <c r="D103" s="175">
        <f t="shared" si="14"/>
        <v>0.9699999999999989</v>
      </c>
      <c r="E103" s="175">
        <v>14</v>
      </c>
      <c r="F103" s="175">
        <v>15</v>
      </c>
      <c r="G103" s="176">
        <f t="shared" si="15"/>
        <v>1</v>
      </c>
      <c r="H103" s="177">
        <v>17560</v>
      </c>
      <c r="I103" s="180">
        <v>19969</v>
      </c>
      <c r="J103" s="179">
        <f t="shared" si="16"/>
        <v>2409</v>
      </c>
    </row>
    <row r="104" spans="1:10" ht="12.75">
      <c r="A104" s="174" t="s">
        <v>52</v>
      </c>
      <c r="B104" s="175">
        <v>0</v>
      </c>
      <c r="C104" s="175">
        <v>0</v>
      </c>
      <c r="D104" s="175">
        <f t="shared" si="14"/>
        <v>0</v>
      </c>
      <c r="E104" s="175">
        <v>0</v>
      </c>
      <c r="F104" s="175">
        <v>0</v>
      </c>
      <c r="G104" s="176">
        <f t="shared" si="15"/>
        <v>0</v>
      </c>
      <c r="H104" s="177">
        <v>0</v>
      </c>
      <c r="I104" s="180">
        <v>0</v>
      </c>
      <c r="J104" s="179">
        <f t="shared" si="16"/>
        <v>0</v>
      </c>
    </row>
    <row r="105" spans="1:10" ht="12.75">
      <c r="A105" s="174" t="s">
        <v>53</v>
      </c>
      <c r="B105" s="175">
        <v>0</v>
      </c>
      <c r="C105" s="175">
        <v>0</v>
      </c>
      <c r="D105" s="175">
        <f t="shared" si="14"/>
        <v>0</v>
      </c>
      <c r="E105" s="175">
        <v>0</v>
      </c>
      <c r="F105" s="175">
        <v>0</v>
      </c>
      <c r="G105" s="176">
        <f t="shared" si="15"/>
        <v>0</v>
      </c>
      <c r="H105" s="177">
        <v>0</v>
      </c>
      <c r="I105" s="180">
        <v>0</v>
      </c>
      <c r="J105" s="179">
        <f t="shared" si="16"/>
        <v>0</v>
      </c>
    </row>
    <row r="106" spans="1:10" ht="12.75">
      <c r="A106" s="174" t="s">
        <v>86</v>
      </c>
      <c r="B106" s="175">
        <v>0</v>
      </c>
      <c r="C106" s="175">
        <v>0</v>
      </c>
      <c r="D106" s="175">
        <f t="shared" si="14"/>
        <v>0</v>
      </c>
      <c r="E106" s="175">
        <v>0</v>
      </c>
      <c r="F106" s="175">
        <v>0</v>
      </c>
      <c r="G106" s="176">
        <f t="shared" si="15"/>
        <v>0</v>
      </c>
      <c r="H106" s="177">
        <v>0</v>
      </c>
      <c r="I106" s="180">
        <v>0</v>
      </c>
      <c r="J106" s="179">
        <f t="shared" si="16"/>
        <v>0</v>
      </c>
    </row>
    <row r="107" spans="1:10" ht="12.75">
      <c r="A107" s="174" t="s">
        <v>54</v>
      </c>
      <c r="B107" s="175">
        <v>0</v>
      </c>
      <c r="C107" s="175">
        <v>0</v>
      </c>
      <c r="D107" s="175">
        <f t="shared" si="14"/>
        <v>0</v>
      </c>
      <c r="E107" s="175">
        <v>0</v>
      </c>
      <c r="F107" s="175">
        <v>0</v>
      </c>
      <c r="G107" s="176">
        <f t="shared" si="15"/>
        <v>0</v>
      </c>
      <c r="H107" s="177">
        <v>0</v>
      </c>
      <c r="I107" s="180">
        <v>0</v>
      </c>
      <c r="J107" s="179">
        <f t="shared" si="16"/>
        <v>0</v>
      </c>
    </row>
    <row r="108" spans="1:10" ht="12.75">
      <c r="A108" s="174" t="s">
        <v>55</v>
      </c>
      <c r="B108" s="175">
        <v>0.5</v>
      </c>
      <c r="C108" s="175">
        <v>0</v>
      </c>
      <c r="D108" s="175">
        <f t="shared" si="14"/>
        <v>-0.5</v>
      </c>
      <c r="E108" s="175">
        <v>0</v>
      </c>
      <c r="F108" s="175">
        <v>0</v>
      </c>
      <c r="G108" s="176">
        <f t="shared" si="15"/>
        <v>0</v>
      </c>
      <c r="H108" s="177">
        <v>6591</v>
      </c>
      <c r="I108" s="180">
        <v>0</v>
      </c>
      <c r="J108" s="179">
        <f t="shared" si="16"/>
        <v>-6591</v>
      </c>
    </row>
    <row r="109" spans="1:10" ht="12.75">
      <c r="A109" s="174" t="s">
        <v>56</v>
      </c>
      <c r="B109" s="175">
        <v>46.59</v>
      </c>
      <c r="C109" s="175">
        <v>45.04</v>
      </c>
      <c r="D109" s="175">
        <f t="shared" si="14"/>
        <v>-1.5500000000000043</v>
      </c>
      <c r="E109" s="175">
        <v>44</v>
      </c>
      <c r="F109" s="175">
        <v>47</v>
      </c>
      <c r="G109" s="176">
        <f t="shared" si="15"/>
        <v>3</v>
      </c>
      <c r="H109" s="177">
        <v>14100</v>
      </c>
      <c r="I109" s="180">
        <v>14541</v>
      </c>
      <c r="J109" s="179">
        <f t="shared" si="16"/>
        <v>441</v>
      </c>
    </row>
    <row r="110" spans="1:10" ht="12.75">
      <c r="A110" s="174" t="s">
        <v>57</v>
      </c>
      <c r="B110" s="175">
        <v>1.92</v>
      </c>
      <c r="C110" s="175">
        <v>2</v>
      </c>
      <c r="D110" s="175">
        <f t="shared" si="14"/>
        <v>0.08000000000000007</v>
      </c>
      <c r="E110" s="175">
        <v>2</v>
      </c>
      <c r="F110" s="175">
        <v>2</v>
      </c>
      <c r="G110" s="176">
        <f t="shared" si="15"/>
        <v>0</v>
      </c>
      <c r="H110" s="177">
        <v>18880</v>
      </c>
      <c r="I110" s="180">
        <v>19793</v>
      </c>
      <c r="J110" s="179">
        <f t="shared" si="16"/>
        <v>913</v>
      </c>
    </row>
    <row r="111" spans="1:10" ht="12.75">
      <c r="A111" s="174" t="s">
        <v>58</v>
      </c>
      <c r="B111" s="175">
        <v>33.46</v>
      </c>
      <c r="C111" s="175">
        <v>31.59</v>
      </c>
      <c r="D111" s="175">
        <f t="shared" si="14"/>
        <v>-1.870000000000001</v>
      </c>
      <c r="E111" s="175">
        <v>34.45</v>
      </c>
      <c r="F111" s="175">
        <v>31</v>
      </c>
      <c r="G111" s="176">
        <f t="shared" si="15"/>
        <v>-3.450000000000003</v>
      </c>
      <c r="H111" s="177">
        <v>11570</v>
      </c>
      <c r="I111" s="180">
        <v>11716</v>
      </c>
      <c r="J111" s="179">
        <f t="shared" si="16"/>
        <v>146</v>
      </c>
    </row>
    <row r="112" spans="1:10" ht="13.5" thickBot="1">
      <c r="A112" s="181" t="s">
        <v>3</v>
      </c>
      <c r="B112" s="182">
        <f>SUM(B102:B111)</f>
        <v>100.62</v>
      </c>
      <c r="C112" s="182">
        <f>SUM(C102:C111)</f>
        <v>97.75</v>
      </c>
      <c r="D112" s="182">
        <f t="shared" si="14"/>
        <v>-2.8700000000000045</v>
      </c>
      <c r="E112" s="182">
        <f>SUM(E102:E111)</f>
        <v>99.45</v>
      </c>
      <c r="F112" s="182">
        <f>SUM(F102:F111)</f>
        <v>100</v>
      </c>
      <c r="G112" s="183">
        <f t="shared" si="15"/>
        <v>0.5499999999999972</v>
      </c>
      <c r="H112" s="184"/>
      <c r="I112" s="185"/>
      <c r="J112" s="186">
        <f t="shared" si="16"/>
        <v>0</v>
      </c>
    </row>
    <row r="113" ht="13.5" thickBot="1"/>
    <row r="114" spans="1:16" ht="12.75">
      <c r="A114" s="432" t="s">
        <v>59</v>
      </c>
      <c r="B114" s="432"/>
      <c r="C114" s="432"/>
      <c r="D114" s="27"/>
      <c r="E114" s="432" t="s">
        <v>60</v>
      </c>
      <c r="F114" s="432"/>
      <c r="G114" s="432"/>
      <c r="H114"/>
      <c r="I114"/>
      <c r="J114"/>
      <c r="K114"/>
      <c r="L114"/>
      <c r="M114"/>
      <c r="N114"/>
      <c r="O114"/>
      <c r="P114"/>
    </row>
    <row r="115" spans="1:16" ht="13.5" thickBot="1">
      <c r="A115" s="154" t="s">
        <v>61</v>
      </c>
      <c r="B115" s="155" t="s">
        <v>62</v>
      </c>
      <c r="C115" s="156" t="s">
        <v>46</v>
      </c>
      <c r="D115" s="27"/>
      <c r="E115" s="154"/>
      <c r="F115" s="433" t="s">
        <v>63</v>
      </c>
      <c r="G115" s="433"/>
      <c r="H115"/>
      <c r="I115"/>
      <c r="J115"/>
      <c r="K115"/>
      <c r="L115"/>
      <c r="M115"/>
      <c r="N115"/>
      <c r="O115"/>
      <c r="P115"/>
    </row>
    <row r="116" spans="1:16" ht="12.75">
      <c r="A116" s="161">
        <v>2006</v>
      </c>
      <c r="B116" s="162">
        <v>98</v>
      </c>
      <c r="C116" s="163">
        <v>98</v>
      </c>
      <c r="D116" s="27"/>
      <c r="E116" s="161">
        <v>2006</v>
      </c>
      <c r="F116" s="416">
        <v>193</v>
      </c>
      <c r="G116" s="416"/>
      <c r="H116"/>
      <c r="I116"/>
      <c r="J116"/>
      <c r="K116"/>
      <c r="L116"/>
      <c r="M116"/>
      <c r="N116"/>
      <c r="O116"/>
      <c r="P116"/>
    </row>
    <row r="117" spans="1:16" ht="13.5" thickBot="1">
      <c r="A117" s="168">
        <v>2007</v>
      </c>
      <c r="B117" s="169">
        <v>100</v>
      </c>
      <c r="C117" s="369" t="s">
        <v>508</v>
      </c>
      <c r="D117" s="27"/>
      <c r="E117" s="168">
        <v>2007</v>
      </c>
      <c r="F117" s="417">
        <v>193</v>
      </c>
      <c r="G117" s="417"/>
      <c r="H117"/>
      <c r="I117"/>
      <c r="J117"/>
      <c r="K117"/>
      <c r="L117"/>
      <c r="M117"/>
      <c r="N117"/>
      <c r="O117"/>
      <c r="P117"/>
    </row>
  </sheetData>
  <mergeCells count="122">
    <mergeCell ref="F117:G117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114:C114"/>
    <mergeCell ref="E114:G114"/>
    <mergeCell ref="F115:G115"/>
    <mergeCell ref="F116:G116"/>
    <mergeCell ref="B4:D4"/>
    <mergeCell ref="E4:G4"/>
    <mergeCell ref="J4:L4"/>
    <mergeCell ref="A100:A101"/>
    <mergeCell ref="B100:D100"/>
    <mergeCell ref="E100:G100"/>
    <mergeCell ref="H100:J100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83:A84"/>
    <mergeCell ref="B83:B84"/>
    <mergeCell ref="C83:F83"/>
    <mergeCell ref="A94:A95"/>
    <mergeCell ref="B94:B95"/>
    <mergeCell ref="C94:H94"/>
    <mergeCell ref="H83:H84"/>
    <mergeCell ref="J94:L94"/>
    <mergeCell ref="A77:A79"/>
    <mergeCell ref="B77:B79"/>
    <mergeCell ref="C77:I77"/>
    <mergeCell ref="I83:L83"/>
    <mergeCell ref="J77:J79"/>
    <mergeCell ref="L77:M77"/>
    <mergeCell ref="G83:G84"/>
    <mergeCell ref="C78:C79"/>
    <mergeCell ref="D78:I78"/>
    <mergeCell ref="L41:L42"/>
    <mergeCell ref="L52:L53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A43:B43"/>
    <mergeCell ref="D43:F43"/>
    <mergeCell ref="H43:K43"/>
    <mergeCell ref="A41:B42"/>
    <mergeCell ref="C41:C42"/>
    <mergeCell ref="D41:F42"/>
    <mergeCell ref="G41:G42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A48:B48"/>
    <mergeCell ref="D48:F48"/>
    <mergeCell ref="H47:K47"/>
    <mergeCell ref="A49:B49"/>
    <mergeCell ref="D49:F49"/>
    <mergeCell ref="H49:K49"/>
    <mergeCell ref="H48:K48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1" r:id="rId1"/>
  <headerFooter alignWithMargins="0">
    <oddFooter>&amp;C&amp;P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chrastova</cp:lastModifiedBy>
  <cp:lastPrinted>2007-06-13T07:32:08Z</cp:lastPrinted>
  <dcterms:created xsi:type="dcterms:W3CDTF">2004-02-26T11:39:43Z</dcterms:created>
  <dcterms:modified xsi:type="dcterms:W3CDTF">2007-08-16T09:46:36Z</dcterms:modified>
  <cp:category/>
  <cp:version/>
  <cp:contentType/>
  <cp:contentStatus/>
</cp:coreProperties>
</file>