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7665" yWindow="65521" windowWidth="7650" windowHeight="9480" tabRatio="599" activeTab="0"/>
  </bookViews>
  <sheets>
    <sheet name="Hospodaření str1-2" sheetId="1" r:id="rId1"/>
    <sheet name="Lůžka str 4" sheetId="2" r:id="rId2"/>
    <sheet name="likvidita" sheetId="3" r:id="rId3"/>
    <sheet name="H.Brod " sheetId="4" r:id="rId4"/>
    <sheet name="Jihlava " sheetId="5" r:id="rId5"/>
    <sheet name="Pelhřimov" sheetId="6" r:id="rId6"/>
    <sheet name=" Třebíč" sheetId="7" r:id="rId7"/>
    <sheet name="N.Město" sheetId="8" r:id="rId8"/>
    <sheet name="Rozklad mezd nem" sheetId="9" r:id="rId9"/>
    <sheet name="mzzdy ZZ" sheetId="10" r:id="rId10"/>
    <sheet name="DC " sheetId="11" r:id="rId11"/>
    <sheet name="DD" sheetId="12" r:id="rId12"/>
    <sheet name="ZZS" sheetId="13" r:id="rId13"/>
  </sheets>
  <externalReferences>
    <externalReference r:id="rId16"/>
  </externalReferences>
  <definedNames>
    <definedName name="_1005">'[1].xls].xls].xls].xls]Sheet5'!$F$19</definedName>
    <definedName name="_1006">'[1].xls].xls].xls].xls]Sheet5'!$G$19</definedName>
    <definedName name="_1008">'[1].xls].xls].xls].xls]Sheet5'!$J$19</definedName>
    <definedName name="_101">'[1].xls].xls].xls].xls]Sheet1'!$J$9</definedName>
    <definedName name="_1010">'[1].xls].xls].xls].xls]Sheet5'!$L$19</definedName>
    <definedName name="_1012">'[1].xls].xls].xls].xls]Sheet5'!$N$19</definedName>
    <definedName name="_1018">'[1].xls].xls].xls].xls]Sheet5'!$F$20</definedName>
    <definedName name="_1019">'[1].xls].xls].xls].xls]Sheet5'!$G$20</definedName>
    <definedName name="_1021">'[1].xls].xls].xls].xls]Sheet5'!$J$20</definedName>
    <definedName name="_1023">'[1].xls].xls].xls].xls]Sheet5'!$L$20</definedName>
    <definedName name="_1025">'[1].xls].xls].xls].xls]Sheet5'!$N$20</definedName>
    <definedName name="_103">'[1].xls].xls].xls].xls]Sheet1'!$L$9</definedName>
    <definedName name="_1031">'[1].xls].xls].xls].xls]Sheet5'!$F$21</definedName>
    <definedName name="_1032">'[1].xls].xls].xls].xls]Sheet5'!$G$21</definedName>
    <definedName name="_1034">'[1].xls].xls].xls].xls]Sheet5'!$J$21</definedName>
    <definedName name="_1036">'[1].xls].xls].xls].xls]Sheet5'!$L$21</definedName>
    <definedName name="_1038">'[1].xls].xls].xls].xls]Sheet5'!$N$21</definedName>
    <definedName name="_1044">'[1].xls].xls].xls].xls]Sheet5'!$F$22</definedName>
    <definedName name="_1045">'[1].xls].xls].xls].xls]Sheet5'!$G$22</definedName>
    <definedName name="_1047">'[1].xls].xls].xls].xls]Sheet5'!$J$22</definedName>
    <definedName name="_1049">'[1].xls].xls].xls].xls]Sheet5'!$L$22</definedName>
    <definedName name="_105">'[1].xls].xls].xls].xls]Sheet1'!$N$9</definedName>
    <definedName name="_1051">'[1].xls].xls].xls].xls]Sheet5'!$N$22</definedName>
    <definedName name="_1057">'[1].xls].xls].xls].xls]Sheet5'!$F$23</definedName>
    <definedName name="_1058">'[1].xls].xls].xls].xls]Sheet5'!$G$23</definedName>
    <definedName name="_1060">'[1].xls].xls].xls].xls]Sheet5'!$J$23</definedName>
    <definedName name="_1062">'[1].xls].xls].xls].xls]Sheet5'!$L$23</definedName>
    <definedName name="_1064">'[1].xls].xls].xls].xls]Sheet5'!$N$23</definedName>
    <definedName name="_1070">'[1].xls].xls].xls].xls]Sheet5'!$F$24</definedName>
    <definedName name="_1071">'[1].xls].xls].xls].xls]Sheet5'!$G$24</definedName>
    <definedName name="_1073">'[1].xls].xls].xls].xls]Sheet5'!$J$24</definedName>
    <definedName name="_1075">'[1].xls].xls].xls].xls]Sheet5'!$L$24</definedName>
    <definedName name="_1077">'[1].xls].xls].xls].xls]Sheet5'!$N$24</definedName>
    <definedName name="_1083">'[1].xls].xls].xls].xls]Sheet5'!$F$25</definedName>
    <definedName name="_1084">'[1].xls].xls].xls].xls]Sheet5'!$G$25</definedName>
    <definedName name="_1086">'[1].xls].xls].xls].xls]Sheet5'!$J$25</definedName>
    <definedName name="_1088">'[1].xls].xls].xls].xls]Sheet5'!$L$25</definedName>
    <definedName name="_1090">'[1].xls].xls].xls].xls]Sheet5'!$N$25</definedName>
    <definedName name="_1096">'[1].xls].xls].xls].xls]Sheet5'!$F$26</definedName>
    <definedName name="_1097">'[1].xls].xls].xls].xls]Sheet5'!$G$26</definedName>
    <definedName name="_1099">'[1].xls].xls].xls].xls]Sheet5'!$J$26</definedName>
    <definedName name="_1101">'[1].xls].xls].xls].xls]Sheet5'!$L$26</definedName>
    <definedName name="_1103">'[1].xls].xls].xls].xls]Sheet5'!$N$26</definedName>
    <definedName name="_1109">'[1].xls].xls].xls].xls]Sheet5'!$F$27</definedName>
    <definedName name="_111">'[1].xls].xls].xls].xls]Sheet1'!$G$10</definedName>
    <definedName name="_1110">'[1].xls].xls].xls].xls]Sheet5'!$G$27</definedName>
    <definedName name="_1112">'[1].xls].xls].xls].xls]Sheet5'!$J$27</definedName>
    <definedName name="_1114">'[1].xls].xls].xls].xls]Sheet5'!$L$27</definedName>
    <definedName name="_1116">'[1].xls].xls].xls].xls]Sheet5'!$N$27</definedName>
    <definedName name="_112">'[1].xls].xls].xls].xls]Sheet1'!$H$10</definedName>
    <definedName name="_1122">'[1].xls].xls].xls].xls]Sheet5'!$F$28</definedName>
    <definedName name="_1123">'[1].xls].xls].xls].xls]Sheet5'!$G$28</definedName>
    <definedName name="_1125">'[1].xls].xls].xls].xls]Sheet5'!$J$28</definedName>
    <definedName name="_1127">'[1].xls].xls].xls].xls]Sheet5'!$L$28</definedName>
    <definedName name="_1129">'[1].xls].xls].xls].xls]Sheet5'!$N$28</definedName>
    <definedName name="_1135">'[1].xls].xls].xls].xls]Sheet5'!$F$29</definedName>
    <definedName name="_1136">'[1].xls].xls].xls].xls]Sheet5'!$G$29</definedName>
    <definedName name="_1138">'[1].xls].xls].xls].xls]Sheet5'!$J$29</definedName>
    <definedName name="_114">'[1].xls].xls].xls].xls]Sheet1'!$J$10</definedName>
    <definedName name="_1140">'[1].xls].xls].xls].xls]Sheet5'!$L$29</definedName>
    <definedName name="_1142">'[1].xls].xls].xls].xls]Sheet5'!$N$29</definedName>
    <definedName name="_1148">'[1].xls].xls].xls].xls]Sheet5'!$F$30</definedName>
    <definedName name="_1149">'[1].xls].xls].xls].xls]Sheet5'!$G$30</definedName>
    <definedName name="_1151">'[1].xls].xls].xls].xls]Sheet5'!$J$30</definedName>
    <definedName name="_1153">'[1].xls].xls].xls].xls]Sheet5'!$L$30</definedName>
    <definedName name="_1155">'[1].xls].xls].xls].xls]Sheet5'!$N$30</definedName>
    <definedName name="_116">'[1].xls].xls].xls].xls]Sheet1'!$L$10</definedName>
    <definedName name="_1161">'[1].xls].xls].xls].xls]Sheet5'!$F$31</definedName>
    <definedName name="_1162">'[1].xls].xls].xls].xls]Sheet5'!$G$31</definedName>
    <definedName name="_1164">'[1].xls].xls].xls].xls]Sheet5'!$J$31</definedName>
    <definedName name="_1166">'[1].xls].xls].xls].xls]Sheet5'!$L$31</definedName>
    <definedName name="_1168">'[1].xls].xls].xls].xls]Sheet5'!$N$31</definedName>
    <definedName name="_1174">'[1].xls].xls].xls].xls]Sheet5'!$F$32</definedName>
    <definedName name="_1175">'[1].xls].xls].xls].xls]Sheet5'!$G$32</definedName>
    <definedName name="_1177">'[1].xls].xls].xls].xls]Sheet5'!$J$32</definedName>
    <definedName name="_1179">'[1].xls].xls].xls].xls]Sheet5'!$L$32</definedName>
    <definedName name="_118">'[1].xls].xls].xls].xls]Sheet1'!$N$10</definedName>
    <definedName name="_1181">'[1].xls].xls].xls].xls]Sheet5'!$N$32</definedName>
    <definedName name="_1187">'[1].xls].xls].xls].xls]Sheet5'!$F$33</definedName>
    <definedName name="_1188">'[1].xls].xls].xls].xls]Sheet5'!$G$33</definedName>
    <definedName name="_1190">'[1].xls].xls].xls].xls]Sheet5'!$J$33</definedName>
    <definedName name="_1192">'[1].xls].xls].xls].xls]Sheet5'!$L$33</definedName>
    <definedName name="_1194">'[1].xls].xls].xls].xls]Sheet5'!$N$33</definedName>
    <definedName name="_1200">'[1].xls].xls].xls].xls]Sheet5'!$F$34</definedName>
    <definedName name="_1201">'[1].xls].xls].xls].xls]Sheet5'!$G$34</definedName>
    <definedName name="_1203">'[1].xls].xls].xls].xls]Sheet5'!$J$34</definedName>
    <definedName name="_1205">'[1].xls].xls].xls].xls]Sheet5'!$L$34</definedName>
    <definedName name="_1207">'[1].xls].xls].xls].xls]Sheet5'!$N$34</definedName>
    <definedName name="_1213">'[1].xls].xls].xls].xls]Sheet5'!$F$35</definedName>
    <definedName name="_1214">'[1].xls].xls].xls].xls]Sheet5'!$G$35</definedName>
    <definedName name="_1216">'[1].xls].xls].xls].xls]Sheet5'!$J$35</definedName>
    <definedName name="_1218">'[1].xls].xls].xls].xls]Sheet5'!$L$35</definedName>
    <definedName name="_1220">'[1].xls].xls].xls].xls]Sheet5'!$N$35</definedName>
    <definedName name="_1226">'[1].xls].xls].xls].xls]Sheet5'!$F$36</definedName>
    <definedName name="_1227">'[1].xls].xls].xls].xls]Sheet5'!$G$36</definedName>
    <definedName name="_1229">'[1].xls].xls].xls].xls]Sheet5'!$J$36</definedName>
    <definedName name="_1231">'[1].xls].xls].xls].xls]Sheet5'!$L$36</definedName>
    <definedName name="_1233">'[1].xls].xls].xls].xls]Sheet5'!$N$36</definedName>
    <definedName name="_1239">'[1].xls].xls].xls].xls]Sheet5'!$F$37</definedName>
    <definedName name="_1240">'[1].xls].xls].xls].xls]Sheet5'!$G$37</definedName>
    <definedName name="_1242">'[1].xls].xls].xls].xls]Sheet5'!$J$37</definedName>
    <definedName name="_1244">'[1].xls].xls].xls].xls]Sheet5'!$L$37</definedName>
    <definedName name="_1246">'[1].xls].xls].xls].xls]Sheet5'!$N$37</definedName>
    <definedName name="_1252">'[1].xls].xls].xls].xls]Sheet5'!$F$38</definedName>
    <definedName name="_1253">'[1].xls].xls].xls].xls]Sheet5'!$G$38</definedName>
    <definedName name="_1255">'[1].xls].xls].xls].xls]Sheet5'!$J$38</definedName>
    <definedName name="_1257">'[1].xls].xls].xls].xls]Sheet5'!$L$38</definedName>
    <definedName name="_1259">'[1].xls].xls].xls].xls]Sheet5'!$N$38</definedName>
    <definedName name="_1265">'[1].xls].xls].xls].xls]Sheet5'!$F$39</definedName>
    <definedName name="_1266">'[1].xls].xls].xls].xls]Sheet5'!$G$39</definedName>
    <definedName name="_1268">'[1].xls].xls].xls].xls]Sheet5'!$J$39</definedName>
    <definedName name="_1270">'[1].xls].xls].xls].xls]Sheet5'!$L$39</definedName>
    <definedName name="_1272">'[1].xls].xls].xls].xls]Sheet5'!$N$39</definedName>
    <definedName name="_1278">'[1].xls].xls].xls].xls]Sheet5'!$F$40</definedName>
    <definedName name="_1279">'[1].xls].xls].xls].xls]Sheet5'!$G$40</definedName>
    <definedName name="_1281">'[1].xls].xls].xls].xls]Sheet5'!$J$40</definedName>
    <definedName name="_1283">'[1].xls].xls].xls].xls]Sheet5'!$L$40</definedName>
    <definedName name="_1285">'[1].xls].xls].xls].xls]Sheet5'!$N$40</definedName>
    <definedName name="_1291">'[1].xls].xls].xls].xls]Sheet5'!$F$41</definedName>
    <definedName name="_1292">'[1].xls].xls].xls].xls]Sheet5'!$G$41</definedName>
    <definedName name="_1294">'[1].xls].xls].xls].xls]Sheet5'!$J$41</definedName>
    <definedName name="_1296">'[1].xls].xls].xls].xls]Sheet5'!$L$41</definedName>
    <definedName name="_1298">'[1].xls].xls].xls].xls]Sheet5'!$N$41</definedName>
    <definedName name="_1304">'[1].xls].xls].xls].xls]Sheet5'!$F$42</definedName>
    <definedName name="_1305">'[1].xls].xls].xls].xls]Sheet5'!$G$42</definedName>
    <definedName name="_1307">'[1].xls].xls].xls].xls]Sheet5'!$J$42</definedName>
    <definedName name="_1309">'[1].xls].xls].xls].xls]Sheet5'!$L$42</definedName>
    <definedName name="_1311">'[1].xls].xls].xls].xls]Sheet5'!$N$42</definedName>
    <definedName name="_1317">'[1].xls].xls].xls].xls]Sheet5'!$F$43</definedName>
    <definedName name="_1318">'[1].xls].xls].xls].xls]Sheet5'!$G$43</definedName>
    <definedName name="_1320">'[1].xls].xls].xls].xls]Sheet5'!$J$43</definedName>
    <definedName name="_1322">'[1].xls].xls].xls].xls]Sheet5'!$L$43</definedName>
    <definedName name="_1324">'[1].xls].xls].xls].xls]Sheet5'!$N$43</definedName>
    <definedName name="_1330">'[1].xls].xls].xls].xls]Sheet5'!$F$44</definedName>
    <definedName name="_1331">'[1].xls].xls].xls].xls]Sheet5'!$G$44</definedName>
    <definedName name="_1333">'[1].xls].xls].xls].xls]Sheet5'!$J$44</definedName>
    <definedName name="_1335">'[1].xls].xls].xls].xls]Sheet5'!$L$44</definedName>
    <definedName name="_1337">'[1].xls].xls].xls].xls]Sheet5'!$N$44</definedName>
    <definedName name="_1343">'[1].xls].xls].xls].xls]Sheet5'!$F$45</definedName>
    <definedName name="_1344">'[1].xls].xls].xls].xls]Sheet5'!$G$45</definedName>
    <definedName name="_1346">'[1].xls].xls].xls].xls]Sheet5'!$J$45</definedName>
    <definedName name="_1348">'[1].xls].xls].xls].xls]Sheet5'!$L$45</definedName>
    <definedName name="_1350">'[1].xls].xls].xls].xls]Sheet5'!$N$45</definedName>
    <definedName name="_1356">'[1].xls].xls].xls].xls]Sheet5'!$F$46</definedName>
    <definedName name="_1357">'[1].xls].xls].xls].xls]Sheet5'!$G$46</definedName>
    <definedName name="_1359">'[1].xls].xls].xls].xls]Sheet5'!$J$46</definedName>
    <definedName name="_1361">'[1].xls].xls].xls].xls]Sheet5'!$L$46</definedName>
    <definedName name="_1363">'[1].xls].xls].xls].xls]Sheet5'!$N$46</definedName>
    <definedName name="_1369">'[1].xls].xls].xls].xls]Sheet5'!$F$47</definedName>
    <definedName name="_1370">'[1].xls].xls].xls].xls]Sheet5'!$G$47</definedName>
    <definedName name="_1372">'[1].xls].xls].xls].xls]Sheet5'!$J$47</definedName>
    <definedName name="_1374">'[1].xls].xls].xls].xls]Sheet5'!$L$47</definedName>
    <definedName name="_1376">'[1].xls].xls].xls].xls]Sheet5'!$N$47</definedName>
    <definedName name="_1382">'[1].xls].xls].xls].xls]Sheet5'!$F$48</definedName>
    <definedName name="_1383">'[1].xls].xls].xls].xls]Sheet5'!$G$48</definedName>
    <definedName name="_1385">'[1].xls].xls].xls].xls]Sheet5'!$J$48</definedName>
    <definedName name="_1387">'[1].xls].xls].xls].xls]Sheet5'!$L$48</definedName>
    <definedName name="_1389">'[1].xls].xls].xls].xls]Sheet5'!$N$48</definedName>
    <definedName name="_1395">'[1].xls].xls].xls].xls]Sheet5'!$F$49</definedName>
    <definedName name="_1396">'[1].xls].xls].xls].xls]Sheet5'!$G$49</definedName>
    <definedName name="_1398">'[1].xls].xls].xls].xls]Sheet5'!$J$49</definedName>
    <definedName name="_1400">'[1].xls].xls].xls].xls]Sheet5'!$L$49</definedName>
    <definedName name="_1402">'[1].xls].xls].xls].xls]Sheet5'!$N$49</definedName>
    <definedName name="_1408">'[1].xls].xls].xls].xls]Sheet5'!$F$50</definedName>
    <definedName name="_1409">'[1].xls].xls].xls].xls]Sheet5'!$G$50</definedName>
    <definedName name="_1411">'[1].xls].xls].xls].xls]Sheet5'!$J$50</definedName>
    <definedName name="_1413">'[1].xls].xls].xls].xls]Sheet5'!$L$50</definedName>
    <definedName name="_1415">'[1].xls].xls].xls].xls]Sheet5'!$N$50</definedName>
    <definedName name="_1421">'[1].xls].xls].xls].xls]Sheet5'!$F$51</definedName>
    <definedName name="_1422">'[1].xls].xls].xls].xls]Sheet5'!$G$51</definedName>
    <definedName name="_1424">'[1].xls].xls].xls].xls]Sheet5'!$J$51</definedName>
    <definedName name="_1426">'[1].xls].xls].xls].xls]Sheet5'!$L$51</definedName>
    <definedName name="_1428">'[1].xls].xls].xls].xls]Sheet5'!$N$51</definedName>
    <definedName name="_1434">'[1].xls].xls].xls].xls]Sheet5'!$F$52</definedName>
    <definedName name="_1435">'[1].xls].xls].xls].xls]Sheet5'!$G$52</definedName>
    <definedName name="_1437">'[1].xls].xls].xls].xls]Sheet5'!$J$52</definedName>
    <definedName name="_1439">'[1].xls].xls].xls].xls]Sheet5'!$L$52</definedName>
    <definedName name="_1441">'[1].xls].xls].xls].xls]Sheet5'!$N$52</definedName>
    <definedName name="_1447">'[1].xls].xls].xls].xls]Sheet5'!$F$53</definedName>
    <definedName name="_1448">'[1].xls].xls].xls].xls]Sheet5'!$G$53</definedName>
    <definedName name="_1450">'[1].xls].xls].xls].xls]Sheet5'!$J$53</definedName>
    <definedName name="_1452">'[1].xls].xls].xls].xls]Sheet5'!$L$53</definedName>
    <definedName name="_1454">'[1].xls].xls].xls].xls]Sheet5'!$N$53</definedName>
    <definedName name="_1460">'[1].xls].xls].xls].xls]Sheet5'!$F$54</definedName>
    <definedName name="_1461">'[1].xls].xls].xls].xls]Sheet5'!$G$54</definedName>
    <definedName name="_1463">'[1].xls].xls].xls].xls]Sheet5'!$J$54</definedName>
    <definedName name="_1465">'[1].xls].xls].xls].xls]Sheet5'!$L$54</definedName>
    <definedName name="_1467">'[1].xls].xls].xls].xls]Sheet5'!$N$54</definedName>
    <definedName name="_1473">'[1].xls].xls].xls].xls]Sheet5'!$F$55</definedName>
    <definedName name="_1474">'[1].xls].xls].xls].xls]Sheet5'!$G$55</definedName>
    <definedName name="_1476">'[1].xls].xls].xls].xls]Sheet5'!$J$55</definedName>
    <definedName name="_1478">'[1].xls].xls].xls].xls]Sheet5'!$L$55</definedName>
    <definedName name="_1480">'[1].xls].xls].xls].xls]Sheet5'!$N$55</definedName>
    <definedName name="_1486">'[1].xls].xls].xls].xls]Sheet5'!$F$56</definedName>
    <definedName name="_1487">'[1].xls].xls].xls].xls]Sheet5'!$G$56</definedName>
    <definedName name="_1489">'[1].xls].xls].xls].xls]Sheet5'!$J$56</definedName>
    <definedName name="_1491">'[1].xls].xls].xls].xls]Sheet5'!$L$56</definedName>
    <definedName name="_1493">'[1].xls].xls].xls].xls]Sheet5'!$N$56</definedName>
    <definedName name="_1499">'[1].xls].xls].xls].xls]Sheet5'!$F$57</definedName>
    <definedName name="_1500">'[1].xls].xls].xls].xls]Sheet5'!$G$57</definedName>
    <definedName name="_1502">'[1].xls].xls].xls].xls]Sheet5'!$J$57</definedName>
    <definedName name="_1504">'[1].xls].xls].xls].xls]Sheet5'!$L$57</definedName>
    <definedName name="_1506">'[1].xls].xls].xls].xls]Sheet5'!$N$57</definedName>
    <definedName name="_1512">'[1].xls].xls].xls].xls]Sheet5'!$F$58</definedName>
    <definedName name="_1513">'[1].xls].xls].xls].xls]Sheet5'!$G$58</definedName>
    <definedName name="_1515">'[1].xls].xls].xls].xls]Sheet5'!$J$58</definedName>
    <definedName name="_1517">'[1].xls].xls].xls].xls]Sheet5'!$L$58</definedName>
    <definedName name="_1519">'[1].xls].xls].xls].xls]Sheet5'!$N$58</definedName>
    <definedName name="_1525">'[1].xls].xls].xls].xls]Sheet5'!$F$59</definedName>
    <definedName name="_1526">'[1].xls].xls].xls].xls]Sheet5'!$G$59</definedName>
    <definedName name="_1528">'[1].xls].xls].xls].xls]Sheet5'!$J$59</definedName>
    <definedName name="_1530">'[1].xls].xls].xls].xls]Sheet5'!$L$59</definedName>
    <definedName name="_1532">'[1].xls].xls].xls].xls]Sheet5'!$N$59</definedName>
    <definedName name="_1538">'[1].xls].xls].xls].xls]Sheet5'!$F$60</definedName>
    <definedName name="_1539">'[1].xls].xls].xls].xls]Sheet5'!$G$60</definedName>
    <definedName name="_1541">'[1].xls].xls].xls].xls]Sheet5'!$J$60</definedName>
    <definedName name="_1543">'[1].xls].xls].xls].xls]Sheet5'!$L$60</definedName>
    <definedName name="_1545">'[1].xls].xls].xls].xls]Sheet5'!$N$60</definedName>
    <definedName name="_1551">'[1].xls].xls].xls].xls]Sheet5'!$F$61</definedName>
    <definedName name="_1552">'[1].xls].xls].xls].xls]Sheet5'!$G$61</definedName>
    <definedName name="_1554">'[1].xls].xls].xls].xls]Sheet5'!$J$61</definedName>
    <definedName name="_1556">'[1].xls].xls].xls].xls]Sheet5'!$L$61</definedName>
    <definedName name="_1558">'[1].xls].xls].xls].xls]Sheet5'!$N$61</definedName>
    <definedName name="_156">'[1].xls].xls].xls].xls]Sheet2'!$G$30</definedName>
    <definedName name="_1564">'[1].xls].xls].xls].xls]Sheet5'!$F$62</definedName>
    <definedName name="_1565">'[1].xls].xls].xls].xls]Sheet5'!$G$62</definedName>
    <definedName name="_1567">'[1].xls].xls].xls].xls]Sheet5'!$J$62</definedName>
    <definedName name="_1569">'[1].xls].xls].xls].xls]Sheet5'!$L$62</definedName>
    <definedName name="_157">'[1].xls].xls].xls].xls]Sheet2'!$H$30</definedName>
    <definedName name="_1571">'[1].xls].xls].xls].xls]Sheet5'!$N$62</definedName>
    <definedName name="_1577">'[1].xls].xls].xls].xls]Sheet5'!$F$63</definedName>
    <definedName name="_1578">'[1].xls].xls].xls].xls]Sheet5'!$G$63</definedName>
    <definedName name="_1580">'[1].xls].xls].xls].xls]Sheet5'!$J$63</definedName>
    <definedName name="_1582">'[1].xls].xls].xls].xls]Sheet5'!$L$63</definedName>
    <definedName name="_1584">'[1].xls].xls].xls].xls]Sheet5'!$N$63</definedName>
    <definedName name="_159">'[1].xls].xls].xls].xls]Sheet2'!$J$30</definedName>
    <definedName name="_1590">'[1].xls].xls].xls].xls]Sheet5'!$F$64</definedName>
    <definedName name="_1591">'[1].xls].xls].xls].xls]Sheet5'!$G$64</definedName>
    <definedName name="_1593">'[1].xls].xls].xls].xls]Sheet5'!$J$64</definedName>
    <definedName name="_1595">'[1].xls].xls].xls].xls]Sheet5'!$L$64</definedName>
    <definedName name="_1597">'[1].xls].xls].xls].xls]Sheet5'!$N$64</definedName>
    <definedName name="_1603">'[1].xls].xls].xls].xls]Sheet5'!$F$65</definedName>
    <definedName name="_1604">'[1].xls].xls].xls].xls]Sheet5'!$G$65</definedName>
    <definedName name="_1606">'[1].xls].xls].xls].xls]Sheet5'!$J$65</definedName>
    <definedName name="_1608">'[1].xls].xls].xls].xls]Sheet5'!$L$65</definedName>
    <definedName name="_161">'[1].xls].xls].xls].xls]Sheet2'!$L$30</definedName>
    <definedName name="_1610">'[1].xls].xls].xls].xls]Sheet5'!$N$65</definedName>
    <definedName name="_1616">'[1].xls].xls].xls].xls]Sheet5'!$F$66</definedName>
    <definedName name="_1617">'[1].xls].xls].xls].xls]Sheet5'!$G$66</definedName>
    <definedName name="_1619">'[1].xls].xls].xls].xls]Sheet5'!$J$66</definedName>
    <definedName name="_1621">'[1].xls].xls].xls].xls]Sheet5'!$L$66</definedName>
    <definedName name="_1623">'[1].xls].xls].xls].xls]Sheet5'!$N$66</definedName>
    <definedName name="_1629">'[1].xls].xls].xls].xls]Sheet5'!$F$67</definedName>
    <definedName name="_163">'[1].xls].xls].xls].xls]Sheet2'!$N$30</definedName>
    <definedName name="_1630">'[1].xls].xls].xls].xls]Sheet5'!$G$67</definedName>
    <definedName name="_1632">'[1].xls].xls].xls].xls]Sheet5'!$J$67</definedName>
    <definedName name="_1634">'[1].xls].xls].xls].xls]Sheet5'!$L$67</definedName>
    <definedName name="_1636">'[1].xls].xls].xls].xls]Sheet5'!$N$67</definedName>
    <definedName name="_1642">'[1].xls].xls].xls].xls]Sheet5'!$F$68</definedName>
    <definedName name="_1643">'[1].xls].xls].xls].xls]Sheet5'!$G$68</definedName>
    <definedName name="_1645">'[1].xls].xls].xls].xls]Sheet5'!$J$68</definedName>
    <definedName name="_1647">'[1].xls].xls].xls].xls]Sheet5'!$L$68</definedName>
    <definedName name="_1649">'[1].xls].xls].xls].xls]Sheet5'!$N$68</definedName>
    <definedName name="_1655">'[1].xls].xls].xls].xls]Sheet5'!$F$69</definedName>
    <definedName name="_1656">'[1].xls].xls].xls].xls]Sheet5'!$G$69</definedName>
    <definedName name="_1658">'[1].xls].xls].xls].xls]Sheet5'!$J$69</definedName>
    <definedName name="_1660">'[1].xls].xls].xls].xls]Sheet5'!$L$69</definedName>
    <definedName name="_1662">'[1].xls].xls].xls].xls]Sheet5'!$N$69</definedName>
    <definedName name="_1668">'[1].xls].xls].xls].xls]Sheet5'!$F$70</definedName>
    <definedName name="_1669">'[1].xls].xls].xls].xls]Sheet5'!$G$70</definedName>
    <definedName name="_1671">'[1].xls].xls].xls].xls]Sheet5'!$J$70</definedName>
    <definedName name="_1673">'[1].xls].xls].xls].xls]Sheet5'!$L$70</definedName>
    <definedName name="_1675">'[1].xls].xls].xls].xls]Sheet5'!$N$70</definedName>
    <definedName name="_1681">'[1].xls].xls].xls].xls]Sheet5'!$F$71</definedName>
    <definedName name="_1682">'[1].xls].xls].xls].xls]Sheet5'!$G$71</definedName>
    <definedName name="_1684">'[1].xls].xls].xls].xls]Sheet5'!$J$71</definedName>
    <definedName name="_1686">'[1].xls].xls].xls].xls]Sheet5'!$L$71</definedName>
    <definedName name="_1688">'[1].xls].xls].xls].xls]Sheet5'!$N$71</definedName>
    <definedName name="_169">'[1].xls].xls].xls].xls]Sheet2'!$G$6</definedName>
    <definedName name="_1694">'[1].xls].xls].xls].xls]Sheet5'!$F$72</definedName>
    <definedName name="_1695">'[1].xls].xls].xls].xls]Sheet5'!$G$72</definedName>
    <definedName name="_1697">'[1].xls].xls].xls].xls]Sheet5'!$J$72</definedName>
    <definedName name="_1699">'[1].xls].xls].xls].xls]Sheet5'!$L$72</definedName>
    <definedName name="_170">'[1].xls].xls].xls].xls]Sheet2'!$H$6</definedName>
    <definedName name="_1701">'[1].xls].xls].xls].xls]Sheet5'!$N$72</definedName>
    <definedName name="_1707">'[1].xls].xls].xls].xls]Sheet5'!$F$73</definedName>
    <definedName name="_1708">'[1].xls].xls].xls].xls]Sheet5'!$G$73</definedName>
    <definedName name="_1710">'[1].xls].xls].xls].xls]Sheet5'!$J$73</definedName>
    <definedName name="_1712">'[1].xls].xls].xls].xls]Sheet5'!$L$73</definedName>
    <definedName name="_1714">'[1].xls].xls].xls].xls]Sheet5'!$N$73</definedName>
    <definedName name="_172">'[1].xls].xls].xls].xls]Sheet2'!$J$6</definedName>
    <definedName name="_1720">'[1].xls].xls].xls].xls]Sheet5'!$F$74</definedName>
    <definedName name="_1721">'[1].xls].xls].xls].xls]Sheet5'!$G$74</definedName>
    <definedName name="_1723">'[1].xls].xls].xls].xls]Sheet5'!$J$74</definedName>
    <definedName name="_1725">'[1].xls].xls].xls].xls]Sheet5'!$L$74</definedName>
    <definedName name="_1727">'[1].xls].xls].xls].xls]Sheet5'!$N$74</definedName>
    <definedName name="_1733">'[1].xls].xls].xls].xls]Sheet5'!$F$75</definedName>
    <definedName name="_1734">'[1].xls].xls].xls].xls]Sheet5'!$G$75</definedName>
    <definedName name="_1736">'[1].xls].xls].xls].xls]Sheet5'!$J$75</definedName>
    <definedName name="_1738">'[1].xls].xls].xls].xls]Sheet5'!$L$75</definedName>
    <definedName name="_174">'[1].xls].xls].xls].xls]Sheet2'!$L$6</definedName>
    <definedName name="_1740">'[1].xls].xls].xls].xls]Sheet5'!$N$75</definedName>
    <definedName name="_1746">'[1].xls].xls].xls].xls]Sheet5'!$F$76</definedName>
    <definedName name="_1747">'[1].xls].xls].xls].xls]Sheet5'!$G$76</definedName>
    <definedName name="_1749">'[1].xls].xls].xls].xls]Sheet5'!$J$76</definedName>
    <definedName name="_1751">'[1].xls].xls].xls].xls]Sheet5'!$L$76</definedName>
    <definedName name="_1753">'[1].xls].xls].xls].xls]Sheet5'!$N$76</definedName>
    <definedName name="_1759">'[1].xls].xls].xls].xls]Sheet5'!$F$77</definedName>
    <definedName name="_176">'[1].xls].xls].xls].xls]Sheet2'!$N$6</definedName>
    <definedName name="_1760">'[1].xls].xls].xls].xls]Sheet5'!$G$77</definedName>
    <definedName name="_1762">'[1].xls].xls].xls].xls]Sheet5'!$J$77</definedName>
    <definedName name="_1764">'[1].xls].xls].xls].xls]Sheet5'!$L$77</definedName>
    <definedName name="_1766">'[1].xls].xls].xls].xls]Sheet5'!$N$77</definedName>
    <definedName name="_1772">'[1].xls].xls].xls].xls]Sheet5'!$F$78</definedName>
    <definedName name="_1773">'[1].xls].xls].xls].xls]Sheet5'!$G$78</definedName>
    <definedName name="_1775">'[1].xls].xls].xls].xls]Sheet5'!$J$78</definedName>
    <definedName name="_1777">'[1].xls].xls].xls].xls]Sheet5'!$L$78</definedName>
    <definedName name="_1779">'[1].xls].xls].xls].xls]Sheet5'!$N$78</definedName>
    <definedName name="_1785">'[1].xls].xls].xls].xls]Sheet5'!$F$79</definedName>
    <definedName name="_1786">'[1].xls].xls].xls].xls]Sheet5'!$G$79</definedName>
    <definedName name="_1788">'[1].xls].xls].xls].xls]Sheet5'!$J$79</definedName>
    <definedName name="_1790">'[1].xls].xls].xls].xls]Sheet5'!$L$79</definedName>
    <definedName name="_1792">'[1].xls].xls].xls].xls]Sheet5'!$N$79</definedName>
    <definedName name="_1798">'[1].xls].xls].xls].xls]Sheet5'!$F$80</definedName>
    <definedName name="_1799">'[1].xls].xls].xls].xls]Sheet5'!$G$80</definedName>
    <definedName name="_1801">'[1].xls].xls].xls].xls]Sheet5'!$J$80</definedName>
    <definedName name="_1803">'[1].xls].xls].xls].xls]Sheet5'!$L$80</definedName>
    <definedName name="_1805">'[1].xls].xls].xls].xls]Sheet5'!$N$80</definedName>
    <definedName name="_1811">'[1].xls].xls].xls].xls]Sheet5'!$F$81</definedName>
    <definedName name="_1812">'[1].xls].xls].xls].xls]Sheet5'!$G$81</definedName>
    <definedName name="_1814">'[1].xls].xls].xls].xls]Sheet5'!$J$81</definedName>
    <definedName name="_1816">'[1].xls].xls].xls].xls]Sheet5'!$L$81</definedName>
    <definedName name="_1818">'[1].xls].xls].xls].xls]Sheet5'!$N$81</definedName>
    <definedName name="_182">'[1].xls].xls].xls].xls]Sheet2'!$G$7</definedName>
    <definedName name="_1824">'[1].xls].xls].xls].xls]Sheet5'!$F$82</definedName>
    <definedName name="_1825">'[1].xls].xls].xls].xls]Sheet5'!$G$82</definedName>
    <definedName name="_1827">'[1].xls].xls].xls].xls]Sheet5'!$J$82</definedName>
    <definedName name="_1829">'[1].xls].xls].xls].xls]Sheet5'!$L$82</definedName>
    <definedName name="_183">'[1].xls].xls].xls].xls]Sheet2'!$H$7</definedName>
    <definedName name="_1831">'[1].xls].xls].xls].xls]Sheet5'!$N$82</definedName>
    <definedName name="_1837">'[1].xls].xls].xls].xls]Sheet5'!$F$83</definedName>
    <definedName name="_1838">'[1].xls].xls].xls].xls]Sheet5'!$G$83</definedName>
    <definedName name="_1840">'[1].xls].xls].xls].xls]Sheet5'!$J$83</definedName>
    <definedName name="_1842">'[1].xls].xls].xls].xls]Sheet5'!$L$83</definedName>
    <definedName name="_1844">'[1].xls].xls].xls].xls]Sheet5'!$N$83</definedName>
    <definedName name="_185">'[1].xls].xls].xls].xls]Sheet2'!$J$7</definedName>
    <definedName name="_1850">'[1].xls].xls].xls].xls]Sheet5'!$F$84</definedName>
    <definedName name="_1851">'[1].xls].xls].xls].xls]Sheet5'!$G$84</definedName>
    <definedName name="_1853">'[1].xls].xls].xls].xls]Sheet5'!$J$84</definedName>
    <definedName name="_1855">'[1].xls].xls].xls].xls]Sheet5'!$L$84</definedName>
    <definedName name="_1857">'[1].xls].xls].xls].xls]Sheet5'!$N$84</definedName>
    <definedName name="_1863">'[1].xls].xls].xls].xls]Sheet5'!$F$85</definedName>
    <definedName name="_1864">'[1].xls].xls].xls].xls]Sheet5'!$G$85</definedName>
    <definedName name="_1866">'[1].xls].xls].xls].xls]Sheet5'!$J$85</definedName>
    <definedName name="_1868">'[1].xls].xls].xls].xls]Sheet5'!$L$85</definedName>
    <definedName name="_187">'[1].xls].xls].xls].xls]Sheet2'!$L$7</definedName>
    <definedName name="_1870">'[1].xls].xls].xls].xls]Sheet5'!$N$85</definedName>
    <definedName name="_1876">'[1].xls].xls].xls].xls]Sheet5'!$F$86</definedName>
    <definedName name="_1877">'[1].xls].xls].xls].xls]Sheet5'!$G$86</definedName>
    <definedName name="_1879">'[1].xls].xls].xls].xls]Sheet5'!$J$86</definedName>
    <definedName name="_1881">'[1].xls].xls].xls].xls]Sheet5'!$L$86</definedName>
    <definedName name="_1883">'[1].xls].xls].xls].xls]Sheet5'!$N$86</definedName>
    <definedName name="_1889">'[1].xls].xls].xls].xls]Sheet5'!$F$87</definedName>
    <definedName name="_189">'[1].xls].xls].xls].xls]Sheet2'!$N$7</definedName>
    <definedName name="_1890">'[1].xls].xls].xls].xls]Sheet5'!$G$87</definedName>
    <definedName name="_1892">'[1].xls].xls].xls].xls]Sheet5'!$J$87</definedName>
    <definedName name="_1894">'[1].xls].xls].xls].xls]Sheet5'!$L$87</definedName>
    <definedName name="_1896">'[1].xls].xls].xls].xls]Sheet5'!$N$87</definedName>
    <definedName name="_1902">'[1].xls].xls].xls].xls]Sheet5'!$F$88</definedName>
    <definedName name="_1903">'[1].xls].xls].xls].xls]Sheet5'!$G$88</definedName>
    <definedName name="_1905">'[1].xls].xls].xls].xls]Sheet5'!$J$88</definedName>
    <definedName name="_1907">'[1].xls].xls].xls].xls]Sheet5'!$L$88</definedName>
    <definedName name="_1909">'[1].xls].xls].xls].xls]Sheet5'!$N$88</definedName>
    <definedName name="_1915">'[1].xls].xls].xls].xls]Sheet5'!$F$89</definedName>
    <definedName name="_1916">'[1].xls].xls].xls].xls]Sheet5'!$G$89</definedName>
    <definedName name="_1918">'[1].xls].xls].xls].xls]Sheet5'!$J$89</definedName>
    <definedName name="_1920">'[1].xls].xls].xls].xls]Sheet5'!$L$89</definedName>
    <definedName name="_1922">'[1].xls].xls].xls].xls]Sheet5'!$N$89</definedName>
    <definedName name="_1928">'[1].xls].xls].xls].xls]Sheet5'!$F$90</definedName>
    <definedName name="_1929">'[1].xls].xls].xls].xls]Sheet5'!$G$90</definedName>
    <definedName name="_1931">'[1].xls].xls].xls].xls]Sheet5'!$J$90</definedName>
    <definedName name="_1933">'[1].xls].xls].xls].xls]Sheet5'!$L$90</definedName>
    <definedName name="_1935">'[1].xls].xls].xls].xls]Sheet5'!$N$90</definedName>
    <definedName name="_1941">'[1].xls].xls].xls].xls]Sheet5'!$F$91</definedName>
    <definedName name="_1942">'[1].xls].xls].xls].xls]Sheet5'!$G$91</definedName>
    <definedName name="_1944">'[1].xls].xls].xls].xls]Sheet5'!$J$91</definedName>
    <definedName name="_1946">'[1].xls].xls].xls].xls]Sheet5'!$L$91</definedName>
    <definedName name="_1948">'[1].xls].xls].xls].xls]Sheet5'!$N$91</definedName>
    <definedName name="_195">'[1].xls].xls].xls].xls]Sheet2'!$G$8</definedName>
    <definedName name="_1954">'[1].xls].xls].xls].xls]Sheet5'!$F$92</definedName>
    <definedName name="_1955">'[1].xls].xls].xls].xls]Sheet5'!$G$92</definedName>
    <definedName name="_1957">'[1].xls].xls].xls].xls]Sheet5'!$J$92</definedName>
    <definedName name="_1959">'[1].xls].xls].xls].xls]Sheet5'!$L$92</definedName>
    <definedName name="_196">'[1].xls].xls].xls].xls]Sheet2'!$H$8</definedName>
    <definedName name="_1961">'[1].xls].xls].xls].xls]Sheet5'!$N$92</definedName>
    <definedName name="_1967">'[1].xls].xls].xls].xls]Sheet5'!$F$93</definedName>
    <definedName name="_1968">'[1].xls].xls].xls].xls]Sheet5'!$G$93</definedName>
    <definedName name="_1970">'[1].xls].xls].xls].xls]Sheet5'!$J$93</definedName>
    <definedName name="_1972">'[1].xls].xls].xls].xls]Sheet5'!$L$93</definedName>
    <definedName name="_1974">'[1].xls].xls].xls].xls]Sheet5'!$N$93</definedName>
    <definedName name="_198">'[1].xls].xls].xls].xls]Sheet2'!$J$8</definedName>
    <definedName name="_1980">'[1].xls].xls].xls].xls]Sheet5'!$F$94</definedName>
    <definedName name="_1981">'[1].xls].xls].xls].xls]Sheet5'!$G$94</definedName>
    <definedName name="_1983">'[1].xls].xls].xls].xls]Sheet5'!$J$94</definedName>
    <definedName name="_1985">'[1].xls].xls].xls].xls]Sheet5'!$L$94</definedName>
    <definedName name="_1987">'[1].xls].xls].xls].xls]Sheet5'!$N$94</definedName>
    <definedName name="_1993">'[1].xls].xls].xls].xls]Sheet5'!$F$95</definedName>
    <definedName name="_1994">'[1].xls].xls].xls].xls]Sheet5'!$G$95</definedName>
    <definedName name="_1996">'[1].xls].xls].xls].xls]Sheet5'!$J$95</definedName>
    <definedName name="_1998">'[1].xls].xls].xls].xls]Sheet5'!$L$95</definedName>
    <definedName name="_200">'[1].xls].xls].xls].xls]Sheet2'!$L$8</definedName>
    <definedName name="_2000">'[1].xls].xls].xls].xls]Sheet5'!$N$95</definedName>
    <definedName name="_2006">'[1].xls].xls].xls].xls]Sheet5'!$F$96</definedName>
    <definedName name="_2007">'[1].xls].xls].xls].xls]Sheet5'!$G$96</definedName>
    <definedName name="_2009">'[1].xls].xls].xls].xls]Sheet5'!$J$96</definedName>
    <definedName name="_2011">'[1].xls].xls].xls].xls]Sheet5'!$L$96</definedName>
    <definedName name="_2013">'[1].xls].xls].xls].xls]Sheet5'!$N$96</definedName>
    <definedName name="_2019">'[1].xls].xls].xls].xls]Sheet5'!$F$97</definedName>
    <definedName name="_202">'[1].xls].xls].xls].xls]Sheet2'!$N$8</definedName>
    <definedName name="_2020">'[1].xls].xls].xls].xls]Sheet5'!$G$97</definedName>
    <definedName name="_2022">'[1].xls].xls].xls].xls]Sheet5'!$J$97</definedName>
    <definedName name="_2024">'[1].xls].xls].xls].xls]Sheet5'!$L$97</definedName>
    <definedName name="_2026">'[1].xls].xls].xls].xls]Sheet5'!$N$97</definedName>
    <definedName name="_2032">'[1].xls].xls].xls].xls]Sheet5'!$F$98</definedName>
    <definedName name="_2033">'[1].xls].xls].xls].xls]Sheet5'!$G$98</definedName>
    <definedName name="_2035">'[1].xls].xls].xls].xls]Sheet5'!$J$98</definedName>
    <definedName name="_2037">'[1].xls].xls].xls].xls]Sheet5'!$L$98</definedName>
    <definedName name="_2039">'[1].xls].xls].xls].xls]Sheet5'!$N$98</definedName>
    <definedName name="_2045">'[1].xls].xls].xls].xls]Sheet5'!$F$99</definedName>
    <definedName name="_2046">'[1].xls].xls].xls].xls]Sheet5'!$G$99</definedName>
    <definedName name="_2048">'[1].xls].xls].xls].xls]Sheet5'!$J$99</definedName>
    <definedName name="_2050">'[1].xls].xls].xls].xls]Sheet5'!$L$99</definedName>
    <definedName name="_2052">'[1].xls].xls].xls].xls]Sheet5'!$N$99</definedName>
    <definedName name="_2058">'[1].xls].xls].xls].xls]Sheet5'!$F$100</definedName>
    <definedName name="_2059">'[1].xls].xls].xls].xls]Sheet5'!$G$100</definedName>
    <definedName name="_2061">'[1].xls].xls].xls].xls]Sheet5'!$J$100</definedName>
    <definedName name="_2063">'[1].xls].xls].xls].xls]Sheet5'!$L$100</definedName>
    <definedName name="_2065">'[1].xls].xls].xls].xls]Sheet5'!$N$100</definedName>
    <definedName name="_2071">'[1].xls].xls].xls].xls]Sheet5'!$F$101</definedName>
    <definedName name="_2072">'[1].xls].xls].xls].xls]Sheet5'!$G$101</definedName>
    <definedName name="_2074">'[1].xls].xls].xls].xls]Sheet5'!$J$101</definedName>
    <definedName name="_2076">'[1].xls].xls].xls].xls]Sheet5'!$L$101</definedName>
    <definedName name="_2078">'[1].xls].xls].xls].xls]Sheet5'!$N$101</definedName>
    <definedName name="_208">'[1].xls].xls].xls].xls]Sheet2'!$G$9</definedName>
    <definedName name="_2084">'[1].xls].xls].xls].xls]Sheet5'!$F$102</definedName>
    <definedName name="_2085">'[1].xls].xls].xls].xls]Sheet5'!$G$102</definedName>
    <definedName name="_2087">'[1].xls].xls].xls].xls]Sheet5'!$J$102</definedName>
    <definedName name="_2089">'[1].xls].xls].xls].xls]Sheet5'!$L$102</definedName>
    <definedName name="_209">'[1].xls].xls].xls].xls]Sheet2'!$H$9</definedName>
    <definedName name="_2091">'[1].xls].xls].xls].xls]Sheet5'!$N$102</definedName>
    <definedName name="_2097">'[1].xls].xls].xls].xls]Sheet5'!$F$103</definedName>
    <definedName name="_2098">'[1].xls].xls].xls].xls]Sheet5'!$G$103</definedName>
    <definedName name="_2100">'[1].xls].xls].xls].xls]Sheet5'!$J$103</definedName>
    <definedName name="_2102">'[1].xls].xls].xls].xls]Sheet5'!$L$103</definedName>
    <definedName name="_2104">'[1].xls].xls].xls].xls]Sheet5'!$N$103</definedName>
    <definedName name="_211">'[1].xls].xls].xls].xls]Sheet2'!$J$9</definedName>
    <definedName name="_2110">'[1].xls].xls].xls].xls]Sheet5'!$F$104</definedName>
    <definedName name="_2111">'[1].xls].xls].xls].xls]Sheet5'!$G$104</definedName>
    <definedName name="_2113">'[1].xls].xls].xls].xls]Sheet5'!$J$104</definedName>
    <definedName name="_2115">'[1].xls].xls].xls].xls]Sheet5'!$L$104</definedName>
    <definedName name="_2117">'[1].xls].xls].xls].xls]Sheet5'!$N$104</definedName>
    <definedName name="_2123">'[1].xls].xls].xls].xls]Sheet5'!$F$105</definedName>
    <definedName name="_2124">'[1].xls].xls].xls].xls]Sheet5'!$G$105</definedName>
    <definedName name="_2126">'[1].xls].xls].xls].xls]Sheet5'!$J$105</definedName>
    <definedName name="_2128">'[1].xls].xls].xls].xls]Sheet5'!$L$105</definedName>
    <definedName name="_213">'[1].xls].xls].xls].xls]Sheet2'!$L$9</definedName>
    <definedName name="_2130">'[1].xls].xls].xls].xls]Sheet5'!$N$105</definedName>
    <definedName name="_2136">'[1].xls].xls].xls].xls]Sheet5'!$F$106</definedName>
    <definedName name="_2137">'[1].xls].xls].xls].xls]Sheet5'!$G$106</definedName>
    <definedName name="_2139">'[1].xls].xls].xls].xls]Sheet5'!$J$106</definedName>
    <definedName name="_2141">'[1].xls].xls].xls].xls]Sheet5'!$L$106</definedName>
    <definedName name="_2143">'[1].xls].xls].xls].xls]Sheet5'!$N$106</definedName>
    <definedName name="_215">'[1].xls].xls].xls].xls]Sheet2'!$N$9</definedName>
    <definedName name="_221">'[1].xls].xls].xls].xls]Sheet2'!$G$10</definedName>
    <definedName name="_222">'[1].xls].xls].xls].xls]Sheet2'!$H$10</definedName>
    <definedName name="_224">'[1].xls].xls].xls].xls]Sheet2'!$J$10</definedName>
    <definedName name="_226">'[1].xls].xls].xls].xls]Sheet2'!$L$10</definedName>
    <definedName name="_228">'[1].xls].xls].xls].xls]Sheet2'!$N$10</definedName>
    <definedName name="_234">'[1].xls].xls].xls].xls]Sheet2'!$G$11</definedName>
    <definedName name="_235">'[1].xls].xls].xls].xls]Sheet2'!$H$11</definedName>
    <definedName name="_237">'[1].xls].xls].xls].xls]Sheet2'!$J$11</definedName>
    <definedName name="_239">'[1].xls].xls].xls].xls]Sheet2'!$L$11</definedName>
    <definedName name="_241">'[1].xls].xls].xls].xls]Sheet2'!$N$11</definedName>
    <definedName name="_247">'[1].xls].xls].xls].xls]Sheet2'!$G$12</definedName>
    <definedName name="_248">'[1].xls].xls].xls].xls]Sheet2'!$H$12</definedName>
    <definedName name="_250">'[1].xls].xls].xls].xls]Sheet2'!$J$12</definedName>
    <definedName name="_252">'[1].xls].xls].xls].xls]Sheet2'!$L$12</definedName>
    <definedName name="_254">'[1].xls].xls].xls].xls]Sheet2'!$N$12</definedName>
    <definedName name="_260">'[1].xls].xls].xls].xls]Sheet2'!$G$13</definedName>
    <definedName name="_261">'[1].xls].xls].xls].xls]Sheet2'!$H$13</definedName>
    <definedName name="_263">'[1].xls].xls].xls].xls]Sheet2'!$J$13</definedName>
    <definedName name="_265">'[1].xls].xls].xls].xls]Sheet2'!$L$13</definedName>
    <definedName name="_267">'[1].xls].xls].xls].xls]Sheet2'!$N$13</definedName>
    <definedName name="_273">'[1].xls].xls].xls].xls]Sheet2'!$G$14</definedName>
    <definedName name="_274">'[1].xls].xls].xls].xls]Sheet2'!$H$14</definedName>
    <definedName name="_276">'[1].xls].xls].xls].xls]Sheet2'!$J$14</definedName>
    <definedName name="_278">'[1].xls].xls].xls].xls]Sheet2'!$L$14</definedName>
    <definedName name="_280">'[1].xls].xls].xls].xls]Sheet2'!$N$14</definedName>
    <definedName name="_286">'[1].xls].xls].xls].xls]Sheet2'!$G$15</definedName>
    <definedName name="_287">'[1].xls].xls].xls].xls]Sheet2'!$H$15</definedName>
    <definedName name="_289">'[1].xls].xls].xls].xls]Sheet2'!$J$15</definedName>
    <definedName name="_291">'[1].xls].xls].xls].xls]Sheet2'!$L$15</definedName>
    <definedName name="_293">'[1].xls].xls].xls].xls]Sheet2'!$N$15</definedName>
    <definedName name="_299">'[1].xls].xls].xls].xls]Sheet2'!$G$16</definedName>
    <definedName name="_300">'[1].xls].xls].xls].xls]Sheet2'!$H$16</definedName>
    <definedName name="_302">'[1].xls].xls].xls].xls]Sheet2'!$J$16</definedName>
    <definedName name="_304">'[1].xls].xls].xls].xls]Sheet2'!$L$16</definedName>
    <definedName name="_306">'[1].xls].xls].xls].xls]Sheet2'!$N$16</definedName>
    <definedName name="_312">'[1].xls].xls].xls].xls]Sheet2'!$G$17</definedName>
    <definedName name="_313">'[1].xls].xls].xls].xls]Sheet2'!$H$17</definedName>
    <definedName name="_315">'[1].xls].xls].xls].xls]Sheet2'!$J$17</definedName>
    <definedName name="_317">'[1].xls].xls].xls].xls]Sheet2'!$L$17</definedName>
    <definedName name="_319">'[1].xls].xls].xls].xls]Sheet2'!$N$17</definedName>
    <definedName name="_325">'[1].xls].xls].xls].xls]Sheet2'!$G$18</definedName>
    <definedName name="_326">'[1].xls].xls].xls].xls]Sheet2'!$H$18</definedName>
    <definedName name="_328">'[1].xls].xls].xls].xls]Sheet2'!$J$18</definedName>
    <definedName name="_330">'[1].xls].xls].xls].xls]Sheet2'!$L$18</definedName>
    <definedName name="_332">'[1].xls].xls].xls].xls]Sheet2'!$N$18</definedName>
    <definedName name="_338">'[1].xls].xls].xls].xls]Sheet2'!$G$19</definedName>
    <definedName name="_339">'[1].xls].xls].xls].xls]Sheet2'!$H$19</definedName>
    <definedName name="_341">'[1].xls].xls].xls].xls]Sheet2'!$J$19</definedName>
    <definedName name="_343">'[1].xls].xls].xls].xls]Sheet2'!$L$19</definedName>
    <definedName name="_345">'[1].xls].xls].xls].xls]Sheet2'!$N$19</definedName>
    <definedName name="_351">'[1].xls].xls].xls].xls]Sheet2'!$G$20</definedName>
    <definedName name="_352">'[1].xls].xls].xls].xls]Sheet2'!$H$20</definedName>
    <definedName name="_354">'[1].xls].xls].xls].xls]Sheet2'!$J$20</definedName>
    <definedName name="_356">'[1].xls].xls].xls].xls]Sheet2'!$L$20</definedName>
    <definedName name="_358">'[1].xls].xls].xls].xls]Sheet2'!$N$20</definedName>
    <definedName name="_364">'[1].xls].xls].xls].xls]Sheet2'!$G$21</definedName>
    <definedName name="_365">'[1].xls].xls].xls].xls]Sheet2'!$H$21</definedName>
    <definedName name="_367">'[1].xls].xls].xls].xls]Sheet2'!$J$21</definedName>
    <definedName name="_369">'[1].xls].xls].xls].xls]Sheet2'!$L$21</definedName>
    <definedName name="_371">'[1].xls].xls].xls].xls]Sheet2'!$N$21</definedName>
    <definedName name="_377">'[1].xls].xls].xls].xls]Sheet2'!$G$22</definedName>
    <definedName name="_378">'[1].xls].xls].xls].xls]Sheet2'!$H$22</definedName>
    <definedName name="_380">'[1].xls].xls].xls].xls]Sheet2'!$J$22</definedName>
    <definedName name="_382">'[1].xls].xls].xls].xls]Sheet2'!$L$22</definedName>
    <definedName name="_384">'[1].xls].xls].xls].xls]Sheet2'!$N$22</definedName>
    <definedName name="_390">'[1].xls].xls].xls].xls]Sheet2'!$G$23</definedName>
    <definedName name="_391">'[1].xls].xls].xls].xls]Sheet2'!$H$23</definedName>
    <definedName name="_393">'[1].xls].xls].xls].xls]Sheet2'!$J$23</definedName>
    <definedName name="_395">'[1].xls].xls].xls].xls]Sheet2'!$L$23</definedName>
    <definedName name="_397">'[1].xls].xls].xls].xls]Sheet2'!$N$23</definedName>
    <definedName name="_403">'[1].xls].xls].xls].xls]Sheet2'!$G$24</definedName>
    <definedName name="_404">'[1].xls].xls].xls].xls]Sheet2'!$H$24</definedName>
    <definedName name="_406">'[1].xls].xls].xls].xls]Sheet2'!$J$24</definedName>
    <definedName name="_408">'[1].xls].xls].xls].xls]Sheet2'!$L$24</definedName>
    <definedName name="_410">'[1].xls].xls].xls].xls]Sheet2'!$N$24</definedName>
    <definedName name="_416">'[1].xls].xls].xls].xls]Sheet2'!$G$25</definedName>
    <definedName name="_417">'[1].xls].xls].xls].xls]Sheet2'!$H$25</definedName>
    <definedName name="_419">'[1].xls].xls].xls].xls]Sheet2'!$J$25</definedName>
    <definedName name="_421">'[1].xls].xls].xls].xls]Sheet2'!$L$25</definedName>
    <definedName name="_423">'[1].xls].xls].xls].xls]Sheet2'!$N$25</definedName>
    <definedName name="_429">'[1].xls].xls].xls].xls]Sheet2'!$G$26</definedName>
    <definedName name="_430">'[1].xls].xls].xls].xls]Sheet2'!$H$26</definedName>
    <definedName name="_432">'[1].xls].xls].xls].xls]Sheet2'!$J$26</definedName>
    <definedName name="_434">'[1].xls].xls].xls].xls]Sheet2'!$L$26</definedName>
    <definedName name="_436">'[1].xls].xls].xls].xls]Sheet2'!$N$26</definedName>
    <definedName name="_442">'[1].xls].xls].xls].xls]Sheet2'!$G$27</definedName>
    <definedName name="_443">'[1].xls].xls].xls].xls]Sheet2'!$H$27</definedName>
    <definedName name="_445">'[1].xls].xls].xls].xls]Sheet2'!$J$27</definedName>
    <definedName name="_447">'[1].xls].xls].xls].xls]Sheet2'!$L$27</definedName>
    <definedName name="_449">'[1].xls].xls].xls].xls]Sheet2'!$N$27</definedName>
    <definedName name="_455">'[1].xls].xls].xls].xls]Sheet2'!$G$28</definedName>
    <definedName name="_456">'[1].xls].xls].xls].xls]Sheet2'!$H$28</definedName>
    <definedName name="_458">'[1].xls].xls].xls].xls]Sheet2'!$J$28</definedName>
    <definedName name="_46">'[1].xls].xls].xls].xls]Sheet1'!$G$11</definedName>
    <definedName name="_460">'[1].xls].xls].xls].xls]Sheet2'!$L$28</definedName>
    <definedName name="_462">'[1].xls].xls].xls].xls]Sheet2'!$N$28</definedName>
    <definedName name="_468">'[1].xls].xls].xls].xls]Sheet2'!$G$29</definedName>
    <definedName name="_469">'[1].xls].xls].xls].xls]Sheet2'!$H$29</definedName>
    <definedName name="_47">'[1].xls].xls].xls].xls]Sheet1'!$H$11</definedName>
    <definedName name="_471">'[1].xls].xls].xls].xls]Sheet2'!$J$29</definedName>
    <definedName name="_473">'[1].xls].xls].xls].xls]Sheet2'!$L$29</definedName>
    <definedName name="_475">'[1].xls].xls].xls].xls]Sheet2'!$N$29</definedName>
    <definedName name="_49">'[1].xls].xls].xls].xls]Sheet1'!$J$11</definedName>
    <definedName name="_51">'[1].xls].xls].xls].xls]Sheet1'!$L$11</definedName>
    <definedName name="_513">'[1].xls].xls].xls].xls]Sheet3'!$G$16</definedName>
    <definedName name="_514">'[1].xls].xls].xls].xls]Sheet3'!$H$16</definedName>
    <definedName name="_516">'[1].xls].xls].xls].xls]Sheet3'!$J$16</definedName>
    <definedName name="_518">'[1].xls].xls].xls].xls]Sheet3'!$L$16</definedName>
    <definedName name="_520">'[1].xls].xls].xls].xls]Sheet3'!$N$16</definedName>
    <definedName name="_526">'[1].xls].xls].xls].xls]Sheet3'!$G$6</definedName>
    <definedName name="_527">'[1].xls].xls].xls].xls]Sheet3'!$H$6</definedName>
    <definedName name="_529">'[1].xls].xls].xls].xls]Sheet3'!$J$6</definedName>
    <definedName name="_53">'[1].xls].xls].xls].xls]Sheet1'!$N$11</definedName>
    <definedName name="_531">'[1].xls].xls].xls].xls]Sheet3'!$L$6</definedName>
    <definedName name="_533">'[1].xls].xls].xls].xls]Sheet3'!$N$6</definedName>
    <definedName name="_539">'[1].xls].xls].xls].xls]Sheet3'!$G$7</definedName>
    <definedName name="_540">'[1].xls].xls].xls].xls]Sheet3'!$H$7</definedName>
    <definedName name="_542">'[1].xls].xls].xls].xls]Sheet3'!$J$7</definedName>
    <definedName name="_544">'[1].xls].xls].xls].xls]Sheet3'!$L$7</definedName>
    <definedName name="_546">'[1].xls].xls].xls].xls]Sheet3'!$N$7</definedName>
    <definedName name="_552">'[1].xls].xls].xls].xls]Sheet3'!$G$8</definedName>
    <definedName name="_553">'[1].xls].xls].xls].xls]Sheet3'!$H$8</definedName>
    <definedName name="_555">'[1].xls].xls].xls].xls]Sheet3'!$J$8</definedName>
    <definedName name="_557">'[1].xls].xls].xls].xls]Sheet3'!$L$8</definedName>
    <definedName name="_559">'[1].xls].xls].xls].xls]Sheet3'!$N$8</definedName>
    <definedName name="_565">'[1].xls].xls].xls].xls]Sheet3'!$G$9</definedName>
    <definedName name="_566">'[1].xls].xls].xls].xls]Sheet3'!$H$9</definedName>
    <definedName name="_568">'[1].xls].xls].xls].xls]Sheet3'!$J$9</definedName>
    <definedName name="_570">'[1].xls].xls].xls].xls]Sheet3'!$L$9</definedName>
    <definedName name="_572">'[1].xls].xls].xls].xls]Sheet3'!$N$9</definedName>
    <definedName name="_578">'[1].xls].xls].xls].xls]Sheet3'!$G$10</definedName>
    <definedName name="_579">'[1].xls].xls].xls].xls]Sheet3'!$H$10</definedName>
    <definedName name="_581">'[1].xls].xls].xls].xls]Sheet3'!$J$10</definedName>
    <definedName name="_583">'[1].xls].xls].xls].xls]Sheet3'!$L$10</definedName>
    <definedName name="_585">'[1].xls].xls].xls].xls]Sheet3'!$N$10</definedName>
    <definedName name="_59">'[1].xls].xls].xls].xls]Sheet1'!$G$6</definedName>
    <definedName name="_591">'[1].xls].xls].xls].xls]Sheet3'!$G$11</definedName>
    <definedName name="_592">'[1].xls].xls].xls].xls]Sheet3'!$H$11</definedName>
    <definedName name="_594">'[1].xls].xls].xls].xls]Sheet3'!$J$11</definedName>
    <definedName name="_596">'[1].xls].xls].xls].xls]Sheet3'!$L$11</definedName>
    <definedName name="_598">'[1].xls].xls].xls].xls]Sheet3'!$N$11</definedName>
    <definedName name="_60">'[1].xls].xls].xls].xls]Sheet1'!$H$6</definedName>
    <definedName name="_604">'[1].xls].xls].xls].xls]Sheet3'!$G$12</definedName>
    <definedName name="_605">'[1].xls].xls].xls].xls]Sheet3'!$H$12</definedName>
    <definedName name="_607">'[1].xls].xls].xls].xls]Sheet3'!$J$12</definedName>
    <definedName name="_609">'[1].xls].xls].xls].xls]Sheet3'!$L$12</definedName>
    <definedName name="_611">'[1].xls].xls].xls].xls]Sheet3'!$N$12</definedName>
    <definedName name="_617">'[1].xls].xls].xls].xls]Sheet3'!$G$13</definedName>
    <definedName name="_618">'[1].xls].xls].xls].xls]Sheet3'!$H$13</definedName>
    <definedName name="_62">'[1].xls].xls].xls].xls]Sheet1'!$J$6</definedName>
    <definedName name="_620">'[1].xls].xls].xls].xls]Sheet3'!$J$13</definedName>
    <definedName name="_622">'[1].xls].xls].xls].xls]Sheet3'!$L$13</definedName>
    <definedName name="_624">'[1].xls].xls].xls].xls]Sheet3'!$N$13</definedName>
    <definedName name="_630">'[1].xls].xls].xls].xls]Sheet3'!$G$14</definedName>
    <definedName name="_631">'[1].xls].xls].xls].xls]Sheet3'!$H$14</definedName>
    <definedName name="_633">'[1].xls].xls].xls].xls]Sheet3'!$J$14</definedName>
    <definedName name="_635">'[1].xls].xls].xls].xls]Sheet3'!$L$14</definedName>
    <definedName name="_637">'[1].xls].xls].xls].xls]Sheet3'!$N$14</definedName>
    <definedName name="_64">'[1].xls].xls].xls].xls]Sheet1'!$L$6</definedName>
    <definedName name="_643">'[1].xls].xls].xls].xls]Sheet3'!$G$15</definedName>
    <definedName name="_644">'[1].xls].xls].xls].xls]Sheet3'!$H$15</definedName>
    <definedName name="_646">'[1].xls].xls].xls].xls]Sheet3'!$J$15</definedName>
    <definedName name="_648">'[1].xls].xls].xls].xls]Sheet3'!$L$15</definedName>
    <definedName name="_650">'[1].xls].xls].xls].xls]Sheet3'!$N$15</definedName>
    <definedName name="_66">'[1].xls].xls].xls].xls]Sheet1'!$N$6</definedName>
    <definedName name="_688">'mzzdy ZZ'!$G$14</definedName>
    <definedName name="_689">'mzzdy ZZ'!$H$14</definedName>
    <definedName name="_691">'mzzdy ZZ'!$J$14</definedName>
    <definedName name="_693">'mzzdy ZZ'!$L$14</definedName>
    <definedName name="_695">'mzzdy ZZ'!$N$14</definedName>
    <definedName name="_701">'mzzdy ZZ'!$G$6</definedName>
    <definedName name="_702">'mzzdy ZZ'!$H$6</definedName>
    <definedName name="_704">'mzzdy ZZ'!$J$6</definedName>
    <definedName name="_706">'mzzdy ZZ'!$L$6</definedName>
    <definedName name="_708">'mzzdy ZZ'!$N$6</definedName>
    <definedName name="_714">'mzzdy ZZ'!$G$7</definedName>
    <definedName name="_715">'mzzdy ZZ'!$H$7</definedName>
    <definedName name="_717">'mzzdy ZZ'!$J$7</definedName>
    <definedName name="_719">'mzzdy ZZ'!$L$7</definedName>
    <definedName name="_72">'[1].xls].xls].xls].xls]Sheet1'!$G$7</definedName>
    <definedName name="_721">'mzzdy ZZ'!$N$7</definedName>
    <definedName name="_727">'mzzdy ZZ'!$G$8</definedName>
    <definedName name="_728">'mzzdy ZZ'!$H$8</definedName>
    <definedName name="_73">'[1].xls].xls].xls].xls]Sheet1'!$H$7</definedName>
    <definedName name="_730">'mzzdy ZZ'!$J$8</definedName>
    <definedName name="_732">'mzzdy ZZ'!$L$8</definedName>
    <definedName name="_734">'mzzdy ZZ'!$N$8</definedName>
    <definedName name="_740">'mzzdy ZZ'!$G$9</definedName>
    <definedName name="_741">'mzzdy ZZ'!$H$9</definedName>
    <definedName name="_743">'mzzdy ZZ'!$J$9</definedName>
    <definedName name="_745">'mzzdy ZZ'!$L$9</definedName>
    <definedName name="_747">'mzzdy ZZ'!$N$9</definedName>
    <definedName name="_75">'[1].xls].xls].xls].xls]Sheet1'!$J$7</definedName>
    <definedName name="_753">'mzzdy ZZ'!$G$10</definedName>
    <definedName name="_754">'mzzdy ZZ'!$H$10</definedName>
    <definedName name="_756">'mzzdy ZZ'!$J$10</definedName>
    <definedName name="_758">'mzzdy ZZ'!$L$10</definedName>
    <definedName name="_760">'mzzdy ZZ'!$N$10</definedName>
    <definedName name="_766">'mzzdy ZZ'!$G$11</definedName>
    <definedName name="_767">'mzzdy ZZ'!$H$11</definedName>
    <definedName name="_769">'mzzdy ZZ'!$J$11</definedName>
    <definedName name="_77">'[1].xls].xls].xls].xls]Sheet1'!$L$7</definedName>
    <definedName name="_771">'mzzdy ZZ'!$L$11</definedName>
    <definedName name="_773">'mzzdy ZZ'!$N$11</definedName>
    <definedName name="_779">'mzzdy ZZ'!$G$12</definedName>
    <definedName name="_780">'mzzdy ZZ'!$H$12</definedName>
    <definedName name="_782">'mzzdy ZZ'!$J$12</definedName>
    <definedName name="_784">'mzzdy ZZ'!$L$12</definedName>
    <definedName name="_786">'mzzdy ZZ'!$N$12</definedName>
    <definedName name="_79">'[1].xls].xls].xls].xls]Sheet1'!$N$7</definedName>
    <definedName name="_792">'mzzdy ZZ'!$G$13</definedName>
    <definedName name="_793">'mzzdy ZZ'!$H$13</definedName>
    <definedName name="_795">'mzzdy ZZ'!$J$13</definedName>
    <definedName name="_797">'mzzdy ZZ'!$L$13</definedName>
    <definedName name="_799">'mzzdy ZZ'!$N$13</definedName>
    <definedName name="_836">'[1].xls].xls].xls].xls]Sheet5'!$F$107</definedName>
    <definedName name="_837">'[1].xls].xls].xls].xls]Sheet5'!$G$107</definedName>
    <definedName name="_839">'[1].xls].xls].xls].xls]Sheet5'!$J$107</definedName>
    <definedName name="_841">'[1].xls].xls].xls].xls]Sheet5'!$L$107</definedName>
    <definedName name="_843">'[1].xls].xls].xls].xls]Sheet5'!$N$107</definedName>
    <definedName name="_849">'[1].xls].xls].xls].xls]Sheet5'!$F$7</definedName>
    <definedName name="_85">'[1].xls].xls].xls].xls]Sheet1'!$G$8</definedName>
    <definedName name="_850">'[1].xls].xls].xls].xls]Sheet5'!$G$7</definedName>
    <definedName name="_852">'[1].xls].xls].xls].xls]Sheet5'!$J$7</definedName>
    <definedName name="_854">'[1].xls].xls].xls].xls]Sheet5'!$L$7</definedName>
    <definedName name="_856">'[1].xls].xls].xls].xls]Sheet5'!$N$7</definedName>
    <definedName name="_86">'[1].xls].xls].xls].xls]Sheet1'!$H$8</definedName>
    <definedName name="_862">'[1].xls].xls].xls].xls]Sheet5'!$F$8</definedName>
    <definedName name="_863">'[1].xls].xls].xls].xls]Sheet5'!$G$8</definedName>
    <definedName name="_865">'[1].xls].xls].xls].xls]Sheet5'!$J$8</definedName>
    <definedName name="_867">'[1].xls].xls].xls].xls]Sheet5'!$L$8</definedName>
    <definedName name="_869">'[1].xls].xls].xls].xls]Sheet5'!$N$8</definedName>
    <definedName name="_875">'[1].xls].xls].xls].xls]Sheet5'!$F$9</definedName>
    <definedName name="_876">'[1].xls].xls].xls].xls]Sheet5'!$G$9</definedName>
    <definedName name="_878">'[1].xls].xls].xls].xls]Sheet5'!$J$9</definedName>
    <definedName name="_88">'[1].xls].xls].xls].xls]Sheet1'!$J$8</definedName>
    <definedName name="_880">'[1].xls].xls].xls].xls]Sheet5'!$L$9</definedName>
    <definedName name="_882">'[1].xls].xls].xls].xls]Sheet5'!$N$9</definedName>
    <definedName name="_888">'[1].xls].xls].xls].xls]Sheet5'!$F$10</definedName>
    <definedName name="_889">'[1].xls].xls].xls].xls]Sheet5'!$G$10</definedName>
    <definedName name="_891">'[1].xls].xls].xls].xls]Sheet5'!$J$10</definedName>
    <definedName name="_893">'[1].xls].xls].xls].xls]Sheet5'!$L$10</definedName>
    <definedName name="_895">'[1].xls].xls].xls].xls]Sheet5'!$N$10</definedName>
    <definedName name="_90">'[1].xls].xls].xls].xls]Sheet1'!$L$8</definedName>
    <definedName name="_901">'[1].xls].xls].xls].xls]Sheet5'!$F$11</definedName>
    <definedName name="_902">'[1].xls].xls].xls].xls]Sheet5'!$G$11</definedName>
    <definedName name="_904">'[1].xls].xls].xls].xls]Sheet5'!$J$11</definedName>
    <definedName name="_906">'[1].xls].xls].xls].xls]Sheet5'!$L$11</definedName>
    <definedName name="_908">'[1].xls].xls].xls].xls]Sheet5'!$N$11</definedName>
    <definedName name="_914">'[1].xls].xls].xls].xls]Sheet5'!$F$12</definedName>
    <definedName name="_915">'[1].xls].xls].xls].xls]Sheet5'!$G$12</definedName>
    <definedName name="_917">'[1].xls].xls].xls].xls]Sheet5'!$J$12</definedName>
    <definedName name="_919">'[1].xls].xls].xls].xls]Sheet5'!$L$12</definedName>
    <definedName name="_92">'[1].xls].xls].xls].xls]Sheet1'!$N$8</definedName>
    <definedName name="_921">'[1].xls].xls].xls].xls]Sheet5'!$N$12</definedName>
    <definedName name="_927">'[1].xls].xls].xls].xls]Sheet5'!$F$13</definedName>
    <definedName name="_928">'[1].xls].xls].xls].xls]Sheet5'!$G$13</definedName>
    <definedName name="_930">'[1].xls].xls].xls].xls]Sheet5'!$J$13</definedName>
    <definedName name="_932">'[1].xls].xls].xls].xls]Sheet5'!$L$13</definedName>
    <definedName name="_934">'[1].xls].xls].xls].xls]Sheet5'!$N$13</definedName>
    <definedName name="_940">'[1].xls].xls].xls].xls]Sheet5'!$F$14</definedName>
    <definedName name="_941">'[1].xls].xls].xls].xls]Sheet5'!$G$14</definedName>
    <definedName name="_943">'[1].xls].xls].xls].xls]Sheet5'!$J$14</definedName>
    <definedName name="_945">'[1].xls].xls].xls].xls]Sheet5'!$L$14</definedName>
    <definedName name="_947">'[1].xls].xls].xls].xls]Sheet5'!$N$14</definedName>
    <definedName name="_953">'[1].xls].xls].xls].xls]Sheet5'!$F$15</definedName>
    <definedName name="_954">'[1].xls].xls].xls].xls]Sheet5'!$G$15</definedName>
    <definedName name="_956">'[1].xls].xls].xls].xls]Sheet5'!$J$15</definedName>
    <definedName name="_958">'[1].xls].xls].xls].xls]Sheet5'!$L$15</definedName>
    <definedName name="_960">'[1].xls].xls].xls].xls]Sheet5'!$N$15</definedName>
    <definedName name="_966">'[1].xls].xls].xls].xls]Sheet5'!$F$16</definedName>
    <definedName name="_967">'[1].xls].xls].xls].xls]Sheet5'!$G$16</definedName>
    <definedName name="_969">'[1].xls].xls].xls].xls]Sheet5'!$J$16</definedName>
    <definedName name="_971">'[1].xls].xls].xls].xls]Sheet5'!$L$16</definedName>
    <definedName name="_973">'[1].xls].xls].xls].xls]Sheet5'!$N$16</definedName>
    <definedName name="_979">'[1].xls].xls].xls].xls]Sheet5'!$F$17</definedName>
    <definedName name="_98">'[1].xls].xls].xls].xls]Sheet1'!$G$9</definedName>
    <definedName name="_980">'[1].xls].xls].xls].xls]Sheet5'!$G$17</definedName>
    <definedName name="_982">'[1].xls].xls].xls].xls]Sheet5'!$J$17</definedName>
    <definedName name="_984">'[1].xls].xls].xls].xls]Sheet5'!$L$17</definedName>
    <definedName name="_986">'[1].xls].xls].xls].xls]Sheet5'!$N$17</definedName>
    <definedName name="_99">'[1].xls].xls].xls].xls]Sheet1'!$H$9</definedName>
    <definedName name="_992">'[1].xls].xls].xls].xls]Sheet5'!$F$18</definedName>
    <definedName name="_993">'[1].xls].xls].xls].xls]Sheet5'!$G$18</definedName>
    <definedName name="_995">'[1].xls].xls].xls].xls]Sheet5'!$J$18</definedName>
    <definedName name="_997">'[1].xls].xls].xls].xls]Sheet5'!$L$18</definedName>
    <definedName name="_999">'[1].xls].xls].xls].xls]Sheet5'!$N$18</definedName>
    <definedName name="_xlnm.Print_Titles" localSheetId="8">'Rozklad mezd nem'!$1:$3</definedName>
    <definedName name="_xlnm.Print_Area" localSheetId="10">'DC '!$A$1:$H$71</definedName>
    <definedName name="_xlnm.Print_Area" localSheetId="0">'Hospodaření str1-2'!$A$1:$N$88</definedName>
    <definedName name="_xlnm.Print_Area" localSheetId="4">'Jihlava '!$A$1:$L$185</definedName>
    <definedName name="_xlnm.Print_Area" localSheetId="2">'likvidita'!$A$3:$K$42</definedName>
    <definedName name="_xlnm.Print_Area" localSheetId="8">'Rozklad mezd nem'!$A:$K</definedName>
    <definedName name="_xlnm.Print_Area" localSheetId="12">'ZZS'!$A$1:$I$37</definedName>
  </definedNames>
  <calcPr fullCalcOnLoad="1"/>
</workbook>
</file>

<file path=xl/comments5.xml><?xml version="1.0" encoding="utf-8"?>
<comments xmlns="http://schemas.openxmlformats.org/spreadsheetml/2006/main">
  <authors>
    <author>Ing. Martin Šuma</author>
  </authors>
  <commentList>
    <comment ref="F147" authorId="0">
      <text>
        <r>
          <rPr>
            <b/>
            <sz val="8"/>
            <rFont val="Tahoma"/>
            <family val="0"/>
          </rPr>
          <t>Ing. Martin Šuma:</t>
        </r>
        <r>
          <rPr>
            <sz val="8"/>
            <rFont val="Tahoma"/>
            <family val="0"/>
          </rPr>
          <t xml:space="preserve">
1 274 000 dotace na soc.sestru, knihovnu 
39 000 000 provozní dotace -&gt; přesun z investic do provozu
765 960,50 provozní dotace za přijatá plnění za rok 2005 dle příkazní smlouvy (žádost NJ z 27.1.2006)
99 235 provozní dotace za přijatá plnění za rok 2004 dle příkazní smlouvy (žádost NJ z 27.1.2006)
6 166 103 dotace na LSPP
50 000 dotace od KrÚ (Úřad práce)
82 911 -Fond Vysočiny. 0570/09/2005/ZK ze dne 21.12.2005 a schválené žádosti o podporu č. FV 045/131/06
prozatím v plánu odstraněno (nebude nyní RK projednávat)
1 800 000 provozní dotace z příkazní smlouvy z plnění za rok 2006
odstraněno 50 tis. dotace od ÚP - prozatím není v rozpočtu, rozpočet bude upravován dle skutečnosti</t>
        </r>
      </text>
    </comment>
    <comment ref="I147" authorId="0">
      <text>
        <r>
          <rPr>
            <b/>
            <sz val="8"/>
            <rFont val="Tahoma"/>
            <family val="0"/>
          </rPr>
          <t>Ing. Martin Šuma:</t>
        </r>
        <r>
          <rPr>
            <sz val="8"/>
            <rFont val="Tahoma"/>
            <family val="0"/>
          </rPr>
          <t xml:space="preserve">
1 274 000 dotace na soc.sestru, knihovnu 
39 000 000 provozní dotace -&gt; přesun z investic do provozu
765 960,50 provozní dotace za přijatá plnění za rok 2005 dle příkazní smlouvy (žádost NJ z 27.1.2006)
99 235 provozní dotace za přijatá plnění za rok 2004 dle příkazní smlouvy (žádost NJ z 27.1.2006)
6 166 103 dotace na LSPP
50 000 dotace od KrÚ (Úřad práce)
82 911 -Fond Vysočiny. 0570/09/2005/ZK ze dne 21.12.2005 a schválené žádosti o podporu č. FV 045/131/06
prozatím v plánu odstraněno (nebude nyní RK projednávat)
1 800 000 provozní dotace z příkazní smlouvy z plnění za rok 2006
odstraněno 50 tis. dotace od ÚP - prozatím není v rozpočtu, rozpočet bude upravován dle skutečnosti</t>
        </r>
      </text>
    </comment>
  </commentList>
</comments>
</file>

<file path=xl/comments6.xml><?xml version="1.0" encoding="utf-8"?>
<comments xmlns="http://schemas.openxmlformats.org/spreadsheetml/2006/main">
  <authors>
    <author>Ing. Martin Šuma</author>
  </authors>
  <commentList>
    <comment ref="E143" authorId="0">
      <text>
        <r>
          <rPr>
            <b/>
            <sz val="8"/>
            <rFont val="Tahoma"/>
            <family val="0"/>
          </rPr>
          <t>Ing. Martin Šuma:</t>
        </r>
        <r>
          <rPr>
            <sz val="8"/>
            <rFont val="Tahoma"/>
            <family val="0"/>
          </rPr>
          <t xml:space="preserve">
1 274 000 dotace na soc.sestru, knihovnu 
39 000 000 provozní dotace -&gt; přesun z investic do provozu
765 960,50 provozní dotace za přijatá plnění za rok 2005 dle příkazní smlouvy (žádost NJ z 27.1.2006)
99 235 provozní dotace za přijatá plnění za rok 2004 dle příkazní smlouvy (žádost NJ z 27.1.2006)
6 166 103 dotace na LSPP
50 000 dotace od KrÚ (Úřad práce)
82 911 -Fond Vysočiny. 0570/09/2005/ZK ze dne 21.12.2005 a schválené žádosti o podporu č. FV 045/131/06
prozatím v plánu odstraněno (nebude nyní RK projednávat)
1 800 000 provozní dotace z příkazní smlouvy z plnění za rok 2006
odstraněno 50 tis. dotace od ÚP - prozatím není v rozpočtu, rozpočet bude upravován dle skutečnosti</t>
        </r>
      </text>
    </comment>
  </commentList>
</comments>
</file>

<file path=xl/sharedStrings.xml><?xml version="1.0" encoding="utf-8"?>
<sst xmlns="http://schemas.openxmlformats.org/spreadsheetml/2006/main" count="1785" uniqueCount="427">
  <si>
    <t>Složení průměrné mzdy podle kategorií v nemocnicích</t>
  </si>
  <si>
    <t>Zdravotnická záchranná služba kraje Vysočina</t>
  </si>
  <si>
    <t>Rozdíl</t>
  </si>
  <si>
    <t>Hlavní činnost</t>
  </si>
  <si>
    <t>Doplňková činnost</t>
  </si>
  <si>
    <t>CELKEM</t>
  </si>
  <si>
    <t>+ / -</t>
  </si>
  <si>
    <t xml:space="preserve">      z toho: odpisy DM /úč. 551/</t>
  </si>
  <si>
    <t>Náklady/výnosy</t>
  </si>
  <si>
    <t>II. Závazky z obchodních vztahů</t>
  </si>
  <si>
    <t>Jiná dotace - úřad práce (odborná praxe absolventů)</t>
  </si>
  <si>
    <t xml:space="preserve">Lůžkový fond </t>
  </si>
  <si>
    <t>Dlouhodobé závazky</t>
  </si>
  <si>
    <t>Kategorie</t>
  </si>
  <si>
    <t>IV. Lidské zdroje - rozbor mzdových nákladů</t>
  </si>
  <si>
    <t>v  Kč</t>
  </si>
  <si>
    <t>Dlouhodobé závazky - 959</t>
  </si>
  <si>
    <t>Nemocnice</t>
  </si>
  <si>
    <t>Náklady celkem</t>
  </si>
  <si>
    <t>Výnosy celkem</t>
  </si>
  <si>
    <t>Třebíč</t>
  </si>
  <si>
    <t>Pelhřimov</t>
  </si>
  <si>
    <t>Jihlava</t>
  </si>
  <si>
    <t>Havlíčkův Brod</t>
  </si>
  <si>
    <t>Celkem</t>
  </si>
  <si>
    <t xml:space="preserve">Nové Město </t>
  </si>
  <si>
    <t>Hospodářský výsledek</t>
  </si>
  <si>
    <t>k 31.12.2004</t>
  </si>
  <si>
    <t xml:space="preserve">K datu </t>
  </si>
  <si>
    <t>Dodavatelé</t>
  </si>
  <si>
    <t>Přijaté zálohy</t>
  </si>
  <si>
    <t>Ostatní závazky</t>
  </si>
  <si>
    <t>K datu</t>
  </si>
  <si>
    <t>31.1.</t>
  </si>
  <si>
    <t>29.2.</t>
  </si>
  <si>
    <t>31.3.</t>
  </si>
  <si>
    <t>30.4.</t>
  </si>
  <si>
    <t>31.5.</t>
  </si>
  <si>
    <t>30.6.</t>
  </si>
  <si>
    <t>31.7.</t>
  </si>
  <si>
    <t>31.8.</t>
  </si>
  <si>
    <t>30.9.</t>
  </si>
  <si>
    <t>31.10.</t>
  </si>
  <si>
    <t>30.11.</t>
  </si>
  <si>
    <t>31.12.</t>
  </si>
  <si>
    <t>Z toho po lhůtě splatnosti</t>
  </si>
  <si>
    <t>do 30 dnů</t>
  </si>
  <si>
    <t>do 90 dnů</t>
  </si>
  <si>
    <t>do 180 dnů</t>
  </si>
  <si>
    <t>do 360 dnů</t>
  </si>
  <si>
    <t>nad 360 dnů</t>
  </si>
  <si>
    <t>Odběratelé</t>
  </si>
  <si>
    <t>Poskytnuté zálohy</t>
  </si>
  <si>
    <t>Ostatní pohledávky</t>
  </si>
  <si>
    <t>I. Náklady, výnosy a hospodářský výsledek</t>
  </si>
  <si>
    <t>II. Závazky  z obchodních vztahů</t>
  </si>
  <si>
    <t>III. Pohledávky z obchodních vztahů</t>
  </si>
  <si>
    <t>Nemocnice Havlíčkův Brod</t>
  </si>
  <si>
    <t>Nemocnice Pelhřimov</t>
  </si>
  <si>
    <t>Nemocnice Třebíč</t>
  </si>
  <si>
    <t>Nemocnice Nové Město na Moravě</t>
  </si>
  <si>
    <t>* oddlužení v roce 2003 proběhlo formou návratné finanční výpomoci již v listopadu</t>
  </si>
  <si>
    <t>Lékaři</t>
  </si>
  <si>
    <t>Farmaceuti</t>
  </si>
  <si>
    <t>THP</t>
  </si>
  <si>
    <t>Průměrný přepočtený počet</t>
  </si>
  <si>
    <t>mzdové náklady</t>
  </si>
  <si>
    <t>Průměrná mzda</t>
  </si>
  <si>
    <t>IV. Lidské zdroje</t>
  </si>
  <si>
    <t>Oddělení</t>
  </si>
  <si>
    <t xml:space="preserve">Lůžka </t>
  </si>
  <si>
    <t>Obložnost</t>
  </si>
  <si>
    <t>+/-</t>
  </si>
  <si>
    <t>interní</t>
  </si>
  <si>
    <t>infekční</t>
  </si>
  <si>
    <t>TRN</t>
  </si>
  <si>
    <t>neurologické</t>
  </si>
  <si>
    <t>psychiatrie</t>
  </si>
  <si>
    <t>pediatrie</t>
  </si>
  <si>
    <t>gynekologie</t>
  </si>
  <si>
    <t>chirurgické</t>
  </si>
  <si>
    <t xml:space="preserve">ARO </t>
  </si>
  <si>
    <t>ortopedické</t>
  </si>
  <si>
    <t>urologické</t>
  </si>
  <si>
    <t>ORL</t>
  </si>
  <si>
    <t>oftalmologie</t>
  </si>
  <si>
    <t>kožní</t>
  </si>
  <si>
    <t>radioterapeutické</t>
  </si>
  <si>
    <t>rehabilitační</t>
  </si>
  <si>
    <t>následná péče</t>
  </si>
  <si>
    <t>centrální JIP</t>
  </si>
  <si>
    <t>V. Lůžkový fond</t>
  </si>
  <si>
    <t>ostatní zdrav.pracovníci nelékaři s odbornou způsobilostí</t>
  </si>
  <si>
    <t>všeobecné sestry, porodní asistentky</t>
  </si>
  <si>
    <t>zdrav.pracovníci nelékaři s odb. a special. způsobilostí</t>
  </si>
  <si>
    <t>zdrav.pracovníci nelékaři pod odborn. dohledem nebo přímým vedením</t>
  </si>
  <si>
    <t>jiní odborní pracovníci nelékaři s odbornou způsobilostí</t>
  </si>
  <si>
    <t>pedagogičtí pracovníci</t>
  </si>
  <si>
    <t>dělníci a provozní pracovníci</t>
  </si>
  <si>
    <t>Nové Město na Moravě</t>
  </si>
  <si>
    <t>Rozpis čerpání</t>
  </si>
  <si>
    <t>Příspěvek na sociální sestru, knihovnu a živelní pojištění</t>
  </si>
  <si>
    <t>Z nájemného ze smluv o nájmu zdravotnických zařízení</t>
  </si>
  <si>
    <t>Prostředky z příkazních smluv</t>
  </si>
  <si>
    <t>Z příjmu z prodeje movitého majetku</t>
  </si>
  <si>
    <t>Dotace ze státního rozpočtu</t>
  </si>
  <si>
    <t>Příspěvek na provoz celkem</t>
  </si>
  <si>
    <t>Investiční dotace celkem</t>
  </si>
  <si>
    <t>VII. Vývoj plnění plánu</t>
  </si>
  <si>
    <t>VI. Dotace</t>
  </si>
  <si>
    <t>psychiatrické</t>
  </si>
  <si>
    <t>pediatrické</t>
  </si>
  <si>
    <t>gynekologické</t>
  </si>
  <si>
    <t>oftalmologické</t>
  </si>
  <si>
    <t>Příspěvek na provoz  Kč</t>
  </si>
  <si>
    <t>Investiční dotace v  Kč</t>
  </si>
  <si>
    <t>v tis. Kč</t>
  </si>
  <si>
    <t>Kumulovaná ztráta</t>
  </si>
  <si>
    <t>Ztráta let minulých</t>
  </si>
  <si>
    <t>HV  - běžné období</t>
  </si>
  <si>
    <t>2002</t>
  </si>
  <si>
    <t>Celkem kumulovaná ztráta</t>
  </si>
  <si>
    <t>2004</t>
  </si>
  <si>
    <t>Jiná dotace - úřad práce</t>
  </si>
  <si>
    <t>Dotace z kapitálových výdajů</t>
  </si>
  <si>
    <t>VI. Dotace a čerpání investičního fondu</t>
  </si>
  <si>
    <t>Dotace k kapitálových výdajů</t>
  </si>
  <si>
    <t>HV bez dotace</t>
  </si>
  <si>
    <t xml:space="preserve">Výnosy </t>
  </si>
  <si>
    <t>celkem</t>
  </si>
  <si>
    <t>z toho dotace</t>
  </si>
  <si>
    <t>HV</t>
  </si>
  <si>
    <t>LDN Třebíč</t>
  </si>
  <si>
    <r>
      <t>Příspěvek na sociální sestru, knihovnu,</t>
    </r>
    <r>
      <rPr>
        <b/>
        <sz val="8"/>
        <rFont val="Times New Roman"/>
        <family val="1"/>
      </rPr>
      <t xml:space="preserve"> oční školu </t>
    </r>
    <r>
      <rPr>
        <b/>
        <sz val="8"/>
        <rFont val="Times New Roman"/>
        <family val="1"/>
      </rPr>
      <t>a živelní pojištění, jiný typ dotace z rozpočtu OSVZ</t>
    </r>
  </si>
  <si>
    <t>LDN Buchtův kopec</t>
  </si>
  <si>
    <t>TRN Buchtův kopec</t>
  </si>
  <si>
    <t>Další lůžka - vyčleněné léčebny při nemocnici</t>
  </si>
  <si>
    <t>k 31.12.2005</t>
  </si>
  <si>
    <t>Z příjmu z prodeje movitého majetku</t>
  </si>
  <si>
    <t>Bilance pohledávek a závazků se zápočtem dlouhodobých závazků</t>
  </si>
  <si>
    <t>Jiná dotace - z kapitálových výdajů, další dotace z kraje</t>
  </si>
  <si>
    <t>Rozdíl (HV celkem) 2006 -2005</t>
  </si>
  <si>
    <t>2005</t>
  </si>
  <si>
    <t>z Fondu Vysočiny</t>
  </si>
  <si>
    <t xml:space="preserve">Komentář: </t>
  </si>
  <si>
    <t>Komentář:</t>
  </si>
  <si>
    <t>Celkem kumulovaná ztráta k 1.1.2006</t>
  </si>
  <si>
    <t>Další</t>
  </si>
  <si>
    <t>K 30. 6. 2006 měla Léčebna pro dlouhodobě nemocné v Moravských Budějovicích 100 lůžek</t>
  </si>
  <si>
    <t>pediatrie (včetně novoroz)</t>
  </si>
  <si>
    <t>Finanční plán</t>
  </si>
  <si>
    <t>Tržby za vlastní výrobky /úč. 601/</t>
  </si>
  <si>
    <t>Tržby z prodeje služeb /úč. 602/</t>
  </si>
  <si>
    <t>Tržby za prodané zboží /úč. 604/</t>
  </si>
  <si>
    <t>Aktivace /sesk.úč. 62/</t>
  </si>
  <si>
    <t>Ostatní výnosy /sesk.úč. 64/</t>
  </si>
  <si>
    <t xml:space="preserve">      z toho: zúčtování fondů /úč.648/</t>
  </si>
  <si>
    <t>Tržby z prodeje majetku /sesk.úč.65/</t>
  </si>
  <si>
    <t xml:space="preserve">      z toho: tržby z prodeje dlouhod. majetku /úč. 651/</t>
  </si>
  <si>
    <t>Provozní dotace /úč. 691/</t>
  </si>
  <si>
    <t>Spotřeba materiálu /úč. 501/</t>
  </si>
  <si>
    <t xml:space="preserve">      z toho: nákup drobného dlouhod. hm. majetku</t>
  </si>
  <si>
    <t>Spotřeba energie /úč. 502/</t>
  </si>
  <si>
    <t>Spotřeba ostat. nesklad. dodávek /úč. 503/</t>
  </si>
  <si>
    <t>Prodané zboží /úč. 504/</t>
  </si>
  <si>
    <t>Služby /sesk.úč. 51/</t>
  </si>
  <si>
    <t xml:space="preserve">       z toho: opravy a udržování /úč. 511/</t>
  </si>
  <si>
    <t xml:space="preserve">           ostatní služby /úč. 518/</t>
  </si>
  <si>
    <t>Osobní náklady /sesk.úč. 52/</t>
  </si>
  <si>
    <t xml:space="preserve">     z toho: mzdové náklady /úč. 521/</t>
  </si>
  <si>
    <t xml:space="preserve">           v tom: platy zaměstnanců</t>
  </si>
  <si>
    <t xml:space="preserve">                    ostatní osobní náklady</t>
  </si>
  <si>
    <t xml:space="preserve">           sociální pojištění /úč. 524-528/</t>
  </si>
  <si>
    <t>Daně a poplatky /sesk.úč. 53/</t>
  </si>
  <si>
    <t>Ostatní náklady /sesk.úč. 54/</t>
  </si>
  <si>
    <t>Odpisy, prodaný majetek /sesk.úč. 55/</t>
  </si>
  <si>
    <t xml:space="preserve">      z toho: odpisy dlouhodobého majetku /úč. 551/</t>
  </si>
  <si>
    <t>Daň z příjmů /sesk.úč. 59/</t>
  </si>
  <si>
    <t>Skutečnost 2005</t>
  </si>
  <si>
    <t>Plnění</t>
  </si>
  <si>
    <t xml:space="preserve">Hlavní </t>
  </si>
  <si>
    <t>Doplňková</t>
  </si>
  <si>
    <t xml:space="preserve">v </t>
  </si>
  <si>
    <t>činnost</t>
  </si>
  <si>
    <t>%</t>
  </si>
  <si>
    <t>VII. Plnění plánu</t>
  </si>
  <si>
    <t>Celkové zhodnocení výsledků za 1.pololetí 2006</t>
  </si>
  <si>
    <t>pozn. V dotaci od ÚP zaúčtován stav dle účetnictví kraje</t>
  </si>
  <si>
    <t>Skutečnost rok 2005</t>
  </si>
  <si>
    <t xml:space="preserve">VIII. Závěrečné vyhodnocení pololetí </t>
  </si>
  <si>
    <t>Nemocnice Jihlava</t>
  </si>
  <si>
    <t>29.2.2006</t>
  </si>
  <si>
    <t/>
  </si>
  <si>
    <t>VI. Dotace, čerpání investičního fondu</t>
  </si>
  <si>
    <t>Příspěvek na sociální sestru, knihovnu a živelní pojištění, dotace z kapitálových výdajů (lineár)</t>
  </si>
  <si>
    <t>Dotace na servery</t>
  </si>
  <si>
    <t>Pracoviště NOR</t>
  </si>
  <si>
    <t>Dotace z majetkového odboru</t>
  </si>
  <si>
    <t>Dotace na oddlužení</t>
  </si>
  <si>
    <t>VII. Plnění finančního plánu</t>
  </si>
  <si>
    <t xml:space="preserve">Skutečnost </t>
  </si>
  <si>
    <t>Plán na rok 2006 schválený usnesením 0562/12/2006/RK</t>
  </si>
  <si>
    <t>VIII. Celkové zhodnocení</t>
  </si>
  <si>
    <t>LÉKAŘI</t>
  </si>
  <si>
    <t>Mzdové náklady</t>
  </si>
  <si>
    <t>N.Město</t>
  </si>
  <si>
    <t>Celkem nemocnice</t>
  </si>
  <si>
    <t>H.Brod</t>
  </si>
  <si>
    <t>celkem HB</t>
  </si>
  <si>
    <t>celkem Ji</t>
  </si>
  <si>
    <t>celkem Pe</t>
  </si>
  <si>
    <t>celkem Tr</t>
  </si>
  <si>
    <t>celkem NM</t>
  </si>
  <si>
    <t>průměrná mzda</t>
  </si>
  <si>
    <t>% z prům. mzdy</t>
  </si>
  <si>
    <t>Mzdy</t>
  </si>
  <si>
    <t>tarif</t>
  </si>
  <si>
    <t>tarifní plat</t>
  </si>
  <si>
    <t>přesčas</t>
  </si>
  <si>
    <t>příplatek za vedení</t>
  </si>
  <si>
    <t>odměna-pohotovost</t>
  </si>
  <si>
    <t>příplatek za zastupování</t>
  </si>
  <si>
    <t>další plat</t>
  </si>
  <si>
    <t>zvláštní příplatky</t>
  </si>
  <si>
    <t>náhrada mzdy</t>
  </si>
  <si>
    <t>plat za práci přesčas</t>
  </si>
  <si>
    <t>osobní příplatek</t>
  </si>
  <si>
    <t>odměna za pracovní pohotovost</t>
  </si>
  <si>
    <t>odměny</t>
  </si>
  <si>
    <t>příplatky za práci v SO a NE</t>
  </si>
  <si>
    <t>všechny formy příplatků</t>
  </si>
  <si>
    <t>příplatek za práci ve svátek</t>
  </si>
  <si>
    <t>ostatní složky mezd</t>
  </si>
  <si>
    <t>příplatek za noční práci</t>
  </si>
  <si>
    <t>příplatek za dělenou směnu</t>
  </si>
  <si>
    <t>plat při výkonu jiné práce a práce v cizině</t>
  </si>
  <si>
    <t>náhrady mzdy</t>
  </si>
  <si>
    <t>Průměrný přepočtený evidenční počet zaměstnanců</t>
  </si>
  <si>
    <t>farmaceuti</t>
  </si>
  <si>
    <t>všeobecné sestry a porodní asistentky</t>
  </si>
  <si>
    <t>ostatní zdrav. pracovníci nelékaři s odb. způsobilostí</t>
  </si>
  <si>
    <t xml:space="preserve"> zdrav. pracovníci nelékaři s odb. a special. způsobilostí </t>
  </si>
  <si>
    <t>zdrav.prac. Nelékaři pod odbornáým dohledem nebo přímým vedením</t>
  </si>
  <si>
    <t>Nemocnice celkem</t>
  </si>
  <si>
    <t>průměrná mzda lékařů nižší - viz. vliv OON</t>
  </si>
  <si>
    <t>2006</t>
  </si>
  <si>
    <t>Přehled hospodaření nemocnic kraje Vysočina v tis. Kč</t>
  </si>
  <si>
    <t>Celkem k 31.12.2006</t>
  </si>
  <si>
    <t>k 31.12.2006</t>
  </si>
  <si>
    <t xml:space="preserve">komentář: </t>
  </si>
  <si>
    <t>Skutečnost k 31.12.2006</t>
  </si>
  <si>
    <t xml:space="preserve">Plán na rok 2006 </t>
  </si>
  <si>
    <t>Mimořádná dotace stát</t>
  </si>
  <si>
    <t>Z rozpočtu kraje - jiná</t>
  </si>
  <si>
    <t>Dotace kraj - jiná -z prodeje majetku</t>
  </si>
  <si>
    <t>Úřady práce</t>
  </si>
  <si>
    <t>Odvod z investičního fondu</t>
  </si>
  <si>
    <t>Z rozpočtu kraje - kapitálové výdaje</t>
  </si>
  <si>
    <t>Z rozpočtu kraje - jiné (servry apod.)</t>
  </si>
  <si>
    <t>Dotace Město H.Brod</t>
  </si>
  <si>
    <t>Skutečnost 2004</t>
  </si>
  <si>
    <t>Skutečnost 2006</t>
  </si>
  <si>
    <t xml:space="preserve">Doplňující </t>
  </si>
  <si>
    <t>Nerozdělený zisk, ztráta minulých let k 31.12.</t>
  </si>
  <si>
    <t xml:space="preserve">Kumulovaná ztráta </t>
  </si>
  <si>
    <t>Náklady, výnosy</t>
  </si>
  <si>
    <t>Schválený plán 2006</t>
  </si>
  <si>
    <t>0.00</t>
  </si>
  <si>
    <t>Skutečnost k31.12.2006</t>
  </si>
  <si>
    <t>rok 2006</t>
  </si>
  <si>
    <t>Komentář: Celkové náklady meziročně stouply o 8,7 % tj. o 49.819 tis. Kč. Na tomto nárůstu mají největší podíl mzdové náklady s meziročním nárůstem 10,9 %, tj. 32.402 tis., dále náklady na léky meziroční nárůst - nárůst 24,6%, tj. o 9.209 tis. Kč, a v neposlední řadě jsou to i náklady na energie - nárůst 18 %, tj. 3.286 tis. Kč.  Na straně výnosů byl zaznamenán celkový nárůst o 9,6 %, tj. o 54.750 tis. Kč. Zejména šlo o vyšší tržby od zdravotních pojišťoven o 7,14 %, tj. o 33.629 tis. Kč, tržby za prodej léků nárůst o 14,7 %, tj. o 7.536 tis. Kč, v roce 2006 došlo i ke zvýšení provozní dotace od zřizovatele a to o 7.673 tis. Kč, největší podíl na zvýšení této dotace má dar zřizovatele ve výši 5,4 mil. Kč na úhradu závazků po lhůtě splatnosti.</t>
  </si>
  <si>
    <t xml:space="preserve">Komentář: V průběhu roku 2006 došlo k celkovému snížení objemu závazků o 6.470 tis. Kč. Především se jednalo o úhradu dlouhodobého závazku vůči Kraji Vysočina. Významný byl pokles závazků po lhůtě splatnosti a to o 20.745 tis. Kč, k největšímu snížení došlo u pohledávek nad 90 dnů po splatnosti. V roce 2006 došlo i ke snížení objemu pohledávek o 4.552 tis. Kč, pohledávky po lhůtě splatnosti poklesly o 6.259 tis. Kč. </t>
  </si>
  <si>
    <t>V roce 2006 došlo k celkovému nárůstu průměrné mzdy o 9,5 %. K určitému poklesu průměrné mzdy došlo v kategorii "farmaceuti" a to z důvodu nárůstu počtu zaměstnanců v nižších platových stupních. K mírnému poklesu došlo i v kategorii JOP. V ostatních kategoriích byl zaznamenán nárůst průměrné mzdy.</t>
  </si>
  <si>
    <t>Komentár k plánu: Na straně výnosů došlo k pozitivnímu překročení plánu u tržeb od zdravotních pojišťoven a tržeb za zboží prodané v lékárně. Na straně nákladů došlo k celkovému překročení nákladů o 10.107 tis. Kč, a to zejména u nákladů na léky a v oblasti mzdových nákladů.</t>
  </si>
  <si>
    <t>Nemocnice Havlíčkův Brod dosáhla za rok 2006 zlepšeného hospodářského výsledku ve výši 5.116 tis. Kč, oproti plánované ztrátě ve výši -7.637 tis. Kč.</t>
  </si>
  <si>
    <t>Na tomto zlepšeném výsledku mají největší podíl zvýšené vyšší výnosy, a to zejména tržby od zdravotních pojišťoven, tržby za prodané zboží</t>
  </si>
  <si>
    <t>v nemocniční lékárně a v neposlední řadě i vyšší provozní dotace a dar zřizovatele, který byl použit na úhradu závazků po lhůtě splatnosti.</t>
  </si>
  <si>
    <t>Oproti skutečnosti v roce 2005 stouply celkové výnosy o 54.750 tis. Kč, tj. o 9,6 %; tržby od zdravotních pojišťoven stouply meziročně o 33.629 tis. Kč,</t>
  </si>
  <si>
    <t>tj. o 7,1 %, na tomto zvýšení tržeb mají podíl i nepředpokládané doplatky z let 2004 a 2005. Další zvýšení tržeb bylo zaznamenáno i u tržeb v</t>
  </si>
  <si>
    <t>nemocniční lékarně o 7.536 tis. Kč, tj. o 14,7 %.</t>
  </si>
  <si>
    <t>K nárůstu oproti roku 2005 došlo ovšem i na straně nákladů. Celkové tempo růstu nákladů bylo pomalejší než růst výnosů. Celkové náklady v roce</t>
  </si>
  <si>
    <t xml:space="preserve">2006 vzrostly oproti roku 2005 o 49.819 tis. Kč, tj. o 8,7 %. Nejvýraznější nárůst byl u osobních nákladů, a to o 32.402 tis. Kč, tj. o 10,9 % oproti </t>
  </si>
  <si>
    <t>roku 2005. Další významný nárůst se projevil u spotřeby léků a to o 9.209 tis. Kč, tj. o 24,6 %. Bylo to zejména z důvodu nákladů na lék</t>
  </si>
  <si>
    <t>Neorecormon, který byl v roce 2005 dodáván formou centrálního nákupu pojišťovnou VZP, a další vliv na zvýšené náklady měla nová léková vyhláška,</t>
  </si>
  <si>
    <t>platná od 1.8.2006 kdy se do nákladů nemocnice přesunuly nákladné léky na onkologická onemocnění.</t>
  </si>
  <si>
    <t>U některých nákladových položek došlo i ke snížení oproti roku 2005, jsou to např. náklady na speciální zdravotnický materiál a náklady na opravy</t>
  </si>
  <si>
    <t>a údržbu.</t>
  </si>
  <si>
    <t>V oblasti mzdových nákladů došlo k nárůstu průměrné mzdy o 9,5 %, tj. o 1.721,- Kč, v kategorii lékařů o 8,5 %, tj. o 3.163,- Kč.</t>
  </si>
  <si>
    <t>komentář: Pokles průměrné obložnosti v roce 2006 je zapříčiněn především poklesem obložnosti na oddělení oftalmologie. Tento pokles na oddělení oftalmologie je zapříčiněn především ukončením pracovního poměru primářky tohoto oddělení v měsíci listopadu. Nový přimář na oddělení nastoupil až od 1.1.2007.</t>
  </si>
  <si>
    <t xml:space="preserve">Komentář:  Byl snížen počet přepočtených pracovníků o 15,46. Ke snížení došlo u kategorií: THP o 7,72 prep. Pracovníků, dále o 5,19 u dělníků a provozních pracovníků. U ostatních katzegorií pracovníků došlo ke snížení o 12 přep. Pracovníků K nárůstu došlo u lékařů o 4,52 a u zdrav. pracovníků nelékařů o 3,35 přepočtených pracovníků. Mzdové náklady se navýšily o 26 458 tis. Kč. navýšením tarifů. Vzrostla průměrná měsíční mzda o 2 231,- Kč. </t>
  </si>
  <si>
    <t>Komentář:  Lůžkový fond se nezměnil. Obložnost se snížila o 7,7 % oproti roku 2005.</t>
  </si>
  <si>
    <t xml:space="preserve">Komentář: Z příspěvku na provoz byly hrazeny náklady na sociální sestru, knihovnu, živelní pojištění, splátky na pronájem lineárního urychlovače a ostatní provozní náklady. Z investiční dotace bylo proinvestováno 15 964 tis. Kč. </t>
  </si>
  <si>
    <t>Komentář: Skutečnost v roce 2006 ke schválenému finančnímu plánu byla následující: navýšení výnosů o 6,37 %, náklady vzrostly pouze 0,36 %. Tady můžeme konstatovat, že náklady se podařilo udržet zhruba tak, jak bylo plánováno. Výnosy jsou ovlivněny finančním darem od KÚ ve výši 28 mil. Kč. U nákladových položek byla překročena spotřeba materiálu o 4,5 % proti plánu.</t>
  </si>
  <si>
    <t>Nemocnice Jihlava, příspěvková organizace hospodařila v roce 2006 s kladným hospodářským výsledkem. Výše kladného hospodářského výsledku</t>
  </si>
  <si>
    <t>je ovlivněna finančním darem od KÚ. Organizaci se podařilo snížit dobu neuhrazených faktur po splatnosti z 360 na 180 dnů. Závazky jsou sledovány, vymáhány,</t>
  </si>
  <si>
    <t>v průběhu roku se zdařilo odepsat nejstarší pohledávky (hlavně pohledávky za léčení cizinců a zkrachovalé zdravotní pojišťovny). Díky lepší platební morálce VZP</t>
  </si>
  <si>
    <t xml:space="preserve">Nemocnice Jihlava, příspěvková organizace nebyla v průběhu roku postihována pokutami ani jí nebyly vystavovány penalizační faktury za pozdní úhrady. </t>
  </si>
  <si>
    <t>V průběhu roku byly uhrazeny dlouhodobé závazky firmě Phoenix, byla splacena půjčka KÚ.</t>
  </si>
  <si>
    <t xml:space="preserve">Na straně výnosů je v průběhu roku vidět navýšení u tržeb za výkony. Z toho plyne, že je maximální snaha Nemocnice Jihlava o prověřování dat pro pojišťovny </t>
  </si>
  <si>
    <t xml:space="preserve">nejen ze strany nemocnice, ale i ze strany pojišťoven, co se týká vyúčtování za minulá období. </t>
  </si>
  <si>
    <t>Závěrem lze konstatovat, že Nemocnice Jihlava bez provozních dotací hospodařila s mírnou ztrátou během celého roku.</t>
  </si>
  <si>
    <t>Komentář:  Hospodářský výsledek Nemocnice Třebíč po zdanění činí cca 1,6tis. Kč, před zdaněním je více jak 1,495 mil. Kč (schválený návrh HV pro rok 2006 činil – 7,681 mil. Kč). Celkový hospodářský výsledek byl na straně výnosů ovlivněn dle § 34 odst. 9) vyhlášky č. 505/2002 sb. (Český účetní standard č. 519) použitím investičního fondu ve výši 3,615 mil. Kč, neboť nezajistí-li příspěvková organizace ke dni sestavení účetní závěrky (s výjimkou mezitímní účetní závěrky) krytí investičního fondu nebo fondu reprodukce majetku finančními prostředky, sníží výsledkově o tento rozdíl investiční fond nebo fond reprodukce majetku. Celkový meziroční nárůst tržeb od ZP činí cca 37,8 mil. Kč (z toho nárůst u VZP činí cca 36,1 mil. Kč). Další vliv na hospodářský výsledek se projevil zejména v oblasti mzdových nákladů. V průběhu roku 2006 došlo k nárůstu mzdových nákladů zejména vlivem převedení nelékařů do vyšších platových tříd dle vykonávané práce (viz. Katalog prací 533/2005, účinnost od 1.1.2006). Co se týče ostatních nákladů, nárůst nad 2 mil. Kč oproti skutečnosti roku 2005 byl zaznamenán především u Spotřeby materiálu (cca 2,3 mil. Kč) a u Energií (cca 4,9 mil. Kč – v návaznosti na meziroční růst cen).</t>
  </si>
  <si>
    <t>Komentář:  Co se týče platební bilance s největší zdravotní pojišťovnou VZP, ta ke konci roku 2006 dluží celkem cca 5,88 mil. Kč po splatnosti (z toho za rok 2006 cca 3,28 mil. Kč, za rok 2005 pak dluží cca 2,6 mil. Kč).</t>
  </si>
  <si>
    <t>Komentář: V průběhu roku 2006 došlo k nárůstu mzdových nákladů zejména vlivem převedení nelékařů do vyšších platových tříd dle vykonávané práce (viz. Katalog prací 533/2005, účinnost od 1.1.2006) a nařízení vlády, kterým se od 1.1.2006 zvyšovaly platové tarify. Dále, vzhledem ke snaze nemocnice vykázat péči v objemu pro zajištění nekrácené úhrady od ZP došlo k nižšímu čerpání řádných dovolených a současně byl vzhledem k minimálním stavům zdravotnických pracovníků na odděleních velký počet hodin přesčasové práce (tyto hodiny byly dle provozních podmínek vybírány formou náhradního volna). Celkové mzdové náklady vrostly oproti roku 2005 o cca 34,6 mil. Kč.</t>
  </si>
  <si>
    <t>Komentář: Ke dni 1.7.2006 došlo ke změně počtu lůžek na LDN Moravské Budějovice na 80 a na LDN Třebíč na 55 lůžek.</t>
  </si>
  <si>
    <t>Komentář: Nemocnice v roce 2006 nepoužila nájemné z pronájmu majetku, které vrací zřizovatel nemocnici zpět formou dotace, do svého provozu, nýbrž veškeré toto nájemné použila na pořízení stavebních a strojních investic, nebo ho převedla se souhlasem Rady kraje na investiční účet k investičním potřebám roku 2007 (převod do roku 2007 celkem ve výši cca 10,643 mil. Kč). Tyto převedené finanční prostředky buou použity k financování investiční akce "Rekonstrukce laboratoří", která v tuto dobu v areálu nemocnice probíhá.</t>
  </si>
  <si>
    <t>Komentář:  Hospodářský výsledek Nemocnice Třebíč po zdanění činí cca 1,6tis. Kč, před zdaněním je více jak 1,495 mil. Kč (schválený návrh HV pro rok 2006 činil – 7,681 mil. Kč). Na straně výnosů se podařilo splnit plánovaný objem tržeb z prodeje služeb (obsahuje tržby od ZP) o více jak 1,75%, růst skutečného plnění pak zaznamenaly i ostatní položky (které však nejsou svým objemem významné tak, jako právě tržby z prodeje služeb). Pokles byl zaznamenán u tržeb za prodané zboží, který plně koresponduje na straně nákladů s poklesem nákladů na prodané zboží. Významnou položkou, která na straně nákladů vzrostla oproti plánu, je spotřeba materiálu (o více jak 3,13%). Tento nárůst ve spotřebě materiálu však v sobě odráží zejména nárůst nákupů a pořízení nových zdravotnických spotřebních materiálů v souvislosti s uvedením nového CT do provozu (vyšší požadavky na zobrazování, vyšší nároky na zobrazovací látky atd.). Svoji roli hraje rovněž všeobecný nárůst ceny u vybraných položek spotřeby materiálu. Ostatní náklady, které svým skutečným plněním přesáhly 100% plánu, jsou co do objemu jen málo významné. Velmi příznivá je bilance skutečného plnění u celkových mzdových nákladů, neboť tam je skutečné čerpání na úrovni 99,45% plánu.</t>
  </si>
  <si>
    <t xml:space="preserve">Komentář: Uplynulé II. pololetí a celý rok 2006 lze z pohledu nemocnice hodnotit příznivě. Hospodářský výsledek roku 2006 je kladný, i když byl původně plánován jako </t>
  </si>
  <si>
    <t>deficitní. Stranu nákladů ovlivil zejména růst mzdových nákladů jako důsledek převedení nelékařů do vyšších platových tříd dle vykonávané práce (viz. výše) a nařízení</t>
  </si>
  <si>
    <t xml:space="preserve">vlády, kterým se od 1.1.2006 zvyšovaly platové tarify. Svoji roli sehrála v oblasti nárůstu  mzdových nákladů též snaha nemocnice vykázat péči v objemu pro zajištění </t>
  </si>
  <si>
    <t xml:space="preserve">nekrácené úhrady od ZP, díky čemuž došlo k nižšímu čerpání řádných dovolených a současně byl vzhledem k minimálním stavům zdravotnických pracovníků na </t>
  </si>
  <si>
    <t xml:space="preserve">odděleních velký počet hodin přesčasové práce (tyto hodiny byly dle provozních podmínek vybírány formou náhradního volna). Dále, rovněž  vzhledem k zajištění </t>
  </si>
  <si>
    <t xml:space="preserve">nekrácených plateb od ZP byla ředitelem nemocnice stanovena kritéria pro přiznání odměn za hospodaření. Tyto odměny pak byly vyplaceny v celkové výši </t>
  </si>
  <si>
    <t xml:space="preserve">cca 1,61 mil. Kč (tato částka však nedosahuje na celkovou výši odměn, vyplacených v předchozím roce 2005). Co se týká investiční politiky, nemocnice proinvestovala </t>
  </si>
  <si>
    <t xml:space="preserve">(nebo se souhlasem Rady kraje  převedla do roku 2007) maximální objem prostředků z nájemného na pořízení investic v roce 2007 - rekonstrukce laboratoří. Prioritní </t>
  </si>
  <si>
    <t xml:space="preserve">investiční akcí roku 2006 bylo pořízení nového spirálního CT přístroje v celkové hodnotě 19 940,5 mil. Kč (z toho  finanční dary na pořízení nového CT činily více </t>
  </si>
  <si>
    <t xml:space="preserve">jak 10 mil. Kč a účelová dotace od MZ 6 mil. Kč). Nemocnice pořídila nové investice také díky mimořádným dotacím od zřizovatele (ve výši 7 533 tis. Kč a 2 122 tis. Kč).  </t>
  </si>
  <si>
    <t xml:space="preserve">K rizikům, ke kterým je třeba v roce 2007 brát zřetel, patří nárůst mzdových nákladů (cca o 11,5% včetně dohadně zaúčtované nevyčerpané dovolené, dále meziroční </t>
  </si>
  <si>
    <t xml:space="preserve">růst cen energií, spotřeby materiálu (např. díky pořízení nového DDHM vybavení v návaznosti na probíhající rekonstrukci laboratoří a také limitace příjmů od ZP </t>
  </si>
  <si>
    <t>(v souladu s vyhláškou č. 619/2006 Sb.). I v roce 2007 bude chtít nemocnice proinvestovat  maximání objem prostředků z nájemného.</t>
  </si>
  <si>
    <t>Komentář: Nemocnice Pelhřimov dosáhla za rok 2006 zisku 180579,- Kč. Z toho v hlavní činnosti byla dosažena ztráta 942 tis. Kč a v doplňkové činnosti zisk 1123 tis Kč. Zisk doplňkové činnosti je vytvořen z prodeje obědů a praní prádla pro cizí odběratele. Na tyto činnost nelze kvalifikovaně rozdělit náklady připadající na provoz pro nemocnici a náklady připadající na část pro externí odběratele. Z tohoto důvodu byly náklady na obě činnosti stejně jako v minulých letech vedeny v kategorii hlavní činnosti.</t>
  </si>
  <si>
    <t xml:space="preserve">Komentář: V kategorii pohledávek z obchodního styku dochází v průběhu roku k postupnému poklesu, který je způsoben dalším zlepšením platební morálky VZP a projevuje se zejména výrazným poklesem pohledávek po lhůtě splatnosti do 30 dnů. V kategorii závazků z obchodního styku dochází pouze k mírnému poklesu. Důvodem je provádění úhrad dodavatelských faktur v termínech okolo 60 – 90 dnů po jejich obdržení. Výsledkem těchto skutečností je nárůst finančního majetku o 19192 tis. Kč.
Nemocnice Pelhřimov neeviduje k 31.12. nesplacené investice.
</t>
  </si>
  <si>
    <t>Komentář: V porovnání s rokem 2005 došlo k výrazné změně v celkovém počtu pracovníků, dochází ke zvýšení stavu zdravotnických pracovníků a k poklesu nezdravotnických pracovníků. Průměrný výdělek se proti roku 2005 zvýšil o 1949,- Kč.</t>
  </si>
  <si>
    <t>Komentář: Počátkem roku 2006 došlo k přesunu novorozeneckých lůžek z gynekologického na pediatrické oddělení.Průměrné ošetřovací době činila 6.45 dne a obložnost 74.17%.</t>
  </si>
  <si>
    <t>Komentář: Nemocnice Pelhřimov v roce 2005 dosáhla zisku ve výši 180579,- Kč. Nárůst nákladových položek je kompenzován zvýšením zejména ostatních výnosů. Vývoj jednotlivých nákladových a výnosových položek v porovnání se skutečností roku 2005 je zřejmá z tabulky</t>
  </si>
  <si>
    <t>Komentář: V hospodaření nemocnice se projevuje snaha o optimální vývoj nákladových položek. Stanovené limity spotřeby materiálu ( léků, SZM a ostatních nákladových položek ) byly dodrženy. Narostla spotřeba energií ( plyn, energie),  nárůst je v oblasti spotřeby prodaného zboží ( ta je kopírována nárůstem třžeb za prodané zboží), zvýšil se objem oprav a udržování majetku.  V oblasti osobních nákladů došlo k mírnému zvýšení jejich podílu na nákladech celkových vlivem nutnosti dodržet nařízení vlády dle sbírky zákonů č. 537/2005 Sb., v platném znění.</t>
  </si>
  <si>
    <t>Komentář:  Z výše uvedených přehledů vyplývá, že platební schopnost všeobecné zdravotní pojišťovny se zlepšila, nedochází již k takovým zpožděním plateb. Závazky hradí naše nemocnice včas, tak jako v letech předcházejících. Minusové částky v oblasti krátkodobých pohledávek jsou způsobeny vlivem dobropisu od oborové zdravotní pojišťovny. Dle rozhodnutí pojišťovny budou tyto dobropisy zúčtovány s některou z následulíccíh plateb v roce 2007.</t>
  </si>
  <si>
    <t xml:space="preserve">Komentář: V Nemocnici Nové Město na Moravě pracuje stabilizovaný tým pracovníků , i přesto se podařilo snížit počet zaměstnanců na obslužných provozech.  Jako odpovídající se jeví nárůst mzdových prostředků. </t>
  </si>
  <si>
    <t xml:space="preserve">Komentář:  V návaznosti na rekontrukci gynekologického oddělení, která proběhla v 1.pololetí roku 2006, byl snížen počet lůžek na gynekologii, bylo zrušeno lůžkové oddělení dětské neurologie, snížen počet lůžek na LDN Buchtův kopec.  Na oddělení neurologie byl vlivem rekontrukce přechodně také snížen počet lůžek.  </t>
  </si>
  <si>
    <t>Ke dni 1.7.2006 došlo ke změně počtu lůžek na LDN Moravské Budějovice na 80 a na LDN Třebíč na 55 lůžek</t>
  </si>
  <si>
    <t>K nemocnici patří dále 162 lůžek Buchtův kopec (TRN 100 lůžek, 61 LDN)</t>
  </si>
  <si>
    <t>Hospodaření nemocnice bylo ovlivněno zejména zvýšením mzdových tarifů, které měly za následek zvýšené čerpání osobních nákladů</t>
  </si>
  <si>
    <t>a nárůst nákladů na nákup energií. V hodnotovém vyjádření je tento vliv u osobních nákladů 20 147 tis. Kč a u nákupu energií 2 492 tis. Kč.</t>
  </si>
  <si>
    <t xml:space="preserve">Vyrovnané hospodaření v porovnání s výsledky v jednotlivých čtvrtletích roku 2006 je způsobeno na základě změny ročního plánu spočívající ve snížení </t>
  </si>
  <si>
    <t xml:space="preserve">objemu investic ve výši 12 662,8 tis. Kč a použití těchto prostředků do provozu. Dalšími vlivy bylo provedení odvodu z investičního fondu ve výši </t>
  </si>
  <si>
    <t>3 700 tiss. Kč a následné poskytnutí provozní dotace od zřizovatele ve stejné výši a hodnota materiálu, který je nakupován přímo do spotřeby a  jeho</t>
  </si>
  <si>
    <t>nespotřebovaná část dle provedených inventur byla ke konci roku ze spotřeby vyjmuta. Za rok 2006 byl takto ze spotřeby vyjmut materiál</t>
  </si>
  <si>
    <t>v hodnotě 2 468 tis. Kč (způsob B účtování zásob).</t>
  </si>
  <si>
    <t>Limit mzdových prostředků byl překročen o 510 tis., k pokrytí byl v souladu s usnesením rady použit fond odměn.</t>
  </si>
  <si>
    <t>K větším výkyvům v rozvahových účtech v porovnání k 1. 1. 2006 došlo na strabě aktiv, a to ke snížení pohledávek z obchodních vztahů,</t>
  </si>
  <si>
    <t>návazně na zvýšení finančního majetku a dlouhodobého majetku. Důvodem je zlepšení platební morálky VZP a pořízení nové gamakamery.</t>
  </si>
  <si>
    <t>Hodnota smluvních pokut a penále ve výnosech zahrnuje penalizaci vystavenou VZP za pozdní úhrady v roce 2005.</t>
  </si>
  <si>
    <t>Název organizace</t>
  </si>
  <si>
    <t>Dětské centrum Jihlava</t>
  </si>
  <si>
    <t>Dětský domov Kamenice nad Lipou</t>
  </si>
  <si>
    <t>ZDRAVOTNICTVÍ CELKEM</t>
  </si>
  <si>
    <t>I. Stav vybraných účtů aktivních k 31.12.2006</t>
  </si>
  <si>
    <t>Pohledávky</t>
  </si>
  <si>
    <t>Zásoby</t>
  </si>
  <si>
    <t>Finanční majetek</t>
  </si>
  <si>
    <t>Přechodné účty aktivní</t>
  </si>
  <si>
    <t>Celkem aktivní účty</t>
  </si>
  <si>
    <t>z toho z obchodního vztahu</t>
  </si>
  <si>
    <t>z toho materiál na skladě</t>
  </si>
  <si>
    <t>zboží na skladě</t>
  </si>
  <si>
    <t>běžný účet</t>
  </si>
  <si>
    <t>účet FKSP</t>
  </si>
  <si>
    <t>a=1+2+3+4</t>
  </si>
  <si>
    <t>II. Stav vybraných účtů pasivních k 31.12.2006</t>
  </si>
  <si>
    <t>Závazky</t>
  </si>
  <si>
    <t>Přechodné účty pasivní</t>
  </si>
  <si>
    <t>Kumulovaná ztráta k 31.12.2006</t>
  </si>
  <si>
    <t>Kumulovaně k 31.12.2006</t>
  </si>
  <si>
    <t>Celkem pasivní účty (cizí zdroje)</t>
  </si>
  <si>
    <t>Celkem krátkodobé</t>
  </si>
  <si>
    <t>dlouhodobé závazky</t>
  </si>
  <si>
    <t>závazky krátkodobé a dlouhodobé celkem</t>
  </si>
  <si>
    <t>z toho zaměstnanci  a odvody</t>
  </si>
  <si>
    <t>,</t>
  </si>
  <si>
    <t>5+6</t>
  </si>
  <si>
    <t>8+9</t>
  </si>
  <si>
    <t>b=5+6+7</t>
  </si>
  <si>
    <t>III. Běžná likvidita organizace k datu</t>
  </si>
  <si>
    <t>31.12.2002</t>
  </si>
  <si>
    <t>30.6.2003</t>
  </si>
  <si>
    <t>31.12.2003</t>
  </si>
  <si>
    <t>30.6.2004</t>
  </si>
  <si>
    <t>31.12.2004</t>
  </si>
  <si>
    <t>30.6.2005</t>
  </si>
  <si>
    <t>a-b</t>
  </si>
  <si>
    <t>běžná likvidita</t>
  </si>
  <si>
    <t>okamžitá</t>
  </si>
  <si>
    <t>pozn. u H. Brodu jsou u lékařů zapracovány pohotovosti (hrazeno z OON) - o tuto hodnotu upravena i celková průměrná mzda</t>
  </si>
  <si>
    <t xml:space="preserve">Běžná likvidita udává, kolikrát je společnost schopna uspokojit své věřitele, kdyby proměnila veškerá svá oběžná aktiva v daném okamžiku v hotovost. Čím je hodnota tohoto ukazatele vyšší, tím menší je nebezpečí platební neschopnosti dané firmy. Obecně se za přijatelné hodnoty tohoto ukazatele považují hodnoty v intervalu 1,5 až 2,5.  </t>
  </si>
  <si>
    <t>Skutečnost 2003</t>
  </si>
  <si>
    <t>Rozdíl 2006 - 2005</t>
  </si>
  <si>
    <t>v %</t>
  </si>
  <si>
    <t>stav k 31.12.2006</t>
  </si>
  <si>
    <t>z toho po lhůtě splatnosti</t>
  </si>
  <si>
    <t>Lůžkový fond</t>
  </si>
  <si>
    <t>31-90</t>
  </si>
  <si>
    <t>91-180</t>
  </si>
  <si>
    <t>181-360</t>
  </si>
  <si>
    <t>nad 360</t>
  </si>
  <si>
    <t>Kapacita</t>
  </si>
  <si>
    <t>Pohledávky (včetně ostatních pohledávkových účtů)</t>
  </si>
  <si>
    <t>Rozbor mzdových nákladů v Kč</t>
  </si>
  <si>
    <t>lékaři</t>
  </si>
  <si>
    <t>Jiní VŠ</t>
  </si>
  <si>
    <t>jiní SŠ</t>
  </si>
  <si>
    <t>SZP</t>
  </si>
  <si>
    <t>dělníci</t>
  </si>
  <si>
    <t>mzdy celkem</t>
  </si>
  <si>
    <t>průměrný přepočtený počet</t>
  </si>
  <si>
    <t>průměrný plat zaměstnanců</t>
  </si>
  <si>
    <t>Psycholog</t>
  </si>
  <si>
    <t>soc.+dietní</t>
  </si>
  <si>
    <t>THP + ředitel</t>
  </si>
  <si>
    <t>Vseob. Sestry</t>
  </si>
  <si>
    <t>Zdrav. prac. odb. zpus.</t>
  </si>
  <si>
    <t>zdrav. prac. specializace</t>
  </si>
  <si>
    <t>Ost. odborní. Pracovníci</t>
  </si>
  <si>
    <t>Dělníci a provoz</t>
  </si>
  <si>
    <t>NZP</t>
  </si>
  <si>
    <t>PZP</t>
  </si>
  <si>
    <t>Jiní odb. prac. nelék</t>
  </si>
  <si>
    <t>zdrav.prac. Nelék. Odb. dohled</t>
  </si>
  <si>
    <t>Zdrav. prac. nelékaři s odb. a special. způsobilostí</t>
  </si>
  <si>
    <t>Zdrav. prac. nelék. pod odb. dohledem</t>
  </si>
  <si>
    <t>Jiní odb. prac. nelékaři s odb. způsobilostí</t>
  </si>
  <si>
    <t>ZDRAVOTNICTVÍ</t>
  </si>
  <si>
    <t>přepočtený  počet zaměstnanců</t>
  </si>
  <si>
    <t>ostatní složky mzdy</t>
  </si>
  <si>
    <t>Kč</t>
  </si>
  <si>
    <t>% z pr.mzdy</t>
  </si>
  <si>
    <t>počet stran: 25</t>
  </si>
  <si>
    <t>RK-18-2007-49, př. 2</t>
  </si>
</sst>
</file>

<file path=xl/styles.xml><?xml version="1.0" encoding="utf-8"?>
<styleSheet xmlns="http://schemas.openxmlformats.org/spreadsheetml/2006/main">
  <numFmts count="6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0"/>
    <numFmt numFmtId="167" formatCode="00000"/>
    <numFmt numFmtId="168" formatCode="&quot;Yes&quot;;&quot;Yes&quot;;&quot;No&quot;"/>
    <numFmt numFmtId="169" formatCode="&quot;True&quot;;&quot;True&quot;;&quot;False&quot;"/>
    <numFmt numFmtId="170" formatCode="&quot;On&quot;;&quot;On&quot;;&quot;Off&quot;"/>
    <numFmt numFmtId="171" formatCode="#,##0;\-#,##0"/>
    <numFmt numFmtId="172" formatCode="#,##0;[Red]\-#,##0"/>
    <numFmt numFmtId="173" formatCode="#,##0.00;\-#,##0.00"/>
    <numFmt numFmtId="174" formatCode="#,##0.00;[Red]\-#,##0.00"/>
    <numFmt numFmtId="175" formatCode="#,##0.00000"/>
    <numFmt numFmtId="176" formatCode="#,##0.000"/>
    <numFmt numFmtId="177" formatCode="mmm/yyyy"/>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1010409]###\ ###\ ###"/>
    <numFmt numFmtId="187" formatCode="[$-1010409]General"/>
    <numFmt numFmtId="188" formatCode="#,##0.000000\ &quot;Kč&quot;"/>
    <numFmt numFmtId="189" formatCode="#,##0.000000"/>
    <numFmt numFmtId="190" formatCode="#,##0\ &quot;Kč&quot;"/>
    <numFmt numFmtId="191" formatCode="#,##0.00\ _K_č"/>
    <numFmt numFmtId="192" formatCode="#,##0.0000"/>
    <numFmt numFmtId="193" formatCode="0.0000"/>
    <numFmt numFmtId="194" formatCode="#.##0.00,&quot;Kč&quot;"/>
    <numFmt numFmtId="195" formatCode="0.E+00"/>
    <numFmt numFmtId="196" formatCode="#,##0_ ;[Red]\-#,##0\ "/>
    <numFmt numFmtId="197" formatCode="0.0E+00"/>
    <numFmt numFmtId="198" formatCode="h\,mm"/>
    <numFmt numFmtId="199" formatCode="d/m/yy"/>
    <numFmt numFmtId="200" formatCode="mmmm\ yy"/>
    <numFmt numFmtId="201" formatCode="[$-405]d\.\ mmmm\ yyyy"/>
    <numFmt numFmtId="202" formatCode="[$-405]mmmm\ yy;@"/>
    <numFmt numFmtId="203" formatCode="d/m;@"/>
    <numFmt numFmtId="204" formatCode="#,##0.00\ &quot;Kč&quot;"/>
    <numFmt numFmtId="205" formatCode="0.000"/>
    <numFmt numFmtId="206" formatCode="0.0000000000"/>
    <numFmt numFmtId="207" formatCode="0.000000000"/>
    <numFmt numFmtId="208" formatCode="0.00000000"/>
    <numFmt numFmtId="209" formatCode="0.0000000"/>
    <numFmt numFmtId="210" formatCode="0.000000"/>
    <numFmt numFmtId="211" formatCode="0.00000"/>
    <numFmt numFmtId="212" formatCode="#00000"/>
    <numFmt numFmtId="213" formatCode="#,##0.0\ &quot;Kč&quot;"/>
    <numFmt numFmtId="214" formatCode="_-* #,##0.0\ &quot;Kč&quot;_-;\-* #,##0.0\ &quot;Kč&quot;_-;_-* &quot;-&quot;\ &quot;Kč&quot;_-;_-@_-"/>
    <numFmt numFmtId="215" formatCode="_-* #,##0.00\ &quot;Kč&quot;_-;\-* #,##0.00\ &quot;Kč&quot;_-;_-* &quot;-&quot;\ &quot;Kč&quot;_-;_-@_-"/>
    <numFmt numFmtId="216" formatCode="#,##0.00_ ;\-#,##0.00\ "/>
    <numFmt numFmtId="217" formatCode="#,##0.0000000"/>
    <numFmt numFmtId="218" formatCode="_-* #,##0.000\ &quot;Kč&quot;_-;\-* #,##0.000\ &quot;Kč&quot;_-;_-* &quot;-&quot;\ &quot;Kč&quot;_-;_-@_-"/>
    <numFmt numFmtId="219" formatCode="#,##0.00000000"/>
    <numFmt numFmtId="220" formatCode="#,##0.000000000"/>
    <numFmt numFmtId="221" formatCode="_-* #,##0.0000\ &quot;Kč&quot;_-;\-* #,##0.0000\ &quot;Kč&quot;_-;_-* &quot;-&quot;\ &quot;Kč&quot;_-;_-@_-"/>
    <numFmt numFmtId="222" formatCode="000\ 00"/>
    <numFmt numFmtId="223" formatCode="[$-1010409]#,##0.0#%"/>
  </numFmts>
  <fonts count="43">
    <font>
      <sz val="10"/>
      <name val="Arial CE"/>
      <family val="0"/>
    </font>
    <font>
      <b/>
      <sz val="12"/>
      <name val="Arial CE"/>
      <family val="2"/>
    </font>
    <font>
      <b/>
      <sz val="10"/>
      <name val="Arial CE"/>
      <family val="2"/>
    </font>
    <font>
      <b/>
      <sz val="8"/>
      <name val="Arial CE"/>
      <family val="2"/>
    </font>
    <font>
      <sz val="8"/>
      <name val="Arial CE"/>
      <family val="2"/>
    </font>
    <font>
      <b/>
      <sz val="8"/>
      <color indexed="10"/>
      <name val="Arial CE"/>
      <family val="2"/>
    </font>
    <font>
      <b/>
      <sz val="10"/>
      <color indexed="10"/>
      <name val="Arial CE"/>
      <family val="2"/>
    </font>
    <font>
      <sz val="7"/>
      <name val="Arial CE"/>
      <family val="2"/>
    </font>
    <font>
      <b/>
      <sz val="14"/>
      <name val="Arial CE"/>
      <family val="2"/>
    </font>
    <font>
      <b/>
      <sz val="7"/>
      <name val="Arial CE"/>
      <family val="2"/>
    </font>
    <font>
      <b/>
      <sz val="8"/>
      <name val="Times New Roman"/>
      <family val="1"/>
    </font>
    <font>
      <b/>
      <sz val="8"/>
      <name val="Times New Roman CE"/>
      <family val="1"/>
    </font>
    <font>
      <u val="single"/>
      <sz val="10"/>
      <color indexed="12"/>
      <name val="Arial CE"/>
      <family val="0"/>
    </font>
    <font>
      <u val="single"/>
      <sz val="10"/>
      <color indexed="36"/>
      <name val="Arial CE"/>
      <family val="0"/>
    </font>
    <font>
      <b/>
      <sz val="12"/>
      <name val="Times New Roman"/>
      <family val="1"/>
    </font>
    <font>
      <b/>
      <sz val="10"/>
      <name val="Times New Roman"/>
      <family val="1"/>
    </font>
    <font>
      <sz val="10"/>
      <name val="Helv"/>
      <family val="0"/>
    </font>
    <font>
      <sz val="12"/>
      <name val="Arial CE"/>
      <family val="2"/>
    </font>
    <font>
      <b/>
      <sz val="8"/>
      <name val="Tahoma"/>
      <family val="0"/>
    </font>
    <font>
      <sz val="8"/>
      <name val="Tahoma"/>
      <family val="0"/>
    </font>
    <font>
      <sz val="10"/>
      <color indexed="10"/>
      <name val="Arial CE"/>
      <family val="2"/>
    </font>
    <font>
      <sz val="6"/>
      <name val="Arial CE"/>
      <family val="2"/>
    </font>
    <font>
      <b/>
      <sz val="6"/>
      <name val="Arial CE"/>
      <family val="2"/>
    </font>
    <font>
      <sz val="10"/>
      <name val="Arial"/>
      <family val="2"/>
    </font>
    <font>
      <sz val="9"/>
      <name val="Arial Narrow"/>
      <family val="2"/>
    </font>
    <font>
      <sz val="11.5"/>
      <name val="Arial CE"/>
      <family val="0"/>
    </font>
    <font>
      <sz val="10.75"/>
      <name val="Arial CE"/>
      <family val="0"/>
    </font>
    <font>
      <b/>
      <sz val="6.25"/>
      <name val="Arial CE"/>
      <family val="2"/>
    </font>
    <font>
      <sz val="11.75"/>
      <name val="Arial CE"/>
      <family val="0"/>
    </font>
    <font>
      <sz val="11.25"/>
      <name val="Arial CE"/>
      <family val="0"/>
    </font>
    <font>
      <b/>
      <sz val="6.5"/>
      <name val="Arial CE"/>
      <family val="2"/>
    </font>
    <font>
      <sz val="8"/>
      <name val="Helv"/>
      <family val="0"/>
    </font>
    <font>
      <sz val="10"/>
      <color indexed="8"/>
      <name val="Arial"/>
      <family val="0"/>
    </font>
    <font>
      <sz val="8"/>
      <color indexed="8"/>
      <name val="Arial"/>
      <family val="0"/>
    </font>
    <font>
      <b/>
      <sz val="8"/>
      <color indexed="8"/>
      <name val="Arial"/>
      <family val="0"/>
    </font>
    <font>
      <b/>
      <sz val="11"/>
      <name val="Arial CE"/>
      <family val="2"/>
    </font>
    <font>
      <b/>
      <sz val="8"/>
      <name val="Arial"/>
      <family val="2"/>
    </font>
    <font>
      <b/>
      <i/>
      <sz val="12"/>
      <name val="Courier New"/>
      <family val="3"/>
    </font>
    <font>
      <b/>
      <i/>
      <sz val="10"/>
      <name val="Arial CE"/>
      <family val="2"/>
    </font>
    <font>
      <b/>
      <sz val="11"/>
      <name val="Arial"/>
      <family val="2"/>
    </font>
    <font>
      <b/>
      <sz val="9"/>
      <name val="Arial CE"/>
      <family val="2"/>
    </font>
    <font>
      <sz val="9"/>
      <name val="Arial CE"/>
      <family val="2"/>
    </font>
    <font>
      <b/>
      <sz val="10"/>
      <color indexed="8"/>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93">
    <border>
      <left/>
      <right/>
      <top/>
      <bottom/>
      <diagonal/>
    </border>
    <border>
      <left style="thin"/>
      <right style="thin"/>
      <top style="thin"/>
      <bottom style="thin"/>
    </border>
    <border>
      <left style="thin"/>
      <right style="thin"/>
      <top>
        <color indexed="63"/>
      </top>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style="medium"/>
      <top style="medium"/>
      <bottom>
        <color indexed="63"/>
      </bottom>
    </border>
    <border>
      <left style="medium"/>
      <right style="thin"/>
      <top style="thin"/>
      <bottom style="thin"/>
    </border>
    <border>
      <left style="thin"/>
      <right style="medium"/>
      <top>
        <color indexed="63"/>
      </top>
      <bottom style="medium"/>
    </border>
    <border>
      <left style="medium"/>
      <right style="thin"/>
      <top>
        <color indexed="63"/>
      </top>
      <bottom style="thin"/>
    </border>
    <border>
      <left style="medium"/>
      <right style="thin"/>
      <top style="thin"/>
      <bottom style="medium"/>
    </border>
    <border>
      <left>
        <color indexed="63"/>
      </left>
      <right style="thin"/>
      <top style="thin"/>
      <bottom>
        <color indexed="63"/>
      </bottom>
    </border>
    <border>
      <left>
        <color indexed="63"/>
      </left>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style="thin"/>
      <top style="medium"/>
      <bottom style="medium"/>
    </border>
    <border>
      <left style="medium"/>
      <right style="medium"/>
      <top>
        <color indexed="63"/>
      </top>
      <bottom style="thin"/>
    </border>
    <border>
      <left>
        <color indexed="63"/>
      </left>
      <right style="thin"/>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medium"/>
      <bottom style="thin"/>
    </border>
    <border>
      <left style="medium"/>
      <right style="thin"/>
      <top style="medium"/>
      <bottom style="thin"/>
    </border>
    <border>
      <left style="medium"/>
      <right style="medium"/>
      <top style="medium"/>
      <bottom style="medium"/>
    </border>
    <border>
      <left style="medium"/>
      <right style="medium"/>
      <top style="thin"/>
      <bottom style="medium"/>
    </border>
    <border>
      <left style="thin"/>
      <right style="medium"/>
      <top style="medium"/>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style="medium"/>
      <right style="thin"/>
      <top>
        <color indexed="63"/>
      </top>
      <bottom style="medium"/>
    </border>
    <border>
      <left style="medium"/>
      <right style="thin"/>
      <top style="medium"/>
      <bottom style="medium"/>
    </border>
    <border>
      <left style="medium"/>
      <right style="medium"/>
      <top>
        <color indexed="63"/>
      </top>
      <bottom>
        <color indexed="63"/>
      </bottom>
    </border>
    <border>
      <left style="thin"/>
      <right>
        <color indexed="63"/>
      </right>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medium"/>
      <right>
        <color indexed="63"/>
      </right>
      <top style="medium"/>
      <bottom>
        <color indexed="63"/>
      </bottom>
    </border>
    <border>
      <left style="medium"/>
      <right>
        <color indexed="63"/>
      </right>
      <top style="thin"/>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color indexed="63"/>
      </left>
      <right>
        <color indexed="63"/>
      </right>
      <top style="medium"/>
      <bottom style="thin"/>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color indexed="63"/>
      </right>
      <top style="thin"/>
      <bottom style="medium"/>
    </border>
    <border>
      <left style="medium"/>
      <right style="thin"/>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thin"/>
      <right style="thin"/>
      <top style="medium"/>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color indexed="63"/>
      </right>
      <top>
        <color indexed="63"/>
      </top>
      <bottom style="medium">
        <color indexed="8"/>
      </bottom>
    </border>
    <border>
      <left style="medium"/>
      <right>
        <color indexed="63"/>
      </right>
      <top style="medium"/>
      <bottom style="double"/>
    </border>
    <border>
      <left style="medium"/>
      <right style="thin"/>
      <top style="medium"/>
      <bottom style="double"/>
    </border>
    <border>
      <left style="thin"/>
      <right style="thin"/>
      <top style="medium"/>
      <bottom style="double"/>
    </border>
    <border>
      <left style="thin"/>
      <right>
        <color indexed="63"/>
      </right>
      <top style="medium"/>
      <bottom style="double"/>
    </border>
    <border>
      <left style="medium"/>
      <right style="medium"/>
      <top style="medium"/>
      <bottom style="double"/>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medium"/>
      <right style="medium"/>
      <top style="medium"/>
      <bottom>
        <color indexed="63"/>
      </botto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color indexed="63"/>
      </bottom>
    </border>
  </borders>
  <cellStyleXfs count="34">
    <xf numFmtId="0" fontId="1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0" fontId="0" fillId="0" borderId="0">
      <alignment/>
      <protection/>
    </xf>
    <xf numFmtId="0" fontId="23"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3" fontId="4" fillId="0" borderId="1">
      <alignment horizontal="center" vertical="center" wrapText="1"/>
      <protection/>
    </xf>
    <xf numFmtId="3" fontId="4" fillId="0" borderId="1">
      <alignment horizontal="center" vertical="center" wrapText="1"/>
      <protection/>
    </xf>
    <xf numFmtId="9" fontId="0" fillId="0" borderId="0" applyFont="0" applyFill="0" applyBorder="0" applyAlignment="0" applyProtection="0"/>
    <xf numFmtId="0" fontId="13" fillId="0" borderId="0" applyNumberFormat="0" applyFill="0" applyBorder="0" applyAlignment="0" applyProtection="0"/>
  </cellStyleXfs>
  <cellXfs count="1848">
    <xf numFmtId="0" fontId="0" fillId="0" borderId="0" xfId="0" applyAlignment="1">
      <alignment/>
    </xf>
    <xf numFmtId="0" fontId="3" fillId="2" borderId="2" xfId="0" applyFont="1" applyFill="1" applyBorder="1" applyAlignment="1">
      <alignment horizontal="center" vertical="center" wrapText="1"/>
    </xf>
    <xf numFmtId="3" fontId="3" fillId="0" borderId="3" xfId="0" applyNumberFormat="1" applyFont="1" applyBorder="1" applyAlignment="1">
      <alignment vertical="center"/>
    </xf>
    <xf numFmtId="3" fontId="3" fillId="0" borderId="4" xfId="0" applyNumberFormat="1" applyFont="1" applyBorder="1" applyAlignment="1">
      <alignment vertical="center"/>
    </xf>
    <xf numFmtId="3" fontId="3" fillId="0" borderId="1" xfId="0" applyNumberFormat="1" applyFont="1" applyBorder="1" applyAlignment="1">
      <alignment vertical="center"/>
    </xf>
    <xf numFmtId="3" fontId="3" fillId="0" borderId="5" xfId="0" applyNumberFormat="1" applyFont="1" applyBorder="1" applyAlignment="1">
      <alignment vertical="center"/>
    </xf>
    <xf numFmtId="3"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vertical="center"/>
    </xf>
    <xf numFmtId="3" fontId="3" fillId="0" borderId="9" xfId="0" applyNumberFormat="1" applyFont="1" applyBorder="1" applyAlignment="1">
      <alignment vertical="center"/>
    </xf>
    <xf numFmtId="0" fontId="3" fillId="2" borderId="10" xfId="0" applyFont="1" applyFill="1" applyBorder="1" applyAlignment="1">
      <alignment horizontal="center" vertical="center" wrapText="1"/>
    </xf>
    <xf numFmtId="3" fontId="3" fillId="0" borderId="11" xfId="0" applyNumberFormat="1" applyFont="1" applyBorder="1" applyAlignment="1">
      <alignment vertical="center"/>
    </xf>
    <xf numFmtId="3" fontId="3" fillId="0" borderId="12" xfId="0" applyNumberFormat="1" applyFont="1" applyBorder="1" applyAlignment="1">
      <alignment vertical="center"/>
    </xf>
    <xf numFmtId="3" fontId="3" fillId="0" borderId="13" xfId="0" applyNumberFormat="1" applyFont="1" applyBorder="1" applyAlignment="1">
      <alignment vertical="center"/>
    </xf>
    <xf numFmtId="3" fontId="3" fillId="0" borderId="14" xfId="0" applyNumberFormat="1" applyFont="1" applyBorder="1" applyAlignment="1">
      <alignment vertical="center"/>
    </xf>
    <xf numFmtId="3" fontId="5" fillId="2" borderId="15" xfId="0" applyNumberFormat="1" applyFont="1" applyFill="1" applyBorder="1" applyAlignment="1">
      <alignment vertical="center"/>
    </xf>
    <xf numFmtId="0" fontId="1" fillId="0" borderId="0" xfId="0" applyFont="1" applyAlignment="1">
      <alignment/>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0" fontId="4" fillId="0" borderId="0" xfId="0" applyFont="1" applyAlignment="1">
      <alignment horizontal="right"/>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xf>
    <xf numFmtId="0" fontId="0" fillId="0" borderId="0" xfId="0" applyAlignment="1">
      <alignment vertical="center"/>
    </xf>
    <xf numFmtId="3"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3" fontId="3" fillId="0" borderId="21" xfId="0" applyNumberFormat="1" applyFont="1" applyBorder="1" applyAlignment="1">
      <alignment vertical="center"/>
    </xf>
    <xf numFmtId="3" fontId="3" fillId="0" borderId="22" xfId="0" applyNumberFormat="1" applyFont="1" applyBorder="1" applyAlignment="1">
      <alignment vertical="center"/>
    </xf>
    <xf numFmtId="3" fontId="3" fillId="0" borderId="23" xfId="0" applyNumberFormat="1" applyFont="1" applyBorder="1" applyAlignment="1">
      <alignment vertical="center"/>
    </xf>
    <xf numFmtId="3" fontId="3" fillId="0" borderId="24" xfId="0" applyNumberFormat="1" applyFont="1" applyBorder="1" applyAlignment="1">
      <alignment vertical="center"/>
    </xf>
    <xf numFmtId="3" fontId="3" fillId="0" borderId="25" xfId="0" applyNumberFormat="1" applyFont="1" applyBorder="1" applyAlignment="1">
      <alignment vertical="center"/>
    </xf>
    <xf numFmtId="3" fontId="3" fillId="0" borderId="3" xfId="0" applyNumberFormat="1" applyFont="1" applyFill="1" applyBorder="1" applyAlignment="1">
      <alignment vertical="center"/>
    </xf>
    <xf numFmtId="3" fontId="3" fillId="0" borderId="1" xfId="0" applyNumberFormat="1" applyFont="1" applyFill="1" applyBorder="1" applyAlignment="1">
      <alignment vertical="center"/>
    </xf>
    <xf numFmtId="3" fontId="3" fillId="0" borderId="8" xfId="0" applyNumberFormat="1" applyFont="1" applyFill="1" applyBorder="1" applyAlignment="1">
      <alignment vertical="center"/>
    </xf>
    <xf numFmtId="3" fontId="3" fillId="2" borderId="26" xfId="0" applyNumberFormat="1" applyFont="1" applyFill="1" applyBorder="1" applyAlignment="1">
      <alignment vertical="center"/>
    </xf>
    <xf numFmtId="14" fontId="3" fillId="0" borderId="27" xfId="0" applyNumberFormat="1" applyFont="1" applyFill="1" applyBorder="1" applyAlignment="1">
      <alignment horizontal="center" vertical="center"/>
    </xf>
    <xf numFmtId="3" fontId="3" fillId="0" borderId="28" xfId="0" applyNumberFormat="1" applyFont="1" applyFill="1" applyBorder="1" applyAlignment="1">
      <alignment vertical="center"/>
    </xf>
    <xf numFmtId="14" fontId="3" fillId="0" borderId="29" xfId="0" applyNumberFormat="1" applyFont="1" applyFill="1" applyBorder="1" applyAlignment="1">
      <alignment horizontal="center" vertical="center"/>
    </xf>
    <xf numFmtId="3" fontId="3" fillId="0" borderId="24" xfId="0" applyNumberFormat="1" applyFont="1" applyFill="1" applyBorder="1" applyAlignment="1">
      <alignment vertical="center"/>
    </xf>
    <xf numFmtId="14" fontId="3" fillId="0" borderId="30" xfId="0" applyNumberFormat="1" applyFont="1" applyFill="1" applyBorder="1" applyAlignment="1">
      <alignment horizontal="center" vertical="center"/>
    </xf>
    <xf numFmtId="3" fontId="3" fillId="0" borderId="18" xfId="0" applyNumberFormat="1" applyFont="1" applyFill="1" applyBorder="1" applyAlignment="1">
      <alignment vertical="center"/>
    </xf>
    <xf numFmtId="14" fontId="3" fillId="0" borderId="31" xfId="0" applyNumberFormat="1" applyFont="1" applyFill="1" applyBorder="1" applyAlignment="1">
      <alignment horizontal="center" vertical="center"/>
    </xf>
    <xf numFmtId="3" fontId="3" fillId="0" borderId="3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14" xfId="0" applyNumberFormat="1" applyFont="1" applyFill="1" applyBorder="1" applyAlignment="1">
      <alignment vertical="center"/>
    </xf>
    <xf numFmtId="14" fontId="3" fillId="0" borderId="33" xfId="0" applyNumberFormat="1" applyFont="1" applyFill="1" applyBorder="1" applyAlignment="1">
      <alignment horizontal="center" vertical="center"/>
    </xf>
    <xf numFmtId="14" fontId="3" fillId="0" borderId="34" xfId="0" applyNumberFormat="1" applyFont="1" applyFill="1" applyBorder="1" applyAlignment="1">
      <alignment horizontal="center" vertical="center"/>
    </xf>
    <xf numFmtId="14" fontId="3" fillId="0" borderId="35" xfId="0" applyNumberFormat="1" applyFont="1" applyFill="1" applyBorder="1" applyAlignment="1">
      <alignment horizontal="center" vertical="center"/>
    </xf>
    <xf numFmtId="3" fontId="3" fillId="0" borderId="16" xfId="0" applyNumberFormat="1" applyFont="1" applyFill="1" applyBorder="1" applyAlignment="1">
      <alignment vertical="center"/>
    </xf>
    <xf numFmtId="3" fontId="3" fillId="0" borderId="5" xfId="0" applyNumberFormat="1" applyFont="1" applyFill="1" applyBorder="1" applyAlignment="1">
      <alignment vertical="center"/>
    </xf>
    <xf numFmtId="3" fontId="3" fillId="0" borderId="20" xfId="0" applyNumberFormat="1" applyFont="1" applyFill="1" applyBorder="1" applyAlignment="1">
      <alignment vertical="center"/>
    </xf>
    <xf numFmtId="0" fontId="3" fillId="2" borderId="21" xfId="0" applyFont="1" applyFill="1" applyBorder="1" applyAlignment="1">
      <alignment horizontal="center" vertical="center" wrapText="1"/>
    </xf>
    <xf numFmtId="0" fontId="0" fillId="0" borderId="0" xfId="0" applyBorder="1" applyAlignment="1">
      <alignment vertical="top"/>
    </xf>
    <xf numFmtId="14" fontId="3" fillId="0" borderId="0" xfId="0" applyNumberFormat="1" applyFont="1" applyFill="1" applyBorder="1" applyAlignment="1">
      <alignment horizontal="center"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right" vertical="center" wrapText="1"/>
    </xf>
    <xf numFmtId="0" fontId="3" fillId="2" borderId="36" xfId="0" applyFont="1" applyFill="1" applyBorder="1" applyAlignment="1">
      <alignment horizontal="center" vertical="center" wrapText="1"/>
    </xf>
    <xf numFmtId="3" fontId="3" fillId="0" borderId="37" xfId="0" applyNumberFormat="1" applyFont="1" applyBorder="1" applyAlignment="1">
      <alignment vertical="center"/>
    </xf>
    <xf numFmtId="3" fontId="3" fillId="0" borderId="38" xfId="0" applyNumberFormat="1" applyFont="1" applyBorder="1" applyAlignment="1">
      <alignment vertical="center"/>
    </xf>
    <xf numFmtId="3" fontId="3" fillId="0" borderId="39" xfId="0" applyNumberFormat="1" applyFont="1" applyBorder="1" applyAlignment="1">
      <alignment vertical="center"/>
    </xf>
    <xf numFmtId="3" fontId="3" fillId="0" borderId="36" xfId="0" applyNumberFormat="1" applyFont="1" applyBorder="1" applyAlignment="1">
      <alignment vertical="center"/>
    </xf>
    <xf numFmtId="3" fontId="3" fillId="0" borderId="40" xfId="0" applyNumberFormat="1" applyFont="1" applyBorder="1" applyAlignment="1">
      <alignment vertical="center"/>
    </xf>
    <xf numFmtId="3" fontId="3" fillId="0" borderId="28" xfId="0" applyNumberFormat="1" applyFont="1" applyBorder="1" applyAlignment="1">
      <alignment vertical="center"/>
    </xf>
    <xf numFmtId="0" fontId="3" fillId="2" borderId="17" xfId="0" applyFont="1" applyFill="1" applyBorder="1" applyAlignment="1">
      <alignment horizontal="center" vertical="center" wrapText="1"/>
    </xf>
    <xf numFmtId="0" fontId="3" fillId="2" borderId="7" xfId="0" applyFont="1" applyFill="1" applyBorder="1" applyAlignment="1">
      <alignment horizontal="center" vertical="center" wrapText="1"/>
    </xf>
    <xf numFmtId="3" fontId="3" fillId="0" borderId="41" xfId="0" applyNumberFormat="1" applyFont="1" applyBorder="1" applyAlignment="1">
      <alignment vertical="center"/>
    </xf>
    <xf numFmtId="0" fontId="1" fillId="0" borderId="0" xfId="0" applyFont="1" applyBorder="1" applyAlignment="1">
      <alignment/>
    </xf>
    <xf numFmtId="0" fontId="4" fillId="0" borderId="0" xfId="0" applyFont="1" applyBorder="1" applyAlignment="1">
      <alignment/>
    </xf>
    <xf numFmtId="0" fontId="3" fillId="2" borderId="6" xfId="0" applyFont="1" applyFill="1" applyBorder="1" applyAlignment="1">
      <alignment horizontal="center" vertical="center" wrapText="1"/>
    </xf>
    <xf numFmtId="3" fontId="5" fillId="0" borderId="4" xfId="0" applyNumberFormat="1" applyFont="1" applyFill="1" applyBorder="1" applyAlignment="1">
      <alignment horizontal="right" vertical="center" wrapText="1"/>
    </xf>
    <xf numFmtId="3" fontId="5" fillId="0" borderId="15" xfId="0" applyNumberFormat="1" applyFont="1" applyFill="1" applyBorder="1" applyAlignment="1">
      <alignment horizontal="right" vertical="center" wrapText="1"/>
    </xf>
    <xf numFmtId="3" fontId="5" fillId="0" borderId="4" xfId="0" applyNumberFormat="1" applyFont="1" applyFill="1" applyBorder="1" applyAlignment="1">
      <alignment vertical="center"/>
    </xf>
    <xf numFmtId="3" fontId="5" fillId="0" borderId="5" xfId="0" applyNumberFormat="1" applyFont="1" applyFill="1" applyBorder="1" applyAlignment="1">
      <alignment vertical="center"/>
    </xf>
    <xf numFmtId="3" fontId="5" fillId="0" borderId="7" xfId="0" applyNumberFormat="1" applyFont="1" applyFill="1" applyBorder="1" applyAlignment="1">
      <alignment vertical="center"/>
    </xf>
    <xf numFmtId="3" fontId="5" fillId="0" borderId="11" xfId="0" applyNumberFormat="1" applyFont="1" applyFill="1" applyBorder="1" applyAlignment="1">
      <alignment vertical="center"/>
    </xf>
    <xf numFmtId="3" fontId="5" fillId="0" borderId="12" xfId="0" applyNumberFormat="1" applyFont="1" applyFill="1" applyBorder="1" applyAlignment="1">
      <alignment vertical="center"/>
    </xf>
    <xf numFmtId="3" fontId="5" fillId="0" borderId="36" xfId="0" applyNumberFormat="1" applyFont="1" applyFill="1" applyBorder="1" applyAlignment="1">
      <alignment vertical="center"/>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0" fontId="0" fillId="0" borderId="0" xfId="0" applyBorder="1" applyAlignment="1">
      <alignment/>
    </xf>
    <xf numFmtId="3" fontId="3" fillId="0" borderId="29" xfId="0" applyNumberFormat="1" applyFont="1" applyFill="1" applyBorder="1" applyAlignment="1">
      <alignment vertical="center"/>
    </xf>
    <xf numFmtId="14" fontId="3" fillId="0" borderId="0" xfId="0" applyNumberFormat="1" applyFont="1" applyFill="1" applyBorder="1" applyAlignment="1">
      <alignment horizontal="left" vertical="center"/>
    </xf>
    <xf numFmtId="3" fontId="3" fillId="2" borderId="42" xfId="0" applyNumberFormat="1" applyFont="1" applyFill="1" applyBorder="1" applyAlignment="1">
      <alignment vertical="center"/>
    </xf>
    <xf numFmtId="3" fontId="3" fillId="0" borderId="43" xfId="0" applyNumberFormat="1" applyFont="1" applyBorder="1" applyAlignment="1">
      <alignment/>
    </xf>
    <xf numFmtId="3" fontId="3" fillId="2" borderId="44" xfId="0" applyNumberFormat="1" applyFont="1" applyFill="1" applyBorder="1" applyAlignment="1">
      <alignmen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3" fontId="3" fillId="0" borderId="23" xfId="0" applyNumberFormat="1" applyFont="1" applyFill="1" applyBorder="1" applyAlignment="1">
      <alignment vertical="center"/>
    </xf>
    <xf numFmtId="3" fontId="4" fillId="0" borderId="0" xfId="0" applyNumberFormat="1" applyFont="1" applyAlignment="1">
      <alignment/>
    </xf>
    <xf numFmtId="0" fontId="3" fillId="2" borderId="45" xfId="0" applyFont="1" applyFill="1" applyBorder="1" applyAlignment="1">
      <alignment horizontal="center" vertical="center" wrapText="1"/>
    </xf>
    <xf numFmtId="0" fontId="3" fillId="2" borderId="10" xfId="0" applyFont="1" applyFill="1" applyBorder="1" applyAlignment="1" quotePrefix="1">
      <alignment horizontal="center" vertical="center"/>
    </xf>
    <xf numFmtId="0" fontId="10" fillId="0" borderId="3" xfId="0" applyFont="1" applyBorder="1" applyAlignment="1">
      <alignment horizontal="right" vertical="center"/>
    </xf>
    <xf numFmtId="0" fontId="10" fillId="0" borderId="11" xfId="0" applyFont="1" applyBorder="1" applyAlignment="1">
      <alignment horizontal="center" vertical="center"/>
    </xf>
    <xf numFmtId="0" fontId="3" fillId="0" borderId="11" xfId="0" applyFont="1" applyBorder="1" applyAlignment="1">
      <alignment vertical="center"/>
    </xf>
    <xf numFmtId="164" fontId="10" fillId="0" borderId="33" xfId="0" applyNumberFormat="1" applyFont="1" applyBorder="1" applyAlignment="1">
      <alignment horizontal="right" vertical="center"/>
    </xf>
    <xf numFmtId="164" fontId="10" fillId="0" borderId="11" xfId="0" applyNumberFormat="1" applyFont="1" applyBorder="1" applyAlignment="1">
      <alignment horizontal="right" vertical="center"/>
    </xf>
    <xf numFmtId="0" fontId="3" fillId="0" borderId="4" xfId="0" applyFont="1" applyBorder="1" applyAlignment="1">
      <alignment vertical="center"/>
    </xf>
    <xf numFmtId="0" fontId="10" fillId="0" borderId="1" xfId="0" applyFont="1" applyBorder="1" applyAlignment="1">
      <alignment horizontal="right" vertical="center"/>
    </xf>
    <xf numFmtId="0" fontId="3" fillId="0" borderId="12" xfId="0" applyFont="1" applyBorder="1" applyAlignment="1">
      <alignment vertical="center"/>
    </xf>
    <xf numFmtId="164" fontId="10" fillId="0" borderId="34" xfId="0" applyNumberFormat="1" applyFont="1" applyBorder="1" applyAlignment="1">
      <alignment horizontal="right" vertical="center"/>
    </xf>
    <xf numFmtId="0" fontId="3" fillId="0" borderId="5" xfId="0" applyFont="1" applyBorder="1" applyAlignment="1">
      <alignment vertical="center"/>
    </xf>
    <xf numFmtId="0" fontId="10" fillId="0" borderId="8" xfId="0" applyFont="1" applyBorder="1" applyAlignment="1">
      <alignment horizontal="right" vertical="center"/>
    </xf>
    <xf numFmtId="0" fontId="3" fillId="0" borderId="39" xfId="0" applyFont="1" applyBorder="1" applyAlignment="1">
      <alignment vertical="center"/>
    </xf>
    <xf numFmtId="164" fontId="10" fillId="0" borderId="35" xfId="0" applyNumberFormat="1" applyFont="1" applyBorder="1" applyAlignment="1">
      <alignment horizontal="right" vertical="center"/>
    </xf>
    <xf numFmtId="0" fontId="3" fillId="0" borderId="21" xfId="0" applyFont="1" applyBorder="1" applyAlignment="1">
      <alignment vertical="center"/>
    </xf>
    <xf numFmtId="0" fontId="3" fillId="2" borderId="46" xfId="0" applyFont="1" applyFill="1" applyBorder="1" applyAlignment="1">
      <alignment horizontal="right" vertical="center" wrapText="1"/>
    </xf>
    <xf numFmtId="164" fontId="10" fillId="2" borderId="47" xfId="0" applyNumberFormat="1" applyFont="1" applyFill="1" applyBorder="1" applyAlignment="1">
      <alignment horizontal="right" vertical="center"/>
    </xf>
    <xf numFmtId="0" fontId="3" fillId="2" borderId="15" xfId="0" applyFont="1" applyFill="1" applyBorder="1" applyAlignment="1" quotePrefix="1">
      <alignment horizontal="center" vertical="center"/>
    </xf>
    <xf numFmtId="164" fontId="10" fillId="0" borderId="4" xfId="0" applyNumberFormat="1" applyFont="1" applyBorder="1" applyAlignment="1">
      <alignment horizontal="right" vertical="center"/>
    </xf>
    <xf numFmtId="164" fontId="10" fillId="0" borderId="5" xfId="0" applyNumberFormat="1" applyFont="1" applyBorder="1" applyAlignment="1">
      <alignment horizontal="right" vertical="center"/>
    </xf>
    <xf numFmtId="164" fontId="10" fillId="0" borderId="21" xfId="0" applyNumberFormat="1" applyFont="1" applyBorder="1" applyAlignment="1">
      <alignment horizontal="right" vertical="center"/>
    </xf>
    <xf numFmtId="164" fontId="10" fillId="2" borderId="44" xfId="0" applyNumberFormat="1" applyFont="1" applyFill="1" applyBorder="1" applyAlignment="1">
      <alignment horizontal="right" vertical="center"/>
    </xf>
    <xf numFmtId="0" fontId="10" fillId="0" borderId="38" xfId="0" applyFont="1" applyBorder="1" applyAlignment="1">
      <alignment horizontal="center" vertical="center"/>
    </xf>
    <xf numFmtId="3" fontId="3" fillId="0" borderId="48" xfId="0" applyNumberFormat="1" applyFont="1" applyBorder="1" applyAlignment="1">
      <alignment vertical="center"/>
    </xf>
    <xf numFmtId="3" fontId="3" fillId="0" borderId="2" xfId="0" applyNumberFormat="1" applyFont="1" applyBorder="1" applyAlignment="1">
      <alignment vertical="center"/>
    </xf>
    <xf numFmtId="3" fontId="3" fillId="0" borderId="15" xfId="0" applyNumberFormat="1"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2" borderId="49" xfId="0" applyFont="1" applyFill="1" applyBorder="1" applyAlignment="1">
      <alignment vertical="center"/>
    </xf>
    <xf numFmtId="0" fontId="3" fillId="2" borderId="26" xfId="0" applyFont="1" applyFill="1" applyBorder="1" applyAlignment="1">
      <alignment vertical="center"/>
    </xf>
    <xf numFmtId="0" fontId="3" fillId="0" borderId="3" xfId="0" applyFont="1" applyBorder="1" applyAlignment="1">
      <alignment vertical="center"/>
    </xf>
    <xf numFmtId="164" fontId="3" fillId="0" borderId="33" xfId="0" applyNumberFormat="1" applyFont="1" applyBorder="1" applyAlignment="1">
      <alignment vertical="center"/>
    </xf>
    <xf numFmtId="164" fontId="3" fillId="0" borderId="11" xfId="0" applyNumberFormat="1" applyFont="1" applyBorder="1" applyAlignment="1">
      <alignment vertical="center"/>
    </xf>
    <xf numFmtId="164" fontId="3" fillId="0" borderId="34" xfId="0" applyNumberFormat="1" applyFont="1" applyBorder="1" applyAlignment="1">
      <alignment vertical="center"/>
    </xf>
    <xf numFmtId="164" fontId="3" fillId="0" borderId="12" xfId="0" applyNumberFormat="1" applyFont="1" applyBorder="1" applyAlignment="1">
      <alignment vertical="center"/>
    </xf>
    <xf numFmtId="164" fontId="3" fillId="0" borderId="35" xfId="0" applyNumberFormat="1" applyFont="1" applyBorder="1" applyAlignment="1">
      <alignment vertical="center"/>
    </xf>
    <xf numFmtId="164" fontId="3" fillId="0" borderId="39" xfId="0" applyNumberFormat="1" applyFont="1" applyBorder="1" applyAlignment="1">
      <alignment vertical="center"/>
    </xf>
    <xf numFmtId="164" fontId="3" fillId="2" borderId="47" xfId="0" applyNumberFormat="1" applyFont="1" applyFill="1" applyBorder="1" applyAlignment="1">
      <alignment vertical="center"/>
    </xf>
    <xf numFmtId="3" fontId="3" fillId="0" borderId="9" xfId="0" applyNumberFormat="1" applyFont="1" applyFill="1" applyBorder="1" applyAlignment="1">
      <alignment vertical="center"/>
    </xf>
    <xf numFmtId="3" fontId="3" fillId="0" borderId="27" xfId="0" applyNumberFormat="1" applyFont="1" applyBorder="1" applyAlignment="1">
      <alignment vertical="center"/>
    </xf>
    <xf numFmtId="0" fontId="0" fillId="0" borderId="0" xfId="0" applyAlignment="1">
      <alignment horizontal="center"/>
    </xf>
    <xf numFmtId="0" fontId="3" fillId="2" borderId="49"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0" borderId="0" xfId="0" applyFont="1" applyAlignment="1">
      <alignment/>
    </xf>
    <xf numFmtId="0" fontId="0" fillId="0" borderId="0" xfId="0" applyAlignment="1">
      <alignment horizontal="right"/>
    </xf>
    <xf numFmtId="0" fontId="0" fillId="0" borderId="0" xfId="0" applyAlignment="1">
      <alignment horizontal="center" vertical="center"/>
    </xf>
    <xf numFmtId="0" fontId="4" fillId="0" borderId="0" xfId="0" applyFont="1" applyAlignment="1">
      <alignment horizontal="center" vertical="center"/>
    </xf>
    <xf numFmtId="0" fontId="10" fillId="0" borderId="14" xfId="0" applyFont="1" applyBorder="1" applyAlignment="1">
      <alignment horizontal="right" vertical="center"/>
    </xf>
    <xf numFmtId="3" fontId="10" fillId="0" borderId="12" xfId="0" applyNumberFormat="1" applyFont="1" applyBorder="1" applyAlignment="1">
      <alignment horizontal="right" vertical="center"/>
    </xf>
    <xf numFmtId="0" fontId="10" fillId="0" borderId="20" xfId="0" applyFont="1" applyBorder="1" applyAlignment="1">
      <alignment horizontal="right" vertical="center"/>
    </xf>
    <xf numFmtId="3" fontId="10" fillId="0" borderId="39" xfId="0" applyNumberFormat="1" applyFont="1" applyBorder="1" applyAlignment="1">
      <alignment horizontal="right" vertical="center"/>
    </xf>
    <xf numFmtId="0" fontId="7" fillId="0" borderId="0" xfId="0" applyFont="1" applyAlignment="1">
      <alignment vertical="center"/>
    </xf>
    <xf numFmtId="0" fontId="4" fillId="0" borderId="0" xfId="0" applyFont="1" applyAlignment="1">
      <alignment vertical="center"/>
    </xf>
    <xf numFmtId="0" fontId="0" fillId="0" borderId="0" xfId="0" applyBorder="1" applyAlignment="1">
      <alignment/>
    </xf>
    <xf numFmtId="3" fontId="10" fillId="0" borderId="12" xfId="0" applyNumberFormat="1" applyFont="1" applyBorder="1" applyAlignment="1">
      <alignment horizontal="center" vertical="center"/>
    </xf>
    <xf numFmtId="1" fontId="0" fillId="0" borderId="0" xfId="0" applyNumberFormat="1" applyAlignment="1">
      <alignment horizontal="center"/>
    </xf>
    <xf numFmtId="1" fontId="14" fillId="0" borderId="0" xfId="0" applyNumberFormat="1" applyFont="1" applyAlignment="1">
      <alignment horizontal="center"/>
    </xf>
    <xf numFmtId="0" fontId="10" fillId="0" borderId="16" xfId="0" applyFont="1" applyBorder="1" applyAlignment="1">
      <alignment horizontal="right" vertical="center"/>
    </xf>
    <xf numFmtId="3" fontId="10" fillId="0" borderId="11" xfId="0" applyNumberFormat="1" applyFont="1" applyBorder="1" applyAlignment="1">
      <alignment horizontal="right" vertical="center"/>
    </xf>
    <xf numFmtId="0" fontId="3" fillId="2" borderId="36" xfId="0" applyFont="1" applyFill="1" applyBorder="1" applyAlignment="1" quotePrefix="1">
      <alignment horizontal="center" vertical="center"/>
    </xf>
    <xf numFmtId="0" fontId="3" fillId="2" borderId="7" xfId="0" applyFont="1" applyFill="1" applyBorder="1" applyAlignment="1" quotePrefix="1">
      <alignment horizontal="center" vertical="center"/>
    </xf>
    <xf numFmtId="0" fontId="0" fillId="0" borderId="0" xfId="0" applyFont="1" applyAlignment="1">
      <alignment/>
    </xf>
    <xf numFmtId="0" fontId="3" fillId="0" borderId="0" xfId="0" applyFont="1" applyBorder="1" applyAlignment="1">
      <alignment/>
    </xf>
    <xf numFmtId="0" fontId="3" fillId="2" borderId="48" xfId="0" applyFont="1" applyFill="1" applyBorder="1" applyAlignment="1">
      <alignment horizontal="center" vertical="center" wrapText="1"/>
    </xf>
    <xf numFmtId="0" fontId="3" fillId="2" borderId="44" xfId="0" applyFont="1" applyFill="1" applyBorder="1" applyAlignment="1" quotePrefix="1">
      <alignment horizontal="center" vertical="center"/>
    </xf>
    <xf numFmtId="0" fontId="3" fillId="2" borderId="39" xfId="0" applyFont="1" applyFill="1" applyBorder="1" applyAlignment="1">
      <alignment horizontal="center" vertical="center" wrapText="1"/>
    </xf>
    <xf numFmtId="0" fontId="3" fillId="2" borderId="46" xfId="0" applyFont="1" applyFill="1" applyBorder="1" applyAlignment="1">
      <alignment horizontal="center" vertical="center" wrapText="1"/>
    </xf>
    <xf numFmtId="3" fontId="3" fillId="0" borderId="27" xfId="0" applyNumberFormat="1" applyFont="1" applyFill="1" applyBorder="1" applyAlignment="1">
      <alignment vertical="center"/>
    </xf>
    <xf numFmtId="3" fontId="3" fillId="0" borderId="39" xfId="0" applyNumberFormat="1" applyFont="1" applyFill="1" applyBorder="1" applyAlignment="1">
      <alignment vertical="center"/>
    </xf>
    <xf numFmtId="14" fontId="3" fillId="0" borderId="50" xfId="0" applyNumberFormat="1" applyFont="1" applyFill="1" applyBorder="1" applyAlignment="1">
      <alignment horizontal="center" vertical="center"/>
    </xf>
    <xf numFmtId="0" fontId="3" fillId="2" borderId="42" xfId="0" applyFont="1" applyFill="1" applyBorder="1" applyAlignment="1">
      <alignment/>
    </xf>
    <xf numFmtId="0" fontId="3" fillId="2" borderId="42" xfId="0" applyFont="1" applyFill="1" applyBorder="1" applyAlignment="1">
      <alignment horizontal="left"/>
    </xf>
    <xf numFmtId="3" fontId="3" fillId="2" borderId="47" xfId="0" applyNumberFormat="1" applyFont="1" applyFill="1" applyBorder="1" applyAlignment="1">
      <alignment/>
    </xf>
    <xf numFmtId="3" fontId="3" fillId="2" borderId="26" xfId="0" applyNumberFormat="1" applyFont="1" applyFill="1" applyBorder="1" applyAlignment="1">
      <alignment/>
    </xf>
    <xf numFmtId="3" fontId="3" fillId="2" borderId="44" xfId="0" applyNumberFormat="1" applyFont="1" applyFill="1" applyBorder="1" applyAlignment="1">
      <alignment/>
    </xf>
    <xf numFmtId="0" fontId="3" fillId="0" borderId="0" xfId="0" applyFont="1" applyAlignment="1">
      <alignment horizontal="right"/>
    </xf>
    <xf numFmtId="3" fontId="3" fillId="0" borderId="31" xfId="0" applyNumberFormat="1" applyFont="1" applyFill="1" applyBorder="1" applyAlignment="1">
      <alignment vertical="center"/>
    </xf>
    <xf numFmtId="3" fontId="5" fillId="0" borderId="27" xfId="0" applyNumberFormat="1" applyFont="1" applyFill="1" applyBorder="1" applyAlignment="1">
      <alignment vertical="center"/>
    </xf>
    <xf numFmtId="3" fontId="3" fillId="0" borderId="51" xfId="0" applyNumberFormat="1" applyFont="1" applyBorder="1" applyAlignment="1">
      <alignment vertical="center"/>
    </xf>
    <xf numFmtId="3" fontId="5" fillId="2" borderId="52" xfId="0" applyNumberFormat="1" applyFont="1" applyFill="1" applyBorder="1" applyAlignment="1">
      <alignment vertical="center"/>
    </xf>
    <xf numFmtId="3" fontId="5" fillId="2" borderId="10" xfId="0" applyNumberFormat="1" applyFont="1" applyFill="1" applyBorder="1" applyAlignment="1">
      <alignment vertical="center"/>
    </xf>
    <xf numFmtId="3" fontId="3" fillId="0" borderId="53" xfId="0" applyNumberFormat="1" applyFont="1" applyBorder="1" applyAlignment="1">
      <alignment vertical="center"/>
    </xf>
    <xf numFmtId="3" fontId="3" fillId="0" borderId="54" xfId="0" applyNumberFormat="1" applyFont="1" applyBorder="1" applyAlignment="1">
      <alignment vertical="center"/>
    </xf>
    <xf numFmtId="0" fontId="0" fillId="0" borderId="0" xfId="0" applyAlignment="1">
      <alignment/>
    </xf>
    <xf numFmtId="3" fontId="10" fillId="0" borderId="5" xfId="0" applyNumberFormat="1" applyFont="1" applyBorder="1" applyAlignment="1">
      <alignment horizontal="center" vertical="center"/>
    </xf>
    <xf numFmtId="3" fontId="10" fillId="0" borderId="21" xfId="0" applyNumberFormat="1" applyFont="1" applyBorder="1" applyAlignment="1">
      <alignment horizontal="center" vertical="center"/>
    </xf>
    <xf numFmtId="3" fontId="10" fillId="2" borderId="46" xfId="0" applyNumberFormat="1" applyFont="1" applyFill="1" applyBorder="1" applyAlignment="1">
      <alignment vertical="center"/>
    </xf>
    <xf numFmtId="3" fontId="10" fillId="2" borderId="44" xfId="0" applyNumberFormat="1" applyFont="1" applyFill="1" applyBorder="1" applyAlignment="1">
      <alignment vertical="center"/>
    </xf>
    <xf numFmtId="3" fontId="3" fillId="0" borderId="55" xfId="0" applyNumberFormat="1" applyFont="1" applyBorder="1" applyAlignment="1">
      <alignment vertical="center"/>
    </xf>
    <xf numFmtId="3" fontId="5" fillId="2" borderId="45" xfId="0" applyNumberFormat="1" applyFont="1" applyFill="1" applyBorder="1" applyAlignment="1">
      <alignment vertical="center"/>
    </xf>
    <xf numFmtId="14" fontId="3" fillId="0" borderId="43" xfId="0" applyNumberFormat="1" applyFont="1" applyFill="1" applyBorder="1" applyAlignment="1">
      <alignment horizontal="center" vertical="center"/>
    </xf>
    <xf numFmtId="14" fontId="3" fillId="0" borderId="56" xfId="0" applyNumberFormat="1" applyFont="1" applyFill="1" applyBorder="1" applyAlignment="1">
      <alignment horizontal="center" vertical="center"/>
    </xf>
    <xf numFmtId="3" fontId="3" fillId="0" borderId="17" xfId="0" applyNumberFormat="1" applyFont="1" applyFill="1" applyBorder="1" applyAlignment="1">
      <alignment vertical="center"/>
    </xf>
    <xf numFmtId="3" fontId="3" fillId="0" borderId="6" xfId="0" applyNumberFormat="1" applyFont="1" applyFill="1" applyBorder="1" applyAlignment="1">
      <alignment vertical="center"/>
    </xf>
    <xf numFmtId="3" fontId="3" fillId="0" borderId="19" xfId="0" applyNumberFormat="1" applyFont="1" applyFill="1" applyBorder="1" applyAlignment="1">
      <alignment vertical="center"/>
    </xf>
    <xf numFmtId="14" fontId="3" fillId="2" borderId="57" xfId="0" applyNumberFormat="1" applyFont="1" applyFill="1" applyBorder="1" applyAlignment="1">
      <alignment horizontal="center" vertical="center"/>
    </xf>
    <xf numFmtId="3" fontId="3" fillId="2" borderId="41" xfId="0" applyNumberFormat="1" applyFont="1" applyFill="1" applyBorder="1" applyAlignment="1">
      <alignment vertical="center"/>
    </xf>
    <xf numFmtId="3" fontId="3" fillId="2" borderId="58" xfId="0" applyNumberFormat="1" applyFont="1" applyFill="1" applyBorder="1" applyAlignment="1">
      <alignment vertical="center"/>
    </xf>
    <xf numFmtId="3" fontId="5" fillId="2" borderId="59" xfId="0" applyNumberFormat="1" applyFont="1" applyFill="1" applyBorder="1" applyAlignment="1">
      <alignment vertical="center"/>
    </xf>
    <xf numFmtId="3" fontId="3" fillId="2" borderId="37" xfId="0" applyNumberFormat="1" applyFont="1" applyFill="1" applyBorder="1" applyAlignment="1">
      <alignment vertical="center"/>
    </xf>
    <xf numFmtId="3" fontId="5" fillId="2" borderId="59" xfId="0" applyNumberFormat="1" applyFont="1" applyFill="1" applyBorder="1" applyAlignment="1">
      <alignment horizontal="right" wrapText="1"/>
    </xf>
    <xf numFmtId="3" fontId="3" fillId="2" borderId="60" xfId="0" applyNumberFormat="1" applyFont="1" applyFill="1" applyBorder="1" applyAlignment="1">
      <alignment vertical="center"/>
    </xf>
    <xf numFmtId="3" fontId="5" fillId="0" borderId="7" xfId="0" applyNumberFormat="1" applyFont="1" applyFill="1" applyBorder="1" applyAlignment="1">
      <alignment horizontal="right" vertical="center" wrapText="1"/>
    </xf>
    <xf numFmtId="3" fontId="5" fillId="0" borderId="31" xfId="0" applyNumberFormat="1" applyFont="1" applyFill="1" applyBorder="1" applyAlignment="1">
      <alignment vertical="center"/>
    </xf>
    <xf numFmtId="2" fontId="3" fillId="0" borderId="38" xfId="0" applyNumberFormat="1" applyFont="1" applyFill="1" applyBorder="1" applyAlignment="1">
      <alignment vertical="center"/>
    </xf>
    <xf numFmtId="2" fontId="3" fillId="0" borderId="39" xfId="0" applyNumberFormat="1" applyFont="1" applyFill="1" applyBorder="1" applyAlignment="1">
      <alignment vertical="center"/>
    </xf>
    <xf numFmtId="2" fontId="3" fillId="0" borderId="12" xfId="0" applyNumberFormat="1" applyFont="1" applyFill="1" applyBorder="1" applyAlignment="1">
      <alignment vertical="center"/>
    </xf>
    <xf numFmtId="2" fontId="3" fillId="2" borderId="46" xfId="0" applyNumberFormat="1" applyFont="1" applyFill="1" applyBorder="1" applyAlignment="1">
      <alignment vertical="center"/>
    </xf>
    <xf numFmtId="165" fontId="3" fillId="0" borderId="11" xfId="0" applyNumberFormat="1" applyFont="1" applyBorder="1" applyAlignment="1">
      <alignment vertical="center"/>
    </xf>
    <xf numFmtId="165" fontId="3" fillId="0" borderId="12" xfId="0" applyNumberFormat="1" applyFont="1" applyBorder="1" applyAlignment="1">
      <alignment vertical="center"/>
    </xf>
    <xf numFmtId="3" fontId="3" fillId="0" borderId="36" xfId="0" applyNumberFormat="1" applyFont="1" applyFill="1" applyBorder="1" applyAlignment="1">
      <alignment vertical="center"/>
    </xf>
    <xf numFmtId="14" fontId="3" fillId="2" borderId="60" xfId="0" applyNumberFormat="1" applyFont="1" applyFill="1" applyBorder="1" applyAlignment="1">
      <alignment horizontal="center" vertical="center"/>
    </xf>
    <xf numFmtId="3" fontId="3" fillId="2" borderId="40" xfId="0" applyNumberFormat="1" applyFont="1" applyFill="1" applyBorder="1" applyAlignment="1">
      <alignment vertical="center"/>
    </xf>
    <xf numFmtId="3" fontId="3" fillId="2" borderId="58" xfId="0" applyNumberFormat="1" applyFont="1" applyFill="1" applyBorder="1" applyAlignment="1">
      <alignment horizontal="right" vertical="center" wrapText="1"/>
    </xf>
    <xf numFmtId="3" fontId="3" fillId="2" borderId="57" xfId="0" applyNumberFormat="1" applyFont="1" applyFill="1" applyBorder="1" applyAlignment="1">
      <alignment vertical="center"/>
    </xf>
    <xf numFmtId="3" fontId="5" fillId="2" borderId="37" xfId="0" applyNumberFormat="1" applyFont="1" applyFill="1" applyBorder="1" applyAlignment="1">
      <alignment horizontal="right" wrapText="1"/>
    </xf>
    <xf numFmtId="164" fontId="3" fillId="2" borderId="46" xfId="0" applyNumberFormat="1" applyFont="1" applyFill="1" applyBorder="1" applyAlignment="1">
      <alignment horizontal="right" vertical="center" wrapText="1"/>
    </xf>
    <xf numFmtId="3" fontId="3" fillId="2" borderId="61" xfId="0" applyNumberFormat="1" applyFont="1" applyFill="1" applyBorder="1" applyAlignment="1">
      <alignment vertical="center"/>
    </xf>
    <xf numFmtId="165" fontId="11" fillId="2" borderId="46" xfId="0" applyNumberFormat="1" applyFont="1" applyFill="1" applyBorder="1" applyAlignment="1">
      <alignment horizontal="right" vertical="center" wrapText="1"/>
    </xf>
    <xf numFmtId="0" fontId="3" fillId="2" borderId="62" xfId="0" applyFont="1" applyFill="1" applyBorder="1" applyAlignment="1" quotePrefix="1">
      <alignment horizontal="center" vertical="center"/>
    </xf>
    <xf numFmtId="165" fontId="11" fillId="2" borderId="26" xfId="0" applyNumberFormat="1" applyFont="1" applyFill="1" applyBorder="1" applyAlignment="1">
      <alignment horizontal="right" vertical="center" wrapText="1"/>
    </xf>
    <xf numFmtId="0" fontId="3" fillId="0" borderId="27" xfId="0" applyFont="1" applyFill="1" applyBorder="1" applyAlignment="1">
      <alignment/>
    </xf>
    <xf numFmtId="0" fontId="3" fillId="0" borderId="29" xfId="0" applyFont="1" applyBorder="1" applyAlignment="1">
      <alignment/>
    </xf>
    <xf numFmtId="0" fontId="3" fillId="0" borderId="43" xfId="0" applyFont="1" applyBorder="1" applyAlignment="1">
      <alignment/>
    </xf>
    <xf numFmtId="3" fontId="3" fillId="0" borderId="27" xfId="0" applyNumberFormat="1" applyFont="1" applyFill="1" applyBorder="1" applyAlignment="1">
      <alignment/>
    </xf>
    <xf numFmtId="3" fontId="3" fillId="0" borderId="29" xfId="0" applyNumberFormat="1" applyFont="1" applyBorder="1" applyAlignment="1">
      <alignment/>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39" xfId="0" applyFont="1" applyFill="1" applyBorder="1" applyAlignment="1">
      <alignment vertical="center"/>
    </xf>
    <xf numFmtId="0" fontId="3" fillId="2" borderId="49" xfId="0" applyFont="1" applyFill="1" applyBorder="1" applyAlignment="1">
      <alignment horizontal="right" vertical="center"/>
    </xf>
    <xf numFmtId="164" fontId="3" fillId="2" borderId="46" xfId="0" applyNumberFormat="1" applyFont="1" applyFill="1" applyBorder="1" applyAlignment="1">
      <alignment horizontal="right" vertical="center" wrapText="1"/>
    </xf>
    <xf numFmtId="0" fontId="10" fillId="0" borderId="4"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vertical="center"/>
    </xf>
    <xf numFmtId="0" fontId="8" fillId="0" borderId="0" xfId="0" applyFont="1" applyAlignment="1">
      <alignment horizontal="centerContinuous"/>
    </xf>
    <xf numFmtId="0" fontId="0" fillId="0" borderId="0" xfId="0" applyFont="1" applyAlignment="1">
      <alignment horizontal="centerContinuous"/>
    </xf>
    <xf numFmtId="0" fontId="2" fillId="0" borderId="0" xfId="0" applyFont="1" applyAlignment="1">
      <alignment/>
    </xf>
    <xf numFmtId="3" fontId="3" fillId="0" borderId="58" xfId="0" applyNumberFormat="1" applyFont="1" applyBorder="1" applyAlignment="1">
      <alignment vertical="center"/>
    </xf>
    <xf numFmtId="3" fontId="3" fillId="0" borderId="34" xfId="0" applyNumberFormat="1" applyFont="1" applyBorder="1" applyAlignment="1">
      <alignment vertical="center"/>
    </xf>
    <xf numFmtId="3" fontId="3" fillId="0" borderId="63" xfId="0" applyNumberFormat="1" applyFont="1" applyBorder="1" applyAlignment="1">
      <alignment vertical="center"/>
    </xf>
    <xf numFmtId="3" fontId="3" fillId="0" borderId="35" xfId="0" applyNumberFormat="1" applyFont="1" applyBorder="1" applyAlignment="1">
      <alignment vertical="center"/>
    </xf>
    <xf numFmtId="3" fontId="3" fillId="0" borderId="56" xfId="0" applyNumberFormat="1" applyFont="1" applyBorder="1" applyAlignment="1">
      <alignment vertical="center"/>
    </xf>
    <xf numFmtId="0" fontId="3" fillId="0" borderId="29" xfId="0" applyFont="1" applyFill="1" applyBorder="1" applyAlignment="1">
      <alignment/>
    </xf>
    <xf numFmtId="3" fontId="5" fillId="0" borderId="5" xfId="0" applyNumberFormat="1" applyFont="1" applyFill="1" applyBorder="1" applyAlignment="1">
      <alignment horizontal="right" vertical="center" wrapText="1"/>
    </xf>
    <xf numFmtId="0" fontId="3" fillId="0" borderId="43" xfId="0" applyFont="1" applyFill="1" applyBorder="1" applyAlignment="1">
      <alignment/>
    </xf>
    <xf numFmtId="3" fontId="3" fillId="0" borderId="33" xfId="0" applyNumberFormat="1" applyFont="1" applyBorder="1" applyAlignment="1">
      <alignment vertical="center"/>
    </xf>
    <xf numFmtId="14" fontId="3" fillId="0" borderId="60" xfId="0" applyNumberFormat="1" applyFont="1" applyFill="1" applyBorder="1" applyAlignment="1">
      <alignment horizontal="center" vertical="center"/>
    </xf>
    <xf numFmtId="3" fontId="3" fillId="0" borderId="45" xfId="0" applyNumberFormat="1" applyFont="1" applyBorder="1" applyAlignment="1">
      <alignment vertical="center"/>
    </xf>
    <xf numFmtId="3" fontId="3" fillId="0" borderId="59" xfId="0" applyNumberFormat="1" applyFont="1" applyBorder="1" applyAlignment="1">
      <alignment vertical="center"/>
    </xf>
    <xf numFmtId="0" fontId="3" fillId="3" borderId="11" xfId="0" applyFont="1" applyFill="1" applyBorder="1" applyAlignment="1">
      <alignment vertical="center"/>
    </xf>
    <xf numFmtId="0" fontId="3" fillId="3" borderId="12" xfId="0" applyFont="1" applyFill="1" applyBorder="1" applyAlignment="1">
      <alignment vertical="center"/>
    </xf>
    <xf numFmtId="0" fontId="3" fillId="3" borderId="39" xfId="0" applyFont="1" applyFill="1" applyBorder="1" applyAlignment="1">
      <alignment vertical="center"/>
    </xf>
    <xf numFmtId="3" fontId="3" fillId="0" borderId="60" xfId="0" applyNumberFormat="1" applyFont="1" applyFill="1" applyBorder="1" applyAlignment="1">
      <alignment vertical="center"/>
    </xf>
    <xf numFmtId="0" fontId="3" fillId="2" borderId="52" xfId="0" applyFont="1" applyFill="1" applyBorder="1" applyAlignment="1" quotePrefix="1">
      <alignment horizontal="center" vertical="center"/>
    </xf>
    <xf numFmtId="0" fontId="10" fillId="0" borderId="64" xfId="0" applyFont="1" applyBorder="1" applyAlignment="1">
      <alignment horizontal="center" vertical="center"/>
    </xf>
    <xf numFmtId="0" fontId="10" fillId="2" borderId="65" xfId="0" applyFont="1" applyFill="1" applyBorder="1" applyAlignment="1">
      <alignment horizontal="center" vertical="center"/>
    </xf>
    <xf numFmtId="0" fontId="3" fillId="2" borderId="66" xfId="0" applyFont="1" applyFill="1" applyBorder="1" applyAlignment="1">
      <alignment horizontal="center" vertical="center" wrapText="1"/>
    </xf>
    <xf numFmtId="0" fontId="3" fillId="0" borderId="18" xfId="0" applyFont="1" applyBorder="1" applyAlignment="1">
      <alignment vertical="center"/>
    </xf>
    <xf numFmtId="0" fontId="3" fillId="2" borderId="66" xfId="0" applyFont="1" applyFill="1" applyBorder="1" applyAlignment="1">
      <alignment horizontal="right" vertical="center" wrapText="1"/>
    </xf>
    <xf numFmtId="0" fontId="3" fillId="2" borderId="14" xfId="0" applyFont="1" applyFill="1" applyBorder="1" applyAlignment="1">
      <alignment vertical="center"/>
    </xf>
    <xf numFmtId="0" fontId="3" fillId="2" borderId="12" xfId="0" applyFont="1" applyFill="1" applyBorder="1" applyAlignment="1">
      <alignment vertical="center"/>
    </xf>
    <xf numFmtId="164" fontId="10" fillId="2" borderId="34" xfId="0" applyNumberFormat="1" applyFont="1" applyFill="1" applyBorder="1" applyAlignment="1">
      <alignment horizontal="right" vertical="center"/>
    </xf>
    <xf numFmtId="165" fontId="3" fillId="2" borderId="12" xfId="0" applyNumberFormat="1" applyFont="1" applyFill="1" applyBorder="1" applyAlignment="1">
      <alignment vertical="center"/>
    </xf>
    <xf numFmtId="165" fontId="3" fillId="2" borderId="1" xfId="0" applyNumberFormat="1" applyFont="1" applyFill="1" applyBorder="1" applyAlignment="1">
      <alignment vertical="center"/>
    </xf>
    <xf numFmtId="0" fontId="3" fillId="2" borderId="20" xfId="0" applyFont="1" applyFill="1" applyBorder="1" applyAlignment="1">
      <alignment vertical="center"/>
    </xf>
    <xf numFmtId="0" fontId="3" fillId="2" borderId="39" xfId="0" applyFont="1" applyFill="1" applyBorder="1" applyAlignment="1">
      <alignment vertical="center"/>
    </xf>
    <xf numFmtId="164" fontId="10" fillId="2" borderId="35" xfId="0" applyNumberFormat="1" applyFont="1" applyFill="1" applyBorder="1" applyAlignment="1">
      <alignment horizontal="right" vertical="center"/>
    </xf>
    <xf numFmtId="165" fontId="3" fillId="2" borderId="36" xfId="0" applyNumberFormat="1" applyFont="1" applyFill="1" applyBorder="1" applyAlignment="1">
      <alignment vertical="center"/>
    </xf>
    <xf numFmtId="165" fontId="3" fillId="2" borderId="6" xfId="0" applyNumberFormat="1" applyFont="1" applyFill="1" applyBorder="1" applyAlignment="1">
      <alignment vertical="center"/>
    </xf>
    <xf numFmtId="3" fontId="3" fillId="0" borderId="0" xfId="0" applyNumberFormat="1" applyFont="1" applyBorder="1" applyAlignment="1">
      <alignment vertical="center"/>
    </xf>
    <xf numFmtId="4" fontId="0" fillId="0" borderId="0" xfId="0" applyNumberFormat="1" applyAlignment="1">
      <alignment vertical="center"/>
    </xf>
    <xf numFmtId="0" fontId="3" fillId="0" borderId="28" xfId="0" applyFont="1" applyFill="1" applyBorder="1" applyAlignment="1">
      <alignment vertical="center"/>
    </xf>
    <xf numFmtId="0" fontId="3" fillId="0" borderId="24" xfId="0" applyFont="1" applyFill="1" applyBorder="1" applyAlignment="1">
      <alignment vertical="center"/>
    </xf>
    <xf numFmtId="0" fontId="0" fillId="0" borderId="0" xfId="0" applyFont="1" applyAlignment="1">
      <alignment/>
    </xf>
    <xf numFmtId="0" fontId="5" fillId="2" borderId="17" xfId="0" applyFont="1" applyFill="1" applyBorder="1" applyAlignment="1">
      <alignment horizontal="center" vertical="center" wrapText="1"/>
    </xf>
    <xf numFmtId="0" fontId="5" fillId="2" borderId="6" xfId="0" applyFont="1" applyFill="1" applyBorder="1" applyAlignment="1">
      <alignment horizontal="center" vertical="center" wrapText="1"/>
    </xf>
    <xf numFmtId="3" fontId="5" fillId="0" borderId="16" xfId="0" applyNumberFormat="1" applyFont="1" applyBorder="1" applyAlignment="1">
      <alignment vertical="center"/>
    </xf>
    <xf numFmtId="3" fontId="5" fillId="0" borderId="3" xfId="0" applyNumberFormat="1" applyFont="1" applyBorder="1" applyAlignment="1">
      <alignment vertical="center"/>
    </xf>
    <xf numFmtId="0" fontId="0" fillId="0" borderId="0" xfId="0" applyFont="1" applyAlignment="1">
      <alignment vertical="center"/>
    </xf>
    <xf numFmtId="3" fontId="5" fillId="0" borderId="48" xfId="0" applyNumberFormat="1" applyFont="1" applyBorder="1" applyAlignment="1">
      <alignment vertical="center"/>
    </xf>
    <xf numFmtId="3" fontId="5" fillId="0" borderId="2" xfId="0" applyNumberFormat="1" applyFont="1" applyBorder="1" applyAlignment="1">
      <alignment vertical="center"/>
    </xf>
    <xf numFmtId="0" fontId="4" fillId="0" borderId="0" xfId="0" applyFont="1" applyBorder="1" applyAlignment="1">
      <alignment vertical="top"/>
    </xf>
    <xf numFmtId="0" fontId="0" fillId="0" borderId="0" xfId="0" applyFont="1" applyBorder="1" applyAlignment="1">
      <alignment vertical="top"/>
    </xf>
    <xf numFmtId="3" fontId="3" fillId="0" borderId="29" xfId="0" applyNumberFormat="1" applyFont="1" applyFill="1" applyBorder="1" applyAlignment="1">
      <alignment/>
    </xf>
    <xf numFmtId="3" fontId="3" fillId="0" borderId="43" xfId="0" applyNumberFormat="1" applyFont="1" applyFill="1" applyBorder="1" applyAlignment="1">
      <alignment/>
    </xf>
    <xf numFmtId="0" fontId="4" fillId="0" borderId="0" xfId="0" applyFont="1" applyBorder="1" applyAlignment="1">
      <alignment/>
    </xf>
    <xf numFmtId="0" fontId="0" fillId="0" borderId="0" xfId="0" applyFont="1" applyBorder="1" applyAlignment="1">
      <alignment/>
    </xf>
    <xf numFmtId="164" fontId="3" fillId="0" borderId="11" xfId="0" applyNumberFormat="1" applyFont="1" applyFill="1" applyBorder="1" applyAlignment="1">
      <alignment vertical="center"/>
    </xf>
    <xf numFmtId="164" fontId="3" fillId="0" borderId="12" xfId="0" applyNumberFormat="1" applyFont="1" applyFill="1" applyBorder="1" applyAlignment="1">
      <alignment vertical="center"/>
    </xf>
    <xf numFmtId="164" fontId="3" fillId="0" borderId="39" xfId="0" applyNumberFormat="1" applyFont="1" applyFill="1" applyBorder="1" applyAlignment="1">
      <alignment vertical="center"/>
    </xf>
    <xf numFmtId="0" fontId="0" fillId="0" borderId="0" xfId="0" applyFont="1" applyBorder="1" applyAlignment="1">
      <alignment wrapText="1"/>
    </xf>
    <xf numFmtId="165" fontId="3" fillId="0" borderId="3" xfId="0" applyNumberFormat="1" applyFont="1" applyFill="1" applyBorder="1" applyAlignment="1">
      <alignment vertical="center"/>
    </xf>
    <xf numFmtId="165" fontId="3" fillId="0" borderId="1" xfId="0" applyNumberFormat="1" applyFont="1" applyFill="1" applyBorder="1" applyAlignment="1">
      <alignment vertical="center"/>
    </xf>
    <xf numFmtId="3" fontId="3" fillId="0" borderId="41" xfId="0" applyNumberFormat="1" applyFont="1" applyFill="1" applyBorder="1" applyAlignment="1">
      <alignment vertical="center"/>
    </xf>
    <xf numFmtId="3" fontId="3" fillId="0" borderId="58" xfId="0" applyNumberFormat="1" applyFont="1" applyFill="1" applyBorder="1" applyAlignment="1">
      <alignment vertical="center"/>
    </xf>
    <xf numFmtId="3" fontId="5" fillId="0" borderId="59" xfId="0" applyNumberFormat="1" applyFont="1" applyFill="1" applyBorder="1" applyAlignment="1">
      <alignment horizontal="right" vertical="center" wrapText="1"/>
    </xf>
    <xf numFmtId="3" fontId="3" fillId="0" borderId="40" xfId="0" applyNumberFormat="1" applyFont="1" applyFill="1" applyBorder="1" applyAlignment="1">
      <alignment vertical="center"/>
    </xf>
    <xf numFmtId="0" fontId="9" fillId="2" borderId="19" xfId="0" applyFont="1" applyFill="1" applyBorder="1" applyAlignment="1">
      <alignment horizontal="center" vertical="center" wrapText="1"/>
    </xf>
    <xf numFmtId="2" fontId="3" fillId="0" borderId="0" xfId="0" applyNumberFormat="1" applyFont="1" applyFill="1" applyBorder="1" applyAlignment="1">
      <alignment vertical="center"/>
    </xf>
    <xf numFmtId="2" fontId="3" fillId="0" borderId="67" xfId="0" applyNumberFormat="1" applyFont="1" applyFill="1" applyBorder="1" applyAlignment="1">
      <alignment vertical="center"/>
    </xf>
    <xf numFmtId="2" fontId="3" fillId="0" borderId="54" xfId="0" applyNumberFormat="1" applyFont="1" applyFill="1" applyBorder="1" applyAlignment="1">
      <alignment vertical="center"/>
    </xf>
    <xf numFmtId="2" fontId="3" fillId="2" borderId="65" xfId="0" applyNumberFormat="1" applyFont="1" applyFill="1" applyBorder="1" applyAlignment="1">
      <alignment vertical="center"/>
    </xf>
    <xf numFmtId="3" fontId="3" fillId="0" borderId="21" xfId="0" applyNumberFormat="1" applyFont="1" applyFill="1" applyBorder="1" applyAlignment="1">
      <alignment vertical="center"/>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21" xfId="0" applyFont="1" applyFill="1" applyBorder="1" applyAlignment="1">
      <alignment vertical="center"/>
    </xf>
    <xf numFmtId="3" fontId="10" fillId="0" borderId="39" xfId="0" applyNumberFormat="1" applyFont="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2" borderId="19" xfId="0" applyFont="1" applyFill="1" applyBorder="1" applyAlignment="1">
      <alignment horizontal="center" vertical="center" wrapText="1"/>
    </xf>
    <xf numFmtId="14" fontId="3" fillId="2" borderId="50" xfId="0" applyNumberFormat="1" applyFont="1" applyFill="1" applyBorder="1" applyAlignment="1">
      <alignment horizontal="center" vertical="center"/>
    </xf>
    <xf numFmtId="3" fontId="3" fillId="2" borderId="9" xfId="0" applyNumberFormat="1" applyFont="1" applyFill="1" applyBorder="1" applyAlignment="1">
      <alignment horizontal="right" vertical="center" wrapText="1"/>
    </xf>
    <xf numFmtId="3" fontId="5" fillId="2" borderId="23" xfId="0" applyNumberFormat="1" applyFont="1" applyFill="1" applyBorder="1" applyAlignment="1">
      <alignment vertical="center"/>
    </xf>
    <xf numFmtId="3" fontId="3" fillId="2" borderId="63" xfId="0" applyNumberFormat="1" applyFont="1" applyFill="1" applyBorder="1" applyAlignment="1">
      <alignment vertical="center"/>
    </xf>
    <xf numFmtId="3" fontId="3" fillId="2" borderId="38" xfId="0" applyNumberFormat="1" applyFont="1" applyFill="1" applyBorder="1" applyAlignment="1">
      <alignment vertical="center"/>
    </xf>
    <xf numFmtId="3" fontId="5" fillId="2" borderId="38" xfId="0" applyNumberFormat="1" applyFont="1" applyFill="1" applyBorder="1" applyAlignment="1">
      <alignment horizontal="right" wrapText="1"/>
    </xf>
    <xf numFmtId="3" fontId="3" fillId="2" borderId="50" xfId="0" applyNumberFormat="1" applyFont="1" applyFill="1" applyBorder="1" applyAlignment="1">
      <alignment vertical="center"/>
    </xf>
    <xf numFmtId="14" fontId="3" fillId="2" borderId="43" xfId="0" applyNumberFormat="1" applyFont="1" applyFill="1" applyBorder="1" applyAlignment="1">
      <alignment horizontal="center" vertical="center"/>
    </xf>
    <xf numFmtId="3" fontId="5" fillId="2" borderId="7" xfId="0" applyNumberFormat="1" applyFont="1" applyFill="1" applyBorder="1" applyAlignment="1">
      <alignment vertical="center"/>
    </xf>
    <xf numFmtId="3" fontId="3" fillId="2" borderId="43" xfId="0" applyNumberFormat="1" applyFont="1" applyFill="1" applyBorder="1" applyAlignment="1">
      <alignment vertical="center"/>
    </xf>
    <xf numFmtId="3" fontId="3" fillId="2" borderId="19" xfId="0" applyNumberFormat="1" applyFont="1" applyFill="1" applyBorder="1" applyAlignment="1">
      <alignment vertical="center"/>
    </xf>
    <xf numFmtId="3" fontId="3" fillId="2" borderId="6" xfId="0" applyNumberFormat="1" applyFont="1" applyFill="1" applyBorder="1" applyAlignment="1">
      <alignment vertical="center"/>
    </xf>
    <xf numFmtId="3" fontId="5" fillId="2" borderId="7" xfId="0" applyNumberFormat="1" applyFont="1" applyFill="1" applyBorder="1" applyAlignment="1">
      <alignment horizontal="right" vertical="center" wrapText="1"/>
    </xf>
    <xf numFmtId="3" fontId="3" fillId="2" borderId="17" xfId="0" applyNumberFormat="1" applyFont="1" applyFill="1" applyBorder="1" applyAlignment="1">
      <alignment vertical="center"/>
    </xf>
    <xf numFmtId="14" fontId="3" fillId="2" borderId="63" xfId="0" applyNumberFormat="1" applyFont="1" applyFill="1" applyBorder="1" applyAlignment="1">
      <alignment horizontal="center" vertical="center"/>
    </xf>
    <xf numFmtId="3" fontId="3" fillId="2" borderId="25" xfId="0" applyNumberFormat="1" applyFont="1" applyFill="1" applyBorder="1" applyAlignment="1">
      <alignment vertical="center"/>
    </xf>
    <xf numFmtId="3" fontId="3" fillId="2" borderId="9" xfId="0" applyNumberFormat="1" applyFont="1" applyFill="1" applyBorder="1" applyAlignment="1">
      <alignment vertical="center"/>
    </xf>
    <xf numFmtId="3" fontId="3" fillId="2" borderId="22" xfId="0" applyNumberFormat="1" applyFont="1" applyFill="1" applyBorder="1" applyAlignment="1">
      <alignment vertical="center"/>
    </xf>
    <xf numFmtId="3" fontId="5" fillId="2" borderId="23" xfId="0" applyNumberFormat="1" applyFont="1" applyFill="1" applyBorder="1" applyAlignment="1">
      <alignment horizontal="right" wrapText="1"/>
    </xf>
    <xf numFmtId="0" fontId="3" fillId="2" borderId="43" xfId="0" applyFont="1" applyFill="1" applyBorder="1" applyAlignment="1">
      <alignment/>
    </xf>
    <xf numFmtId="3" fontId="3" fillId="2" borderId="41" xfId="0" applyNumberFormat="1" applyFont="1" applyFill="1" applyBorder="1" applyAlignment="1">
      <alignment horizontal="right" vertical="center" wrapText="1"/>
    </xf>
    <xf numFmtId="3" fontId="3" fillId="2" borderId="22" xfId="0" applyNumberFormat="1" applyFont="1" applyFill="1" applyBorder="1" applyAlignment="1">
      <alignment horizontal="right" vertical="center" wrapText="1"/>
    </xf>
    <xf numFmtId="3" fontId="3" fillId="2" borderId="43" xfId="0" applyNumberFormat="1" applyFont="1" applyFill="1" applyBorder="1" applyAlignment="1">
      <alignment/>
    </xf>
    <xf numFmtId="14" fontId="3" fillId="2" borderId="56" xfId="0" applyNumberFormat="1" applyFont="1" applyFill="1" applyBorder="1" applyAlignment="1">
      <alignment horizontal="center" vertical="center"/>
    </xf>
    <xf numFmtId="3" fontId="3" fillId="2" borderId="0" xfId="0" applyNumberFormat="1" applyFont="1" applyFill="1" applyBorder="1" applyAlignment="1">
      <alignment vertical="center"/>
    </xf>
    <xf numFmtId="3" fontId="5" fillId="2" borderId="36" xfId="0" applyNumberFormat="1" applyFont="1" applyFill="1" applyBorder="1" applyAlignment="1">
      <alignment vertical="center"/>
    </xf>
    <xf numFmtId="3" fontId="3" fillId="0" borderId="67" xfId="0" applyNumberFormat="1" applyFont="1" applyBorder="1" applyAlignment="1">
      <alignment vertical="center"/>
    </xf>
    <xf numFmtId="3" fontId="3" fillId="0" borderId="68" xfId="0" applyNumberFormat="1" applyFont="1" applyBorder="1" applyAlignment="1">
      <alignment vertical="center"/>
    </xf>
    <xf numFmtId="14" fontId="3" fillId="2" borderId="30" xfId="0" applyNumberFormat="1" applyFont="1" applyFill="1" applyBorder="1" applyAlignment="1">
      <alignment horizontal="center" vertical="center"/>
    </xf>
    <xf numFmtId="3" fontId="3" fillId="2" borderId="18" xfId="0" applyNumberFormat="1" applyFont="1" applyFill="1" applyBorder="1" applyAlignment="1">
      <alignment vertical="center"/>
    </xf>
    <xf numFmtId="3" fontId="3" fillId="2" borderId="8" xfId="0" applyNumberFormat="1" applyFont="1" applyFill="1" applyBorder="1" applyAlignment="1">
      <alignment vertical="center"/>
    </xf>
    <xf numFmtId="3" fontId="5" fillId="2" borderId="21" xfId="0" applyNumberFormat="1" applyFont="1" applyFill="1" applyBorder="1" applyAlignment="1">
      <alignment horizontal="right" vertical="center" wrapText="1"/>
    </xf>
    <xf numFmtId="3" fontId="3" fillId="2" borderId="20" xfId="0" applyNumberFormat="1" applyFont="1" applyFill="1" applyBorder="1" applyAlignment="1">
      <alignment vertical="center"/>
    </xf>
    <xf numFmtId="3" fontId="5" fillId="2" borderId="39" xfId="0" applyNumberFormat="1" applyFont="1" applyFill="1" applyBorder="1" applyAlignment="1">
      <alignment vertical="center"/>
    </xf>
    <xf numFmtId="0" fontId="3" fillId="2" borderId="30" xfId="0" applyFont="1" applyFill="1" applyBorder="1" applyAlignment="1">
      <alignment/>
    </xf>
    <xf numFmtId="3" fontId="5" fillId="0" borderId="37" xfId="0" applyNumberFormat="1" applyFont="1" applyFill="1" applyBorder="1" applyAlignment="1">
      <alignment vertical="center"/>
    </xf>
    <xf numFmtId="0" fontId="3" fillId="0" borderId="60" xfId="0" applyFont="1" applyFill="1" applyBorder="1" applyAlignment="1">
      <alignment/>
    </xf>
    <xf numFmtId="14" fontId="3" fillId="0" borderId="67" xfId="0" applyNumberFormat="1" applyFont="1" applyFill="1" applyBorder="1" applyAlignment="1">
      <alignment horizontal="center" vertical="center"/>
    </xf>
    <xf numFmtId="3" fontId="3" fillId="0" borderId="67" xfId="0" applyNumberFormat="1" applyFont="1" applyFill="1" applyBorder="1" applyAlignment="1">
      <alignment vertical="center"/>
    </xf>
    <xf numFmtId="3" fontId="5" fillId="0" borderId="67" xfId="0" applyNumberFormat="1" applyFont="1" applyFill="1" applyBorder="1" applyAlignment="1">
      <alignment horizontal="right" vertical="center" wrapText="1"/>
    </xf>
    <xf numFmtId="3" fontId="5" fillId="0" borderId="67" xfId="0" applyNumberFormat="1" applyFont="1" applyFill="1" applyBorder="1" applyAlignment="1">
      <alignment vertical="center"/>
    </xf>
    <xf numFmtId="3" fontId="3" fillId="0" borderId="67" xfId="0" applyNumberFormat="1" applyFont="1" applyFill="1" applyBorder="1" applyAlignment="1">
      <alignment/>
    </xf>
    <xf numFmtId="0" fontId="10" fillId="0" borderId="28" xfId="0" applyFont="1" applyBorder="1" applyAlignment="1">
      <alignment horizontal="right" vertical="center"/>
    </xf>
    <xf numFmtId="0" fontId="10" fillId="0" borderId="24" xfId="0" applyFont="1" applyBorder="1" applyAlignment="1">
      <alignment horizontal="right" vertical="center"/>
    </xf>
    <xf numFmtId="0" fontId="10" fillId="0" borderId="18" xfId="0" applyFont="1" applyBorder="1" applyAlignment="1">
      <alignment horizontal="right" vertical="center"/>
    </xf>
    <xf numFmtId="0" fontId="3" fillId="2" borderId="66" xfId="0" applyFont="1" applyFill="1" applyBorder="1" applyAlignment="1">
      <alignment vertical="center"/>
    </xf>
    <xf numFmtId="0" fontId="15" fillId="0" borderId="27" xfId="0" applyFont="1" applyBorder="1" applyAlignment="1">
      <alignment horizontal="justify" vertical="center"/>
    </xf>
    <xf numFmtId="0" fontId="15" fillId="0" borderId="29" xfId="0" applyFont="1" applyBorder="1" applyAlignment="1">
      <alignment horizontal="justify" vertical="center"/>
    </xf>
    <xf numFmtId="0" fontId="15" fillId="0" borderId="30" xfId="0" applyFont="1" applyBorder="1" applyAlignment="1">
      <alignment horizontal="justify" vertical="center"/>
    </xf>
    <xf numFmtId="0" fontId="15" fillId="2" borderId="42" xfId="0" applyFont="1" applyFill="1" applyBorder="1" applyAlignment="1">
      <alignment horizontal="justify" vertical="center"/>
    </xf>
    <xf numFmtId="0" fontId="15" fillId="2" borderId="42" xfId="0" applyFont="1" applyFill="1" applyBorder="1" applyAlignment="1">
      <alignment horizontal="left" vertical="center" wrapText="1"/>
    </xf>
    <xf numFmtId="14" fontId="3" fillId="0" borderId="63" xfId="0" applyNumberFormat="1" applyFont="1" applyFill="1" applyBorder="1" applyAlignment="1">
      <alignment horizontal="center" vertical="center"/>
    </xf>
    <xf numFmtId="3" fontId="5" fillId="0" borderId="15" xfId="0" applyNumberFormat="1" applyFont="1" applyFill="1" applyBorder="1" applyAlignment="1">
      <alignment vertical="center"/>
    </xf>
    <xf numFmtId="0" fontId="0" fillId="0" borderId="0" xfId="0" applyFont="1" applyFill="1" applyAlignment="1">
      <alignment horizontal="right" vertical="top"/>
    </xf>
    <xf numFmtId="0" fontId="3" fillId="2" borderId="69" xfId="0" applyFont="1" applyFill="1" applyBorder="1" applyAlignment="1">
      <alignment horizontal="right" vertical="center"/>
    </xf>
    <xf numFmtId="0" fontId="3" fillId="2" borderId="51" xfId="0" applyFont="1" applyFill="1" applyBorder="1" applyAlignment="1">
      <alignment horizontal="right" vertical="center" wrapText="1"/>
    </xf>
    <xf numFmtId="0" fontId="3" fillId="2" borderId="51" xfId="0" applyFont="1" applyFill="1" applyBorder="1" applyAlignment="1">
      <alignment horizontal="right" vertical="center" wrapText="1"/>
    </xf>
    <xf numFmtId="0" fontId="10" fillId="2" borderId="13" xfId="0" applyFont="1" applyFill="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vertical="center"/>
    </xf>
    <xf numFmtId="0" fontId="3" fillId="2" borderId="26" xfId="0" applyFont="1" applyFill="1" applyBorder="1" applyAlignment="1">
      <alignment horizontal="right" vertical="center" wrapText="1"/>
    </xf>
    <xf numFmtId="164" fontId="10" fillId="0" borderId="12" xfId="0" applyNumberFormat="1" applyFont="1" applyBorder="1" applyAlignment="1">
      <alignment horizontal="right" vertical="center"/>
    </xf>
    <xf numFmtId="164" fontId="10" fillId="0" borderId="39" xfId="0" applyNumberFormat="1" applyFont="1" applyBorder="1" applyAlignment="1">
      <alignment horizontal="right" vertical="center"/>
    </xf>
    <xf numFmtId="164" fontId="10" fillId="2" borderId="46" xfId="0" applyNumberFormat="1" applyFont="1" applyFill="1" applyBorder="1" applyAlignment="1">
      <alignment horizontal="right" vertical="center"/>
    </xf>
    <xf numFmtId="0" fontId="3" fillId="2" borderId="44" xfId="0" applyFont="1" applyFill="1" applyBorder="1" applyAlignment="1">
      <alignment horizontal="center" vertical="center" wrapText="1"/>
    </xf>
    <xf numFmtId="0" fontId="4" fillId="2" borderId="20" xfId="0" applyFont="1" applyFill="1" applyBorder="1" applyAlignment="1">
      <alignment horizontal="center"/>
    </xf>
    <xf numFmtId="0" fontId="4" fillId="2" borderId="8" xfId="0" applyFont="1" applyFill="1" applyBorder="1" applyAlignment="1">
      <alignment horizontal="center"/>
    </xf>
    <xf numFmtId="0" fontId="4" fillId="2" borderId="21" xfId="0" applyFont="1" applyFill="1" applyBorder="1" applyAlignment="1">
      <alignment horizontal="center"/>
    </xf>
    <xf numFmtId="0" fontId="4" fillId="2" borderId="48" xfId="0" applyFont="1" applyFill="1" applyBorder="1" applyAlignment="1">
      <alignment horizontal="center"/>
    </xf>
    <xf numFmtId="0" fontId="4" fillId="2" borderId="2" xfId="0" applyFont="1" applyFill="1" applyBorder="1" applyAlignment="1">
      <alignment horizontal="center"/>
    </xf>
    <xf numFmtId="0" fontId="4" fillId="2" borderId="15" xfId="0" applyFont="1" applyFill="1" applyBorder="1" applyAlignment="1">
      <alignment horizontal="center"/>
    </xf>
    <xf numFmtId="3" fontId="7" fillId="0" borderId="4" xfId="27" applyNumberFormat="1" applyFont="1" applyFill="1" applyBorder="1" applyAlignment="1">
      <alignment vertical="center" wrapText="1"/>
      <protection/>
    </xf>
    <xf numFmtId="3" fontId="7" fillId="0" borderId="16" xfId="27" applyNumberFormat="1" applyFont="1" applyFill="1" applyBorder="1" applyAlignment="1">
      <alignment vertical="center" wrapText="1"/>
      <protection/>
    </xf>
    <xf numFmtId="3" fontId="7" fillId="0" borderId="3" xfId="27" applyNumberFormat="1" applyFont="1" applyFill="1" applyBorder="1" applyAlignment="1">
      <alignment vertical="center" wrapText="1"/>
      <protection/>
    </xf>
    <xf numFmtId="10" fontId="3" fillId="4" borderId="5" xfId="0" applyNumberFormat="1" applyFont="1" applyFill="1" applyBorder="1" applyAlignment="1">
      <alignment horizontal="right" vertical="center" wrapText="1"/>
    </xf>
    <xf numFmtId="3" fontId="7" fillId="0" borderId="5" xfId="27" applyNumberFormat="1" applyFont="1" applyFill="1" applyBorder="1" applyAlignment="1">
      <alignment vertical="center" wrapText="1"/>
      <protection/>
    </xf>
    <xf numFmtId="3" fontId="7" fillId="0" borderId="14" xfId="27" applyNumberFormat="1" applyFont="1" applyBorder="1" applyAlignment="1">
      <alignment vertical="center" wrapText="1"/>
      <protection/>
    </xf>
    <xf numFmtId="3" fontId="7" fillId="0" borderId="1" xfId="27" applyNumberFormat="1" applyFont="1" applyBorder="1" applyAlignment="1">
      <alignment vertical="center" wrapText="1"/>
      <protection/>
    </xf>
    <xf numFmtId="3" fontId="7" fillId="0" borderId="21" xfId="27" applyNumberFormat="1" applyFont="1" applyFill="1" applyBorder="1" applyAlignment="1">
      <alignment vertical="center" wrapText="1"/>
      <protection/>
    </xf>
    <xf numFmtId="3" fontId="7" fillId="0" borderId="20" xfId="27" applyNumberFormat="1" applyFont="1" applyFill="1" applyBorder="1" applyAlignment="1">
      <alignment vertical="center" wrapText="1"/>
      <protection/>
    </xf>
    <xf numFmtId="3" fontId="7" fillId="0" borderId="8" xfId="27" applyNumberFormat="1" applyFont="1" applyBorder="1" applyAlignment="1">
      <alignment vertical="center" wrapText="1"/>
      <protection/>
    </xf>
    <xf numFmtId="10" fontId="3" fillId="4" borderId="21" xfId="0" applyNumberFormat="1" applyFont="1" applyFill="1" applyBorder="1" applyAlignment="1">
      <alignment horizontal="right" vertical="center" wrapText="1"/>
    </xf>
    <xf numFmtId="3" fontId="9" fillId="2" borderId="70" xfId="27" applyNumberFormat="1" applyFont="1" applyFill="1" applyBorder="1" applyAlignment="1">
      <alignment vertical="center" wrapText="1"/>
      <protection/>
    </xf>
    <xf numFmtId="3" fontId="9" fillId="2" borderId="47" xfId="27" applyNumberFormat="1" applyFont="1" applyFill="1" applyBorder="1" applyAlignment="1">
      <alignment vertical="center" wrapText="1"/>
      <protection/>
    </xf>
    <xf numFmtId="3" fontId="9" fillId="2" borderId="26" xfId="27" applyNumberFormat="1" applyFont="1" applyFill="1" applyBorder="1" applyAlignment="1">
      <alignment vertical="center" wrapText="1"/>
      <protection/>
    </xf>
    <xf numFmtId="3" fontId="3" fillId="2" borderId="47" xfId="0" applyNumberFormat="1" applyFont="1" applyFill="1" applyBorder="1" applyAlignment="1">
      <alignment vertical="center" wrapText="1"/>
    </xf>
    <xf numFmtId="3" fontId="3" fillId="2" borderId="26" xfId="0" applyNumberFormat="1" applyFont="1" applyFill="1" applyBorder="1" applyAlignment="1">
      <alignment vertical="center" wrapText="1"/>
    </xf>
    <xf numFmtId="3" fontId="3" fillId="2" borderId="70" xfId="0" applyNumberFormat="1" applyFont="1" applyFill="1" applyBorder="1" applyAlignment="1">
      <alignment vertical="center" wrapText="1"/>
    </xf>
    <xf numFmtId="10" fontId="3" fillId="2" borderId="44" xfId="0" applyNumberFormat="1" applyFont="1" applyFill="1" applyBorder="1" applyAlignment="1">
      <alignment horizontal="right" vertical="center" wrapText="1"/>
    </xf>
    <xf numFmtId="3" fontId="7" fillId="0" borderId="16" xfId="27" applyNumberFormat="1" applyFont="1" applyBorder="1" applyAlignment="1">
      <alignment vertical="center" wrapText="1"/>
      <protection/>
    </xf>
    <xf numFmtId="3" fontId="7" fillId="0" borderId="3" xfId="27" applyNumberFormat="1" applyFont="1" applyBorder="1" applyAlignment="1">
      <alignment vertical="center" wrapText="1"/>
      <protection/>
    </xf>
    <xf numFmtId="10" fontId="3" fillId="4" borderId="4" xfId="0" applyNumberFormat="1" applyFont="1" applyFill="1" applyBorder="1" applyAlignment="1">
      <alignment horizontal="right" vertical="center" wrapText="1"/>
    </xf>
    <xf numFmtId="3" fontId="7" fillId="0" borderId="14" xfId="27" applyNumberFormat="1" applyFont="1" applyFill="1" applyBorder="1" applyAlignment="1">
      <alignment vertical="center" wrapText="1"/>
      <protection/>
    </xf>
    <xf numFmtId="3" fontId="7" fillId="0" borderId="1" xfId="27" applyNumberFormat="1" applyFont="1" applyFill="1" applyBorder="1" applyAlignment="1">
      <alignment vertical="center" wrapText="1"/>
      <protection/>
    </xf>
    <xf numFmtId="3" fontId="7" fillId="0" borderId="23" xfId="27" applyNumberFormat="1" applyFont="1" applyFill="1" applyBorder="1" applyAlignment="1">
      <alignment vertical="center" wrapText="1"/>
      <protection/>
    </xf>
    <xf numFmtId="3" fontId="7" fillId="0" borderId="20" xfId="27" applyNumberFormat="1" applyFont="1" applyBorder="1" applyAlignment="1">
      <alignment vertical="center" wrapText="1"/>
      <protection/>
    </xf>
    <xf numFmtId="3" fontId="9" fillId="2" borderId="44" xfId="27" applyNumberFormat="1" applyFont="1" applyFill="1" applyBorder="1" applyAlignment="1">
      <alignment vertical="center" wrapText="1"/>
      <protection/>
    </xf>
    <xf numFmtId="3" fontId="9" fillId="2" borderId="49" xfId="27" applyNumberFormat="1" applyFont="1" applyFill="1" applyBorder="1" applyAlignment="1">
      <alignment vertical="center" wrapText="1"/>
      <protection/>
    </xf>
    <xf numFmtId="3" fontId="9" fillId="2" borderId="46" xfId="27" applyNumberFormat="1" applyFont="1" applyFill="1" applyBorder="1" applyAlignment="1">
      <alignment vertical="center" wrapText="1"/>
      <protection/>
    </xf>
    <xf numFmtId="3" fontId="3" fillId="2" borderId="47" xfId="27" applyNumberFormat="1" applyFont="1" applyFill="1" applyBorder="1" applyAlignment="1">
      <alignment vertical="center" wrapText="1"/>
      <protection/>
    </xf>
    <xf numFmtId="3" fontId="3" fillId="2" borderId="26" xfId="27" applyNumberFormat="1" applyFont="1" applyFill="1" applyBorder="1" applyAlignment="1">
      <alignment vertical="center" wrapText="1"/>
      <protection/>
    </xf>
    <xf numFmtId="3" fontId="3" fillId="2" borderId="70" xfId="27" applyNumberFormat="1" applyFont="1" applyFill="1" applyBorder="1" applyAlignment="1">
      <alignment vertical="center" wrapText="1"/>
      <protection/>
    </xf>
    <xf numFmtId="3" fontId="3" fillId="2" borderId="70" xfId="27" applyNumberFormat="1" applyFont="1" applyFill="1" applyBorder="1" applyAlignment="1">
      <alignment horizontal="right" vertical="center" wrapText="1"/>
      <protection/>
    </xf>
    <xf numFmtId="10" fontId="3" fillId="2" borderId="15" xfId="0" applyNumberFormat="1" applyFont="1" applyFill="1" applyBorder="1" applyAlignment="1">
      <alignment horizontal="right" vertical="center" wrapText="1"/>
    </xf>
    <xf numFmtId="0" fontId="2" fillId="2" borderId="71" xfId="0" applyFont="1" applyFill="1" applyBorder="1" applyAlignment="1">
      <alignment horizontal="center" vertical="center"/>
    </xf>
    <xf numFmtId="0" fontId="2" fillId="2" borderId="60" xfId="0" applyFont="1" applyFill="1" applyBorder="1" applyAlignment="1">
      <alignment horizontal="center" vertical="center"/>
    </xf>
    <xf numFmtId="0" fontId="4" fillId="2" borderId="30" xfId="0" applyFont="1" applyFill="1" applyBorder="1" applyAlignment="1">
      <alignment horizontal="center"/>
    </xf>
    <xf numFmtId="0" fontId="4" fillId="2" borderId="31" xfId="0" applyFont="1" applyFill="1" applyBorder="1" applyAlignment="1">
      <alignment horizontal="center"/>
    </xf>
    <xf numFmtId="3" fontId="3" fillId="0" borderId="11" xfId="27" applyNumberFormat="1" applyFont="1" applyBorder="1" applyAlignment="1">
      <alignment vertical="center" wrapText="1"/>
      <protection/>
    </xf>
    <xf numFmtId="3" fontId="3" fillId="0" borderId="16" xfId="27" applyNumberFormat="1" applyFont="1" applyBorder="1" applyAlignment="1">
      <alignment vertical="center" wrapText="1"/>
      <protection/>
    </xf>
    <xf numFmtId="3" fontId="3" fillId="0" borderId="3" xfId="27" applyNumberFormat="1" applyFont="1" applyBorder="1" applyAlignment="1">
      <alignment vertical="center" wrapText="1"/>
      <protection/>
    </xf>
    <xf numFmtId="10" fontId="3" fillId="4" borderId="27" xfId="0" applyNumberFormat="1" applyFont="1" applyFill="1" applyBorder="1" applyAlignment="1">
      <alignment horizontal="right" vertical="center" wrapText="1"/>
    </xf>
    <xf numFmtId="3" fontId="3" fillId="0" borderId="64" xfId="27" applyNumberFormat="1" applyFont="1" applyBorder="1" applyAlignment="1">
      <alignment vertical="center" wrapText="1"/>
      <protection/>
    </xf>
    <xf numFmtId="3" fontId="3" fillId="0" borderId="14" xfId="27" applyNumberFormat="1" applyFont="1" applyBorder="1" applyAlignment="1">
      <alignment vertical="center" wrapText="1"/>
      <protection/>
    </xf>
    <xf numFmtId="3" fontId="3" fillId="0" borderId="1" xfId="27" applyNumberFormat="1" applyFont="1" applyBorder="1" applyAlignment="1">
      <alignment vertical="center" wrapText="1"/>
      <protection/>
    </xf>
    <xf numFmtId="10" fontId="3" fillId="4" borderId="29" xfId="0" applyNumberFormat="1" applyFont="1" applyFill="1" applyBorder="1" applyAlignment="1">
      <alignment horizontal="right" vertical="center" wrapText="1"/>
    </xf>
    <xf numFmtId="3" fontId="3" fillId="0" borderId="20" xfId="27" applyNumberFormat="1" applyFont="1" applyFill="1" applyBorder="1" applyAlignment="1">
      <alignment vertical="center" wrapText="1"/>
      <protection/>
    </xf>
    <xf numFmtId="3" fontId="3" fillId="0" borderId="8" xfId="27" applyNumberFormat="1" applyFont="1" applyBorder="1" applyAlignment="1">
      <alignment vertical="center" wrapText="1"/>
      <protection/>
    </xf>
    <xf numFmtId="10" fontId="3" fillId="4" borderId="30" xfId="0" applyNumberFormat="1" applyFont="1" applyFill="1" applyBorder="1" applyAlignment="1">
      <alignment horizontal="right" vertical="center" wrapText="1"/>
    </xf>
    <xf numFmtId="3" fontId="3" fillId="2" borderId="42" xfId="27" applyNumberFormat="1" applyFont="1" applyFill="1" applyBorder="1" applyAlignment="1">
      <alignment vertical="center" wrapText="1"/>
      <protection/>
    </xf>
    <xf numFmtId="3" fontId="3" fillId="2" borderId="65" xfId="27" applyNumberFormat="1" applyFont="1" applyFill="1" applyBorder="1" applyAlignment="1">
      <alignment vertical="center" wrapText="1"/>
      <protection/>
    </xf>
    <xf numFmtId="10" fontId="3" fillId="2" borderId="42" xfId="0" applyNumberFormat="1" applyFont="1" applyFill="1" applyBorder="1" applyAlignment="1">
      <alignment horizontal="right" vertical="center" wrapText="1"/>
    </xf>
    <xf numFmtId="3" fontId="3" fillId="0" borderId="34" xfId="27" applyNumberFormat="1" applyFont="1" applyFill="1" applyBorder="1" applyAlignment="1">
      <alignment vertical="center" wrapText="1"/>
      <protection/>
    </xf>
    <xf numFmtId="3" fontId="3" fillId="0" borderId="1" xfId="27" applyNumberFormat="1" applyFont="1" applyFill="1" applyBorder="1" applyAlignment="1">
      <alignment vertical="center" wrapText="1"/>
      <protection/>
    </xf>
    <xf numFmtId="3" fontId="3" fillId="0" borderId="64" xfId="27" applyNumberFormat="1" applyFont="1" applyFill="1" applyBorder="1" applyAlignment="1">
      <alignment vertical="center" wrapText="1"/>
      <protection/>
    </xf>
    <xf numFmtId="3" fontId="3" fillId="0" borderId="14" xfId="27" applyNumberFormat="1" applyFont="1" applyFill="1" applyBorder="1" applyAlignment="1">
      <alignment vertical="center" wrapText="1"/>
      <protection/>
    </xf>
    <xf numFmtId="3" fontId="3" fillId="0" borderId="34" xfId="27" applyNumberFormat="1" applyFont="1" applyBorder="1" applyAlignment="1">
      <alignment vertical="center" wrapText="1"/>
      <protection/>
    </xf>
    <xf numFmtId="3" fontId="3" fillId="0" borderId="20" xfId="27" applyNumberFormat="1" applyFont="1" applyBorder="1" applyAlignment="1">
      <alignment vertical="center" wrapText="1"/>
      <protection/>
    </xf>
    <xf numFmtId="10" fontId="3" fillId="4" borderId="42" xfId="0" applyNumberFormat="1" applyFont="1" applyFill="1" applyBorder="1" applyAlignment="1">
      <alignment horizontal="right" vertical="center" wrapText="1"/>
    </xf>
    <xf numFmtId="3" fontId="3" fillId="2" borderId="44" xfId="27" applyNumberFormat="1" applyFont="1" applyFill="1" applyBorder="1" applyAlignment="1">
      <alignment vertical="center" wrapText="1"/>
      <protection/>
    </xf>
    <xf numFmtId="3" fontId="3" fillId="2" borderId="65" xfId="27" applyNumberFormat="1" applyFont="1" applyFill="1" applyBorder="1" applyAlignment="1">
      <alignment horizontal="right" vertical="center" wrapText="1"/>
      <protection/>
    </xf>
    <xf numFmtId="3" fontId="3" fillId="2" borderId="26" xfId="27" applyNumberFormat="1" applyFont="1" applyFill="1" applyBorder="1" applyAlignment="1">
      <alignment horizontal="right" vertical="center" wrapText="1"/>
      <protection/>
    </xf>
    <xf numFmtId="10" fontId="3" fillId="4" borderId="31" xfId="0" applyNumberFormat="1" applyFont="1" applyFill="1" applyBorder="1" applyAlignment="1">
      <alignment horizontal="right" vertical="center" wrapText="1"/>
    </xf>
    <xf numFmtId="0" fontId="0" fillId="0" borderId="0" xfId="0" applyBorder="1" applyAlignment="1">
      <alignment wrapText="1"/>
    </xf>
    <xf numFmtId="0" fontId="0" fillId="2" borderId="65" xfId="0" applyFill="1" applyBorder="1" applyAlignment="1">
      <alignment/>
    </xf>
    <xf numFmtId="0" fontId="0" fillId="2" borderId="70" xfId="0" applyFill="1" applyBorder="1" applyAlignment="1">
      <alignment/>
    </xf>
    <xf numFmtId="0" fontId="2" fillId="2" borderId="72" xfId="0" applyFont="1" applyFill="1" applyBorder="1" applyAlignment="1">
      <alignment horizontal="center" vertical="center"/>
    </xf>
    <xf numFmtId="3" fontId="4" fillId="3" borderId="71" xfId="0" applyNumberFormat="1" applyFont="1" applyFill="1" applyBorder="1" applyAlignment="1">
      <alignment vertical="center" wrapText="1"/>
    </xf>
    <xf numFmtId="3" fontId="4" fillId="3" borderId="16" xfId="0" applyNumberFormat="1" applyFont="1" applyFill="1" applyBorder="1" applyAlignment="1">
      <alignment vertical="center" wrapText="1"/>
    </xf>
    <xf numFmtId="3" fontId="4" fillId="3" borderId="3" xfId="0" applyNumberFormat="1" applyFont="1" applyFill="1" applyBorder="1" applyAlignment="1">
      <alignment vertical="center" wrapText="1"/>
    </xf>
    <xf numFmtId="3" fontId="4" fillId="3" borderId="4" xfId="0" applyNumberFormat="1" applyFont="1" applyFill="1" applyBorder="1" applyAlignment="1">
      <alignment vertical="center" wrapText="1"/>
    </xf>
    <xf numFmtId="3" fontId="4" fillId="3" borderId="73" xfId="0" applyNumberFormat="1" applyFont="1" applyFill="1" applyBorder="1" applyAlignment="1">
      <alignment vertical="center" wrapText="1"/>
    </xf>
    <xf numFmtId="3" fontId="4" fillId="3" borderId="14" xfId="0" applyNumberFormat="1" applyFont="1" applyFill="1" applyBorder="1" applyAlignment="1">
      <alignment vertical="center" wrapText="1"/>
    </xf>
    <xf numFmtId="3" fontId="4" fillId="3" borderId="1" xfId="0" applyNumberFormat="1" applyFont="1" applyFill="1" applyBorder="1" applyAlignment="1">
      <alignment vertical="center" wrapText="1"/>
    </xf>
    <xf numFmtId="3" fontId="4" fillId="3" borderId="74" xfId="0" applyNumberFormat="1" applyFont="1" applyFill="1" applyBorder="1" applyAlignment="1">
      <alignment vertical="center" wrapText="1"/>
    </xf>
    <xf numFmtId="3" fontId="3" fillId="2" borderId="42" xfId="0" applyNumberFormat="1" applyFont="1" applyFill="1" applyBorder="1" applyAlignment="1">
      <alignment vertical="center" wrapText="1"/>
    </xf>
    <xf numFmtId="3" fontId="3" fillId="2" borderId="49" xfId="27" applyNumberFormat="1" applyFont="1" applyFill="1" applyBorder="1" applyAlignment="1">
      <alignment vertical="center" wrapText="1"/>
      <protection/>
    </xf>
    <xf numFmtId="3" fontId="3" fillId="2" borderId="46" xfId="27" applyNumberFormat="1" applyFont="1" applyFill="1" applyBorder="1" applyAlignment="1">
      <alignment vertical="center" wrapText="1"/>
      <protection/>
    </xf>
    <xf numFmtId="3" fontId="3" fillId="2" borderId="42" xfId="0" applyNumberFormat="1" applyFont="1" applyFill="1" applyBorder="1" applyAlignment="1">
      <alignment horizontal="center" vertical="center" wrapText="1"/>
    </xf>
    <xf numFmtId="3" fontId="3" fillId="2" borderId="47" xfId="27" applyNumberFormat="1" applyFont="1" applyFill="1" applyBorder="1" applyAlignment="1">
      <alignment vertical="center"/>
      <protection/>
    </xf>
    <xf numFmtId="3" fontId="3" fillId="2" borderId="46" xfId="27" applyNumberFormat="1" applyFont="1" applyFill="1" applyBorder="1" applyAlignment="1">
      <alignment vertical="center"/>
      <protection/>
    </xf>
    <xf numFmtId="3" fontId="3" fillId="2" borderId="44" xfId="27" applyNumberFormat="1" applyFont="1" applyFill="1" applyBorder="1" applyAlignment="1">
      <alignment vertical="center"/>
      <protection/>
    </xf>
    <xf numFmtId="3" fontId="3" fillId="2" borderId="65" xfId="0" applyNumberFormat="1" applyFont="1" applyFill="1" applyBorder="1" applyAlignment="1">
      <alignment horizontal="right" vertical="center" wrapText="1"/>
    </xf>
    <xf numFmtId="3" fontId="3" fillId="2" borderId="26" xfId="0" applyNumberFormat="1" applyFont="1" applyFill="1" applyBorder="1" applyAlignment="1">
      <alignment horizontal="right" vertical="center" wrapText="1"/>
    </xf>
    <xf numFmtId="10" fontId="3" fillId="2" borderId="31" xfId="0" applyNumberFormat="1" applyFont="1" applyFill="1" applyBorder="1" applyAlignment="1">
      <alignment horizontal="right" vertical="center" wrapText="1"/>
    </xf>
    <xf numFmtId="0" fontId="3" fillId="2" borderId="2" xfId="29" applyFont="1" applyFill="1" applyBorder="1" applyAlignment="1">
      <alignment horizontal="center" vertical="center" wrapText="1"/>
      <protection/>
    </xf>
    <xf numFmtId="0" fontId="3" fillId="2" borderId="10" xfId="29" applyFont="1" applyFill="1" applyBorder="1" applyAlignment="1">
      <alignment horizontal="center" vertical="center" wrapText="1"/>
      <protection/>
    </xf>
    <xf numFmtId="0" fontId="3" fillId="2" borderId="10" xfId="29" applyFont="1" applyFill="1" applyBorder="1" applyAlignment="1" quotePrefix="1">
      <alignment horizontal="center" vertical="center"/>
      <protection/>
    </xf>
    <xf numFmtId="0" fontId="3" fillId="2" borderId="45" xfId="29" applyFont="1" applyFill="1" applyBorder="1" applyAlignment="1">
      <alignment horizontal="center" vertical="center" wrapText="1"/>
      <protection/>
    </xf>
    <xf numFmtId="0" fontId="3" fillId="2" borderId="44" xfId="29" applyFont="1" applyFill="1" applyBorder="1" applyAlignment="1" quotePrefix="1">
      <alignment horizontal="center" vertical="center"/>
      <protection/>
    </xf>
    <xf numFmtId="0" fontId="10" fillId="0" borderId="3" xfId="29" applyFont="1" applyBorder="1" applyAlignment="1">
      <alignment horizontal="right" vertical="center"/>
      <protection/>
    </xf>
    <xf numFmtId="0" fontId="3" fillId="0" borderId="11" xfId="29" applyFont="1" applyBorder="1" applyAlignment="1">
      <alignment vertical="center"/>
      <protection/>
    </xf>
    <xf numFmtId="0" fontId="3" fillId="0" borderId="11" xfId="29" applyFont="1" applyFill="1" applyBorder="1" applyAlignment="1">
      <alignment vertical="center"/>
      <protection/>
    </xf>
    <xf numFmtId="0" fontId="10" fillId="0" borderId="11" xfId="29" applyFont="1" applyBorder="1" applyAlignment="1">
      <alignment horizontal="center" vertical="center"/>
      <protection/>
    </xf>
    <xf numFmtId="164" fontId="10" fillId="0" borderId="33" xfId="29" applyNumberFormat="1" applyFont="1" applyBorder="1" applyAlignment="1">
      <alignment horizontal="right" vertical="center"/>
      <protection/>
    </xf>
    <xf numFmtId="165" fontId="3" fillId="0" borderId="11" xfId="29" applyNumberFormat="1" applyFont="1" applyBorder="1" applyAlignment="1">
      <alignment vertical="center"/>
      <protection/>
    </xf>
    <xf numFmtId="164" fontId="10" fillId="0" borderId="4" xfId="29" applyNumberFormat="1" applyFont="1" applyBorder="1" applyAlignment="1">
      <alignment horizontal="right" vertical="center"/>
      <protection/>
    </xf>
    <xf numFmtId="0" fontId="10" fillId="0" borderId="1" xfId="29" applyFont="1" applyBorder="1" applyAlignment="1">
      <alignment horizontal="right" vertical="center"/>
      <protection/>
    </xf>
    <xf numFmtId="0" fontId="3" fillId="0" borderId="12" xfId="29" applyFont="1" applyBorder="1" applyAlignment="1">
      <alignment vertical="center"/>
      <protection/>
    </xf>
    <xf numFmtId="0" fontId="3" fillId="0" borderId="12" xfId="29" applyFont="1" applyFill="1" applyBorder="1" applyAlignment="1">
      <alignment vertical="center"/>
      <protection/>
    </xf>
    <xf numFmtId="164" fontId="10" fillId="0" borderId="34" xfId="29" applyNumberFormat="1" applyFont="1" applyBorder="1" applyAlignment="1">
      <alignment horizontal="right" vertical="center"/>
      <protection/>
    </xf>
    <xf numFmtId="165" fontId="3" fillId="0" borderId="12" xfId="29" applyNumberFormat="1" applyFont="1" applyBorder="1" applyAlignment="1">
      <alignment vertical="center"/>
      <protection/>
    </xf>
    <xf numFmtId="0" fontId="10" fillId="0" borderId="8" xfId="29" applyFont="1" applyBorder="1" applyAlignment="1">
      <alignment horizontal="right" vertical="center"/>
      <protection/>
    </xf>
    <xf numFmtId="0" fontId="3" fillId="0" borderId="39" xfId="29" applyFont="1" applyBorder="1" applyAlignment="1">
      <alignment vertical="center"/>
      <protection/>
    </xf>
    <xf numFmtId="0" fontId="3" fillId="0" borderId="39" xfId="29" applyFont="1" applyFill="1" applyBorder="1" applyAlignment="1">
      <alignment vertical="center"/>
      <protection/>
    </xf>
    <xf numFmtId="0" fontId="10" fillId="0" borderId="38" xfId="29" applyFont="1" applyBorder="1" applyAlignment="1">
      <alignment horizontal="center" vertical="center"/>
      <protection/>
    </xf>
    <xf numFmtId="164" fontId="10" fillId="0" borderId="35" xfId="29" applyNumberFormat="1" applyFont="1" applyBorder="1" applyAlignment="1">
      <alignment horizontal="right" vertical="center"/>
      <protection/>
    </xf>
    <xf numFmtId="165" fontId="3" fillId="0" borderId="39" xfId="29" applyNumberFormat="1" applyFont="1" applyBorder="1" applyAlignment="1">
      <alignment vertical="center"/>
      <protection/>
    </xf>
    <xf numFmtId="0" fontId="3" fillId="2" borderId="46" xfId="29" applyFont="1" applyFill="1" applyBorder="1" applyAlignment="1">
      <alignment horizontal="right" vertical="center" wrapText="1"/>
      <protection/>
    </xf>
    <xf numFmtId="164" fontId="10" fillId="2" borderId="65" xfId="29" applyNumberFormat="1" applyFont="1" applyFill="1" applyBorder="1" applyAlignment="1">
      <alignment horizontal="right" vertical="center"/>
      <protection/>
    </xf>
    <xf numFmtId="165" fontId="3" fillId="2" borderId="46" xfId="29" applyNumberFormat="1" applyFont="1" applyFill="1" applyBorder="1" applyAlignment="1">
      <alignment horizontal="right" vertical="center" wrapText="1"/>
      <protection/>
    </xf>
    <xf numFmtId="164" fontId="10" fillId="2" borderId="44" xfId="29" applyNumberFormat="1" applyFont="1" applyFill="1" applyBorder="1" applyAlignment="1">
      <alignment horizontal="right" vertical="center"/>
      <protection/>
    </xf>
    <xf numFmtId="3" fontId="3" fillId="0" borderId="1" xfId="29" applyNumberFormat="1" applyFont="1" applyFill="1" applyBorder="1" applyAlignment="1">
      <alignment vertical="center"/>
      <protection/>
    </xf>
    <xf numFmtId="0" fontId="3" fillId="2" borderId="17" xfId="29" applyFont="1" applyFill="1" applyBorder="1" applyAlignment="1">
      <alignment horizontal="center" vertical="center" wrapText="1"/>
      <protection/>
    </xf>
    <xf numFmtId="0" fontId="3" fillId="2" borderId="6" xfId="29" applyFont="1" applyFill="1" applyBorder="1" applyAlignment="1">
      <alignment horizontal="center" vertical="center" wrapText="1"/>
      <protection/>
    </xf>
    <xf numFmtId="0" fontId="3" fillId="2" borderId="36" xfId="29" applyFont="1" applyFill="1" applyBorder="1" applyAlignment="1">
      <alignment horizontal="center" vertical="center" wrapText="1"/>
      <protection/>
    </xf>
    <xf numFmtId="14" fontId="3" fillId="2" borderId="57" xfId="29" applyNumberFormat="1" applyFont="1" applyFill="1" applyBorder="1" applyAlignment="1">
      <alignment horizontal="center" vertical="center"/>
      <protection/>
    </xf>
    <xf numFmtId="3" fontId="3" fillId="2" borderId="41" xfId="29" applyNumberFormat="1" applyFont="1" applyFill="1" applyBorder="1" applyAlignment="1">
      <alignment vertical="center"/>
      <protection/>
    </xf>
    <xf numFmtId="3" fontId="3" fillId="2" borderId="58" xfId="29" applyNumberFormat="1" applyFont="1" applyFill="1" applyBorder="1" applyAlignment="1">
      <alignment vertical="center"/>
      <protection/>
    </xf>
    <xf numFmtId="3" fontId="5" fillId="2" borderId="59" xfId="29" applyNumberFormat="1" applyFont="1" applyFill="1" applyBorder="1" applyAlignment="1">
      <alignment vertical="center"/>
      <protection/>
    </xf>
    <xf numFmtId="3" fontId="3" fillId="2" borderId="37" xfId="29" applyNumberFormat="1" applyFont="1" applyFill="1" applyBorder="1" applyAlignment="1">
      <alignment vertical="center"/>
      <protection/>
    </xf>
    <xf numFmtId="3" fontId="5" fillId="2" borderId="59" xfId="29" applyNumberFormat="1" applyFont="1" applyFill="1" applyBorder="1" applyAlignment="1">
      <alignment horizontal="right" wrapText="1"/>
      <protection/>
    </xf>
    <xf numFmtId="3" fontId="3" fillId="2" borderId="60" xfId="29" applyNumberFormat="1" applyFont="1" applyFill="1" applyBorder="1" applyAlignment="1">
      <alignment vertical="center"/>
      <protection/>
    </xf>
    <xf numFmtId="14" fontId="3" fillId="2" borderId="34" xfId="29" applyNumberFormat="1" applyFont="1" applyFill="1" applyBorder="1" applyAlignment="1">
      <alignment horizontal="center" vertical="center"/>
      <protection/>
    </xf>
    <xf numFmtId="3" fontId="3" fillId="2" borderId="14" xfId="29" applyNumberFormat="1" applyFont="1" applyFill="1" applyBorder="1" applyAlignment="1">
      <alignment vertical="center"/>
      <protection/>
    </xf>
    <xf numFmtId="3" fontId="3" fillId="2" borderId="1" xfId="29" applyNumberFormat="1" applyFont="1" applyFill="1" applyBorder="1" applyAlignment="1">
      <alignment vertical="center"/>
      <protection/>
    </xf>
    <xf numFmtId="3" fontId="5" fillId="2" borderId="5" xfId="29" applyNumberFormat="1" applyFont="1" applyFill="1" applyBorder="1" applyAlignment="1">
      <alignment horizontal="right" vertical="center" wrapText="1"/>
      <protection/>
    </xf>
    <xf numFmtId="3" fontId="3" fillId="2" borderId="24" xfId="29" applyNumberFormat="1" applyFont="1" applyFill="1" applyBorder="1" applyAlignment="1">
      <alignment vertical="center"/>
      <protection/>
    </xf>
    <xf numFmtId="3" fontId="5" fillId="2" borderId="5" xfId="29" applyNumberFormat="1" applyFont="1" applyFill="1" applyBorder="1" applyAlignment="1">
      <alignment vertical="center"/>
      <protection/>
    </xf>
    <xf numFmtId="3" fontId="3" fillId="2" borderId="29" xfId="29" applyNumberFormat="1" applyFont="1" applyFill="1" applyBorder="1" applyAlignment="1">
      <alignment vertical="center"/>
      <protection/>
    </xf>
    <xf numFmtId="14" fontId="3" fillId="2" borderId="45" xfId="29" applyNumberFormat="1" applyFont="1" applyFill="1" applyBorder="1" applyAlignment="1">
      <alignment horizontal="center" vertical="center"/>
      <protection/>
    </xf>
    <xf numFmtId="3" fontId="3" fillId="2" borderId="48" xfId="29" applyNumberFormat="1" applyFont="1" applyFill="1" applyBorder="1" applyAlignment="1">
      <alignment vertical="center"/>
      <protection/>
    </xf>
    <xf numFmtId="3" fontId="3" fillId="2" borderId="2" xfId="29" applyNumberFormat="1" applyFont="1" applyFill="1" applyBorder="1" applyAlignment="1">
      <alignment vertical="center"/>
      <protection/>
    </xf>
    <xf numFmtId="3" fontId="5" fillId="2" borderId="15" xfId="29" applyNumberFormat="1" applyFont="1" applyFill="1" applyBorder="1" applyAlignment="1">
      <alignment horizontal="right" vertical="center" wrapText="1"/>
      <protection/>
    </xf>
    <xf numFmtId="3" fontId="3" fillId="2" borderId="32" xfId="29" applyNumberFormat="1" applyFont="1" applyFill="1" applyBorder="1" applyAlignment="1">
      <alignment vertical="center"/>
      <protection/>
    </xf>
    <xf numFmtId="3" fontId="5" fillId="2" borderId="10" xfId="29" applyNumberFormat="1" applyFont="1" applyFill="1" applyBorder="1" applyAlignment="1">
      <alignment vertical="center"/>
      <protection/>
    </xf>
    <xf numFmtId="3" fontId="3" fillId="2" borderId="31" xfId="29" applyNumberFormat="1" applyFont="1" applyFill="1" applyBorder="1" applyAlignment="1">
      <alignment vertical="center"/>
      <protection/>
    </xf>
    <xf numFmtId="14" fontId="3" fillId="0" borderId="34" xfId="29" applyNumberFormat="1" applyFont="1" applyFill="1" applyBorder="1" applyAlignment="1">
      <alignment horizontal="center" vertical="center"/>
      <protection/>
    </xf>
    <xf numFmtId="3" fontId="3" fillId="0" borderId="14" xfId="29" applyNumberFormat="1" applyFont="1" applyFill="1" applyBorder="1" applyAlignment="1">
      <alignment vertical="center"/>
      <protection/>
    </xf>
    <xf numFmtId="3" fontId="5" fillId="0" borderId="4" xfId="29" applyNumberFormat="1" applyFont="1" applyFill="1" applyBorder="1" applyAlignment="1">
      <alignment horizontal="right" vertical="center" wrapText="1"/>
      <protection/>
    </xf>
    <xf numFmtId="3" fontId="3" fillId="0" borderId="24" xfId="29" applyNumberFormat="1" applyFont="1" applyFill="1" applyBorder="1" applyAlignment="1">
      <alignment vertical="center"/>
      <protection/>
    </xf>
    <xf numFmtId="3" fontId="5" fillId="0" borderId="5" xfId="29" applyNumberFormat="1" applyFont="1" applyFill="1" applyBorder="1" applyAlignment="1">
      <alignment vertical="center"/>
      <protection/>
    </xf>
    <xf numFmtId="3" fontId="3" fillId="0" borderId="29" xfId="29" applyNumberFormat="1" applyFont="1" applyBorder="1">
      <alignment/>
      <protection/>
    </xf>
    <xf numFmtId="14" fontId="3" fillId="0" borderId="56" xfId="29" applyNumberFormat="1" applyFont="1" applyFill="1" applyBorder="1" applyAlignment="1">
      <alignment horizontal="center" vertical="center"/>
      <protection/>
    </xf>
    <xf numFmtId="3" fontId="3" fillId="0" borderId="17" xfId="29" applyNumberFormat="1" applyFont="1" applyFill="1" applyBorder="1" applyAlignment="1">
      <alignment vertical="center"/>
      <protection/>
    </xf>
    <xf numFmtId="3" fontId="3" fillId="0" borderId="6" xfId="29" applyNumberFormat="1" applyFont="1" applyFill="1" applyBorder="1" applyAlignment="1">
      <alignment vertical="center"/>
      <protection/>
    </xf>
    <xf numFmtId="3" fontId="5" fillId="0" borderId="15" xfId="29" applyNumberFormat="1" applyFont="1" applyFill="1" applyBorder="1" applyAlignment="1">
      <alignment horizontal="right" vertical="center" wrapText="1"/>
      <protection/>
    </xf>
    <xf numFmtId="3" fontId="3" fillId="0" borderId="32" xfId="29" applyNumberFormat="1" applyFont="1" applyFill="1" applyBorder="1" applyAlignment="1">
      <alignment vertical="center"/>
      <protection/>
    </xf>
    <xf numFmtId="3" fontId="3" fillId="0" borderId="2" xfId="29" applyNumberFormat="1" applyFont="1" applyFill="1" applyBorder="1" applyAlignment="1">
      <alignment vertical="center"/>
      <protection/>
    </xf>
    <xf numFmtId="3" fontId="5" fillId="0" borderId="15" xfId="29" applyNumberFormat="1" applyFont="1" applyFill="1" applyBorder="1" applyAlignment="1">
      <alignment vertical="center"/>
      <protection/>
    </xf>
    <xf numFmtId="3" fontId="3" fillId="0" borderId="43" xfId="29" applyNumberFormat="1" applyFont="1" applyBorder="1">
      <alignment/>
      <protection/>
    </xf>
    <xf numFmtId="0" fontId="3" fillId="2" borderId="8" xfId="29" applyFont="1" applyFill="1" applyBorder="1" applyAlignment="1">
      <alignment horizontal="center" vertical="center" wrapText="1"/>
      <protection/>
    </xf>
    <xf numFmtId="0" fontId="3" fillId="2" borderId="21" xfId="29" applyFont="1" applyFill="1" applyBorder="1" applyAlignment="1">
      <alignment horizontal="center" vertical="center" wrapText="1"/>
      <protection/>
    </xf>
    <xf numFmtId="3" fontId="3" fillId="2" borderId="29" xfId="29" applyNumberFormat="1" applyFont="1" applyFill="1" applyBorder="1">
      <alignment/>
      <protection/>
    </xf>
    <xf numFmtId="3" fontId="5" fillId="2" borderId="15" xfId="29" applyNumberFormat="1" applyFont="1" applyFill="1" applyBorder="1" applyAlignment="1">
      <alignment vertical="center"/>
      <protection/>
    </xf>
    <xf numFmtId="3" fontId="3" fillId="2" borderId="31" xfId="29" applyNumberFormat="1" applyFont="1" applyFill="1" applyBorder="1">
      <alignment/>
      <protection/>
    </xf>
    <xf numFmtId="14" fontId="3" fillId="0" borderId="57" xfId="29" applyNumberFormat="1" applyFont="1" applyFill="1" applyBorder="1" applyAlignment="1">
      <alignment horizontal="center" vertical="center"/>
      <protection/>
    </xf>
    <xf numFmtId="3" fontId="3" fillId="0" borderId="41" xfId="29" applyNumberFormat="1" applyFont="1" applyFill="1" applyBorder="1" applyAlignment="1">
      <alignment vertical="center"/>
      <protection/>
    </xf>
    <xf numFmtId="3" fontId="3" fillId="0" borderId="58" xfId="29" applyNumberFormat="1" applyFont="1" applyFill="1" applyBorder="1" applyAlignment="1">
      <alignment vertical="center"/>
      <protection/>
    </xf>
    <xf numFmtId="3" fontId="5" fillId="0" borderId="59" xfId="29" applyNumberFormat="1" applyFont="1" applyFill="1" applyBorder="1" applyAlignment="1">
      <alignment horizontal="right" vertical="center" wrapText="1"/>
      <protection/>
    </xf>
    <xf numFmtId="3" fontId="3" fillId="0" borderId="40" xfId="29" applyNumberFormat="1" applyFont="1" applyFill="1" applyBorder="1" applyAlignment="1">
      <alignment vertical="center"/>
      <protection/>
    </xf>
    <xf numFmtId="3" fontId="5" fillId="0" borderId="59" xfId="29" applyNumberFormat="1" applyFont="1" applyFill="1" applyBorder="1" applyAlignment="1">
      <alignment vertical="center"/>
      <protection/>
    </xf>
    <xf numFmtId="3" fontId="3" fillId="0" borderId="60" xfId="29" applyNumberFormat="1" applyFont="1" applyFill="1" applyBorder="1">
      <alignment/>
      <protection/>
    </xf>
    <xf numFmtId="14" fontId="3" fillId="0" borderId="33" xfId="29" applyNumberFormat="1" applyFont="1" applyFill="1" applyBorder="1" applyAlignment="1">
      <alignment horizontal="center" vertical="center"/>
      <protection/>
    </xf>
    <xf numFmtId="3" fontId="3" fillId="0" borderId="29" xfId="29" applyNumberFormat="1" applyFont="1" applyFill="1" applyBorder="1" applyAlignment="1">
      <alignment vertical="center"/>
      <protection/>
    </xf>
    <xf numFmtId="3" fontId="3" fillId="0" borderId="34" xfId="29" applyNumberFormat="1" applyFont="1" applyBorder="1" applyAlignment="1">
      <alignment vertical="center"/>
      <protection/>
    </xf>
    <xf numFmtId="3" fontId="3" fillId="0" borderId="1" xfId="29" applyNumberFormat="1" applyFont="1" applyBorder="1" applyAlignment="1">
      <alignment vertical="center"/>
      <protection/>
    </xf>
    <xf numFmtId="3" fontId="3" fillId="0" borderId="54" xfId="29" applyNumberFormat="1" applyFont="1" applyBorder="1" applyAlignment="1">
      <alignment vertical="center"/>
      <protection/>
    </xf>
    <xf numFmtId="0" fontId="3" fillId="2" borderId="7" xfId="29" applyFont="1" applyFill="1" applyBorder="1" applyAlignment="1">
      <alignment horizontal="center" vertical="center" wrapText="1"/>
      <protection/>
    </xf>
    <xf numFmtId="3" fontId="3" fillId="0" borderId="55" xfId="29" applyNumberFormat="1" applyFont="1" applyBorder="1" applyAlignment="1">
      <alignment vertical="center"/>
      <protection/>
    </xf>
    <xf numFmtId="3" fontId="3" fillId="0" borderId="51" xfId="29" applyNumberFormat="1" applyFont="1" applyBorder="1" applyAlignment="1">
      <alignment vertical="center"/>
      <protection/>
    </xf>
    <xf numFmtId="3" fontId="3" fillId="0" borderId="11" xfId="29" applyNumberFormat="1" applyFont="1" applyBorder="1" applyAlignment="1">
      <alignment vertical="center"/>
      <protection/>
    </xf>
    <xf numFmtId="3" fontId="3" fillId="0" borderId="75" xfId="29" applyNumberFormat="1" applyFont="1" applyBorder="1" applyAlignment="1">
      <alignment vertical="center"/>
      <protection/>
    </xf>
    <xf numFmtId="3" fontId="3" fillId="0" borderId="4" xfId="29" applyNumberFormat="1" applyFont="1" applyBorder="1" applyAlignment="1">
      <alignment vertical="center"/>
      <protection/>
    </xf>
    <xf numFmtId="3" fontId="3" fillId="0" borderId="16" xfId="29" applyNumberFormat="1" applyFont="1" applyBorder="1" applyAlignment="1">
      <alignment vertical="center"/>
      <protection/>
    </xf>
    <xf numFmtId="3" fontId="3" fillId="0" borderId="3" xfId="29" applyNumberFormat="1" applyFont="1" applyBorder="1" applyAlignment="1">
      <alignment vertical="center"/>
      <protection/>
    </xf>
    <xf numFmtId="3" fontId="3" fillId="0" borderId="12" xfId="29" applyNumberFormat="1" applyFont="1" applyBorder="1" applyAlignment="1">
      <alignment vertical="center"/>
      <protection/>
    </xf>
    <xf numFmtId="3" fontId="3" fillId="0" borderId="5" xfId="29" applyNumberFormat="1" applyFont="1" applyBorder="1" applyAlignment="1">
      <alignment vertical="center"/>
      <protection/>
    </xf>
    <xf numFmtId="3" fontId="3" fillId="0" borderId="14" xfId="29" applyNumberFormat="1" applyFont="1" applyBorder="1" applyAlignment="1">
      <alignment vertical="center"/>
      <protection/>
    </xf>
    <xf numFmtId="3" fontId="3" fillId="0" borderId="45" xfId="29" applyNumberFormat="1" applyFont="1" applyBorder="1" applyAlignment="1">
      <alignment vertical="center"/>
      <protection/>
    </xf>
    <xf numFmtId="3" fontId="3" fillId="0" borderId="36" xfId="29" applyNumberFormat="1" applyFont="1" applyBorder="1" applyAlignment="1">
      <alignment vertical="center"/>
      <protection/>
    </xf>
    <xf numFmtId="3" fontId="3" fillId="0" borderId="6" xfId="29" applyNumberFormat="1" applyFont="1" applyBorder="1" applyAlignment="1">
      <alignment vertical="center"/>
      <protection/>
    </xf>
    <xf numFmtId="3" fontId="3" fillId="0" borderId="7" xfId="29" applyNumberFormat="1" applyFont="1" applyBorder="1" applyAlignment="1">
      <alignment vertical="center"/>
      <protection/>
    </xf>
    <xf numFmtId="3" fontId="3" fillId="0" borderId="48" xfId="29" applyNumberFormat="1" applyFont="1" applyBorder="1" applyAlignment="1">
      <alignment vertical="center"/>
      <protection/>
    </xf>
    <xf numFmtId="3" fontId="3" fillId="0" borderId="2" xfId="29" applyNumberFormat="1" applyFont="1" applyBorder="1" applyAlignment="1">
      <alignment vertical="center"/>
      <protection/>
    </xf>
    <xf numFmtId="0" fontId="3" fillId="0" borderId="20" xfId="0" applyFont="1" applyBorder="1" applyAlignment="1">
      <alignment vertical="center"/>
    </xf>
    <xf numFmtId="3" fontId="3" fillId="0" borderId="7" xfId="0" applyNumberFormat="1" applyFont="1" applyFill="1" applyBorder="1" applyAlignment="1">
      <alignment vertical="center"/>
    </xf>
    <xf numFmtId="3" fontId="0" fillId="0" borderId="0" xfId="0" applyNumberFormat="1" applyAlignment="1">
      <alignment/>
    </xf>
    <xf numFmtId="0" fontId="20" fillId="0" borderId="0" xfId="0" applyFont="1" applyAlignment="1">
      <alignment/>
    </xf>
    <xf numFmtId="3" fontId="3" fillId="2" borderId="40" xfId="0" applyNumberFormat="1" applyFont="1" applyFill="1" applyBorder="1" applyAlignment="1">
      <alignment horizontal="right" vertical="center" wrapText="1"/>
    </xf>
    <xf numFmtId="3" fontId="3" fillId="2" borderId="25" xfId="0" applyNumberFormat="1" applyFont="1" applyFill="1" applyBorder="1" applyAlignment="1">
      <alignment horizontal="right" vertical="center" wrapText="1"/>
    </xf>
    <xf numFmtId="3" fontId="3" fillId="2" borderId="19" xfId="0" applyNumberFormat="1" applyFont="1" applyFill="1" applyBorder="1" applyAlignment="1">
      <alignment horizontal="right" vertical="center" wrapText="1"/>
    </xf>
    <xf numFmtId="3" fontId="3" fillId="2" borderId="6" xfId="0" applyNumberFormat="1" applyFont="1" applyFill="1" applyBorder="1" applyAlignment="1">
      <alignment horizontal="right" vertical="center" wrapText="1"/>
    </xf>
    <xf numFmtId="3" fontId="3" fillId="2" borderId="56" xfId="0" applyNumberFormat="1" applyFont="1" applyFill="1" applyBorder="1" applyAlignment="1">
      <alignment vertical="center"/>
    </xf>
    <xf numFmtId="3" fontId="3" fillId="2" borderId="36" xfId="0" applyNumberFormat="1" applyFont="1" applyFill="1" applyBorder="1" applyAlignment="1">
      <alignment vertical="center"/>
    </xf>
    <xf numFmtId="3" fontId="5" fillId="2" borderId="36" xfId="0" applyNumberFormat="1" applyFont="1" applyFill="1" applyBorder="1" applyAlignment="1">
      <alignment horizontal="right" wrapText="1"/>
    </xf>
    <xf numFmtId="3" fontId="3" fillId="0" borderId="34" xfId="0" applyNumberFormat="1" applyFont="1" applyBorder="1" applyAlignment="1">
      <alignment/>
    </xf>
    <xf numFmtId="3" fontId="3" fillId="0" borderId="1" xfId="0" applyNumberFormat="1" applyFont="1" applyBorder="1" applyAlignment="1">
      <alignment/>
    </xf>
    <xf numFmtId="3" fontId="3" fillId="0" borderId="54" xfId="0" applyNumberFormat="1" applyFont="1" applyBorder="1" applyAlignment="1">
      <alignment/>
    </xf>
    <xf numFmtId="3" fontId="3" fillId="0" borderId="48" xfId="0" applyNumberFormat="1" applyFont="1" applyFill="1" applyBorder="1" applyAlignment="1">
      <alignment vertical="center"/>
    </xf>
    <xf numFmtId="3" fontId="3" fillId="0" borderId="1" xfId="0" applyNumberFormat="1" applyFont="1" applyFill="1" applyBorder="1" applyAlignment="1">
      <alignment horizontal="right" vertical="center" wrapText="1"/>
    </xf>
    <xf numFmtId="3" fontId="3" fillId="3" borderId="29" xfId="0" applyNumberFormat="1" applyFont="1" applyFill="1" applyBorder="1" applyAlignment="1">
      <alignment vertical="center"/>
    </xf>
    <xf numFmtId="0" fontId="20" fillId="0" borderId="0" xfId="0" applyFont="1" applyFill="1" applyBorder="1" applyAlignment="1">
      <alignment/>
    </xf>
    <xf numFmtId="0" fontId="2" fillId="0" borderId="0" xfId="0" applyFont="1" applyFill="1" applyBorder="1" applyAlignment="1">
      <alignment/>
    </xf>
    <xf numFmtId="3" fontId="3" fillId="0" borderId="6" xfId="0" applyNumberFormat="1" applyFont="1" applyFill="1" applyBorder="1" applyAlignment="1">
      <alignment horizontal="right" vertical="center" wrapText="1"/>
    </xf>
    <xf numFmtId="3" fontId="3" fillId="0" borderId="43" xfId="0" applyNumberFormat="1" applyFont="1" applyFill="1" applyBorder="1" applyAlignment="1">
      <alignment vertical="center"/>
    </xf>
    <xf numFmtId="3" fontId="3" fillId="0" borderId="0" xfId="0" applyNumberFormat="1" applyFont="1" applyBorder="1" applyAlignment="1">
      <alignment/>
    </xf>
    <xf numFmtId="0" fontId="20" fillId="0" borderId="0" xfId="0" applyFont="1" applyFill="1" applyAlignment="1">
      <alignment/>
    </xf>
    <xf numFmtId="3" fontId="5" fillId="0" borderId="10" xfId="0" applyNumberFormat="1" applyFont="1" applyFill="1" applyBorder="1" applyAlignment="1">
      <alignment vertical="center"/>
    </xf>
    <xf numFmtId="0" fontId="9" fillId="2" borderId="1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1" xfId="0" applyFont="1" applyFill="1" applyBorder="1" applyAlignment="1">
      <alignment horizontal="center" vertical="center" wrapText="1"/>
    </xf>
    <xf numFmtId="4" fontId="3" fillId="0" borderId="41" xfId="0" applyNumberFormat="1" applyFont="1" applyFill="1" applyBorder="1" applyAlignment="1">
      <alignment vertical="center"/>
    </xf>
    <xf numFmtId="3" fontId="3" fillId="0" borderId="75" xfId="0" applyNumberFormat="1" applyFont="1" applyFill="1" applyBorder="1" applyAlignment="1">
      <alignment vertical="center"/>
    </xf>
    <xf numFmtId="3" fontId="3" fillId="0" borderId="13" xfId="0" applyNumberFormat="1" applyFont="1" applyFill="1" applyBorder="1" applyAlignment="1">
      <alignment vertical="center"/>
    </xf>
    <xf numFmtId="4" fontId="3" fillId="0" borderId="16" xfId="0" applyNumberFormat="1" applyFont="1" applyFill="1" applyBorder="1" applyAlignment="1">
      <alignment vertical="center"/>
    </xf>
    <xf numFmtId="4" fontId="3" fillId="0" borderId="14" xfId="0" applyNumberFormat="1" applyFont="1" applyFill="1" applyBorder="1" applyAlignment="1">
      <alignment vertical="center"/>
    </xf>
    <xf numFmtId="4" fontId="3" fillId="0" borderId="17" xfId="0" applyNumberFormat="1" applyFont="1" applyFill="1" applyBorder="1" applyAlignment="1">
      <alignment vertical="center"/>
    </xf>
    <xf numFmtId="3" fontId="3" fillId="0" borderId="15" xfId="0" applyNumberFormat="1" applyFont="1" applyFill="1" applyBorder="1" applyAlignment="1">
      <alignment vertical="center"/>
    </xf>
    <xf numFmtId="4" fontId="3" fillId="2" borderId="45" xfId="0" applyNumberFormat="1" applyFont="1" applyFill="1" applyBorder="1" applyAlignment="1">
      <alignment vertical="center"/>
    </xf>
    <xf numFmtId="4" fontId="3" fillId="2" borderId="10" xfId="0" applyNumberFormat="1" applyFont="1" applyFill="1" applyBorder="1" applyAlignment="1">
      <alignment vertical="center"/>
    </xf>
    <xf numFmtId="164" fontId="10" fillId="0" borderId="3" xfId="0" applyNumberFormat="1" applyFont="1" applyBorder="1" applyAlignment="1">
      <alignment horizontal="right" vertical="center"/>
    </xf>
    <xf numFmtId="164" fontId="10" fillId="0" borderId="1" xfId="0" applyNumberFormat="1" applyFont="1" applyBorder="1" applyAlignment="1">
      <alignment horizontal="right" vertical="center"/>
    </xf>
    <xf numFmtId="164" fontId="10" fillId="0" borderId="38" xfId="0" applyNumberFormat="1" applyFont="1" applyBorder="1" applyAlignment="1">
      <alignment horizontal="right" vertical="center"/>
    </xf>
    <xf numFmtId="164" fontId="10" fillId="0" borderId="6" xfId="0" applyNumberFormat="1" applyFont="1" applyBorder="1" applyAlignment="1">
      <alignment horizontal="right" vertical="center"/>
    </xf>
    <xf numFmtId="0" fontId="10" fillId="2" borderId="46" xfId="0" applyFont="1" applyFill="1" applyBorder="1" applyAlignment="1">
      <alignment horizontal="center" vertical="center"/>
    </xf>
    <xf numFmtId="164" fontId="10" fillId="2" borderId="2" xfId="0" applyNumberFormat="1" applyFont="1" applyFill="1" applyBorder="1" applyAlignment="1">
      <alignment horizontal="right" vertical="center" wrapText="1"/>
    </xf>
    <xf numFmtId="0" fontId="4" fillId="0" borderId="0" xfId="0" applyFont="1" applyAlignment="1">
      <alignment/>
    </xf>
    <xf numFmtId="3" fontId="3" fillId="2" borderId="46" xfId="0" applyNumberFormat="1" applyFont="1" applyFill="1" applyBorder="1" applyAlignment="1">
      <alignment vertical="center" wrapText="1"/>
    </xf>
    <xf numFmtId="3" fontId="3" fillId="2" borderId="44" xfId="0" applyNumberFormat="1" applyFont="1" applyFill="1" applyBorder="1" applyAlignment="1">
      <alignment vertical="center" wrapText="1"/>
    </xf>
    <xf numFmtId="10" fontId="3" fillId="2" borderId="70" xfId="0" applyNumberFormat="1" applyFont="1" applyFill="1" applyBorder="1" applyAlignment="1">
      <alignment horizontal="right" vertical="center" wrapText="1"/>
    </xf>
    <xf numFmtId="3" fontId="3" fillId="2" borderId="42" xfId="0" applyNumberFormat="1" applyFont="1" applyFill="1" applyBorder="1" applyAlignment="1">
      <alignment horizontal="right" vertical="center" wrapText="1"/>
    </xf>
    <xf numFmtId="0" fontId="16" fillId="0" borderId="0" xfId="0" applyAlignment="1">
      <alignment/>
    </xf>
    <xf numFmtId="3" fontId="3" fillId="0" borderId="52" xfId="0" applyNumberFormat="1" applyFont="1" applyBorder="1" applyAlignment="1">
      <alignment vertical="center"/>
    </xf>
    <xf numFmtId="0" fontId="3" fillId="2" borderId="49" xfId="29" applyFont="1" applyFill="1" applyBorder="1" applyAlignment="1">
      <alignment horizontal="right" vertical="center"/>
      <protection/>
    </xf>
    <xf numFmtId="0" fontId="10" fillId="2" borderId="44" xfId="29" applyFont="1" applyFill="1" applyBorder="1" applyAlignment="1">
      <alignment horizontal="center" vertical="center"/>
      <protection/>
    </xf>
    <xf numFmtId="0" fontId="0" fillId="0" borderId="0" xfId="26">
      <alignment/>
      <protection/>
    </xf>
    <xf numFmtId="0" fontId="0" fillId="0" borderId="0" xfId="26" applyAlignment="1">
      <alignment vertical="center"/>
      <protection/>
    </xf>
    <xf numFmtId="0" fontId="21" fillId="2" borderId="17" xfId="26" applyFont="1" applyFill="1" applyBorder="1" applyAlignment="1">
      <alignment horizontal="center" vertical="center" wrapText="1"/>
      <protection/>
    </xf>
    <xf numFmtId="0" fontId="21" fillId="2" borderId="6" xfId="26" applyFont="1" applyFill="1" applyBorder="1" applyAlignment="1">
      <alignment horizontal="center" vertical="center" wrapText="1"/>
      <protection/>
    </xf>
    <xf numFmtId="0" fontId="21" fillId="2" borderId="7" xfId="26" applyFont="1" applyFill="1" applyBorder="1" applyAlignment="1">
      <alignment horizontal="center" vertical="center" wrapText="1"/>
      <protection/>
    </xf>
    <xf numFmtId="0" fontId="21" fillId="2" borderId="19" xfId="26" applyFont="1" applyFill="1" applyBorder="1" applyAlignment="1">
      <alignment horizontal="center" vertical="center" wrapText="1"/>
      <protection/>
    </xf>
    <xf numFmtId="0" fontId="21" fillId="2" borderId="36" xfId="26" applyFont="1" applyFill="1" applyBorder="1" applyAlignment="1">
      <alignment horizontal="center" vertical="center" wrapText="1"/>
      <protection/>
    </xf>
    <xf numFmtId="0" fontId="21" fillId="2" borderId="49" xfId="26" applyFont="1" applyFill="1" applyBorder="1" applyAlignment="1">
      <alignment horizontal="center" vertical="center" wrapText="1"/>
      <protection/>
    </xf>
    <xf numFmtId="0" fontId="21" fillId="2" borderId="26" xfId="26" applyFont="1" applyFill="1" applyBorder="1" applyAlignment="1">
      <alignment horizontal="center" vertical="center" wrapText="1"/>
      <protection/>
    </xf>
    <xf numFmtId="0" fontId="21" fillId="2" borderId="44" xfId="26" applyFont="1" applyFill="1" applyBorder="1" applyAlignment="1">
      <alignment horizontal="center" vertical="center" wrapText="1"/>
      <protection/>
    </xf>
    <xf numFmtId="0" fontId="21" fillId="2" borderId="47" xfId="26" applyFont="1" applyFill="1" applyBorder="1" applyAlignment="1">
      <alignment horizontal="center" vertical="center" wrapText="1"/>
      <protection/>
    </xf>
    <xf numFmtId="0" fontId="21" fillId="2" borderId="65" xfId="26" applyFont="1" applyFill="1" applyBorder="1" applyAlignment="1">
      <alignment horizontal="center" vertical="center" wrapText="1"/>
      <protection/>
    </xf>
    <xf numFmtId="0" fontId="21" fillId="2" borderId="70" xfId="26" applyFont="1" applyFill="1" applyBorder="1" applyAlignment="1">
      <alignment horizontal="center" vertical="center" wrapText="1"/>
      <protection/>
    </xf>
    <xf numFmtId="0" fontId="21" fillId="0" borderId="0" xfId="26" applyFont="1" applyAlignment="1">
      <alignment horizontal="center"/>
      <protection/>
    </xf>
    <xf numFmtId="3" fontId="3" fillId="2" borderId="47" xfId="26" applyNumberFormat="1" applyFont="1" applyFill="1" applyBorder="1" applyAlignment="1">
      <alignment vertical="center"/>
      <protection/>
    </xf>
    <xf numFmtId="3" fontId="3" fillId="2" borderId="49" xfId="26" applyNumberFormat="1" applyFont="1" applyFill="1" applyBorder="1" applyAlignment="1">
      <alignment vertical="center"/>
      <protection/>
    </xf>
    <xf numFmtId="3" fontId="9" fillId="2" borderId="26" xfId="26" applyNumberFormat="1" applyFont="1" applyFill="1" applyBorder="1" applyAlignment="1">
      <alignment horizontal="center" vertical="center" wrapText="1"/>
      <protection/>
    </xf>
    <xf numFmtId="3" fontId="3" fillId="2" borderId="26" xfId="26" applyNumberFormat="1" applyFont="1" applyFill="1" applyBorder="1" applyAlignment="1">
      <alignment vertical="center"/>
      <protection/>
    </xf>
    <xf numFmtId="3" fontId="9" fillId="2" borderId="44" xfId="26" applyNumberFormat="1" applyFont="1" applyFill="1" applyBorder="1" applyAlignment="1">
      <alignment horizontal="center" vertical="center" wrapText="1"/>
      <protection/>
    </xf>
    <xf numFmtId="0" fontId="22" fillId="2" borderId="33" xfId="26" applyFont="1" applyFill="1" applyBorder="1" applyAlignment="1">
      <alignment horizontal="left" vertical="center"/>
      <protection/>
    </xf>
    <xf numFmtId="3" fontId="9" fillId="0" borderId="16" xfId="26" applyNumberFormat="1" applyFont="1" applyBorder="1" applyAlignment="1">
      <alignment horizontal="right" vertical="center"/>
      <protection/>
    </xf>
    <xf numFmtId="3" fontId="9" fillId="0" borderId="3" xfId="26" applyNumberFormat="1" applyFont="1" applyBorder="1" applyAlignment="1">
      <alignment horizontal="right" vertical="center"/>
      <protection/>
    </xf>
    <xf numFmtId="3" fontId="9" fillId="0" borderId="3" xfId="26" applyNumberFormat="1" applyFont="1" applyFill="1" applyBorder="1" applyAlignment="1">
      <alignment horizontal="right" vertical="center"/>
      <protection/>
    </xf>
    <xf numFmtId="3" fontId="9" fillId="0" borderId="4" xfId="26" applyNumberFormat="1" applyFont="1" applyBorder="1" applyAlignment="1">
      <alignment horizontal="right" vertical="center"/>
      <protection/>
    </xf>
    <xf numFmtId="3" fontId="9" fillId="0" borderId="28" xfId="26" applyNumberFormat="1" applyFont="1" applyBorder="1" applyAlignment="1">
      <alignment horizontal="right" vertical="center"/>
      <protection/>
    </xf>
    <xf numFmtId="3" fontId="9" fillId="0" borderId="11" xfId="26" applyNumberFormat="1" applyFont="1" applyBorder="1" applyAlignment="1">
      <alignment horizontal="right" vertical="center"/>
      <protection/>
    </xf>
    <xf numFmtId="3" fontId="3" fillId="0" borderId="33" xfId="26" applyNumberFormat="1" applyFont="1" applyBorder="1" applyAlignment="1">
      <alignment vertical="center"/>
      <protection/>
    </xf>
    <xf numFmtId="3" fontId="3" fillId="0" borderId="16" xfId="26" applyNumberFormat="1" applyFont="1" applyBorder="1" applyAlignment="1">
      <alignment vertical="center"/>
      <protection/>
    </xf>
    <xf numFmtId="10" fontId="3" fillId="0" borderId="11" xfId="26" applyNumberFormat="1" applyFont="1" applyBorder="1" applyAlignment="1">
      <alignment vertical="center"/>
      <protection/>
    </xf>
    <xf numFmtId="3" fontId="3" fillId="0" borderId="58" xfId="26" applyNumberFormat="1" applyFont="1" applyBorder="1" applyAlignment="1">
      <alignment vertical="center"/>
      <protection/>
    </xf>
    <xf numFmtId="10" fontId="3" fillId="0" borderId="3" xfId="26" applyNumberFormat="1" applyFont="1" applyBorder="1" applyAlignment="1">
      <alignment vertical="center"/>
      <protection/>
    </xf>
    <xf numFmtId="3" fontId="3" fillId="0" borderId="3" xfId="26" applyNumberFormat="1" applyFont="1" applyBorder="1" applyAlignment="1">
      <alignment vertical="center"/>
      <protection/>
    </xf>
    <xf numFmtId="10" fontId="3" fillId="0" borderId="4" xfId="26" applyNumberFormat="1" applyFont="1" applyBorder="1" applyAlignment="1">
      <alignment vertical="center"/>
      <protection/>
    </xf>
    <xf numFmtId="0" fontId="22" fillId="2" borderId="34" xfId="26" applyFont="1" applyFill="1" applyBorder="1" applyAlignment="1">
      <alignment vertical="center" wrapText="1"/>
      <protection/>
    </xf>
    <xf numFmtId="3" fontId="9" fillId="0" borderId="14" xfId="26" applyNumberFormat="1" applyFont="1" applyBorder="1" applyAlignment="1">
      <alignment horizontal="right" vertical="center"/>
      <protection/>
    </xf>
    <xf numFmtId="3" fontId="9" fillId="0" borderId="1" xfId="26" applyNumberFormat="1" applyFont="1" applyBorder="1" applyAlignment="1">
      <alignment vertical="center"/>
      <protection/>
    </xf>
    <xf numFmtId="3" fontId="9" fillId="0" borderId="5" xfId="26" applyNumberFormat="1" applyFont="1" applyBorder="1" applyAlignment="1">
      <alignment vertical="center"/>
      <protection/>
    </xf>
    <xf numFmtId="0" fontId="23" fillId="5" borderId="1" xfId="26" applyFont="1" applyFill="1" applyBorder="1" applyAlignment="1">
      <alignment horizontal="right" wrapText="1"/>
      <protection/>
    </xf>
    <xf numFmtId="0" fontId="23" fillId="5" borderId="12" xfId="26" applyFont="1" applyFill="1" applyBorder="1" applyAlignment="1">
      <alignment horizontal="right" wrapText="1"/>
      <protection/>
    </xf>
    <xf numFmtId="0" fontId="24" fillId="0" borderId="1" xfId="26" applyFont="1" applyBorder="1" applyAlignment="1">
      <alignment horizontal="right" wrapText="1"/>
      <protection/>
    </xf>
    <xf numFmtId="0" fontId="24" fillId="0" borderId="24" xfId="26" applyFont="1" applyBorder="1" applyAlignment="1">
      <alignment horizontal="right" wrapText="1"/>
      <protection/>
    </xf>
    <xf numFmtId="3" fontId="9" fillId="0" borderId="16" xfId="26" applyNumberFormat="1" applyFont="1" applyFill="1" applyBorder="1" applyAlignment="1">
      <alignment horizontal="right" vertical="center"/>
      <protection/>
    </xf>
    <xf numFmtId="3" fontId="3" fillId="0" borderId="34" xfId="26" applyNumberFormat="1" applyFont="1" applyBorder="1" applyAlignment="1">
      <alignment vertical="center"/>
      <protection/>
    </xf>
    <xf numFmtId="3" fontId="3" fillId="0" borderId="14" xfId="26" applyNumberFormat="1" applyFont="1" applyBorder="1" applyAlignment="1">
      <alignment vertical="center"/>
      <protection/>
    </xf>
    <xf numFmtId="3" fontId="3" fillId="0" borderId="1" xfId="26" applyNumberFormat="1" applyFont="1" applyBorder="1" applyAlignment="1">
      <alignment vertical="center"/>
      <protection/>
    </xf>
    <xf numFmtId="3" fontId="9" fillId="0" borderId="14" xfId="26" applyNumberFormat="1" applyFont="1" applyBorder="1" applyAlignment="1">
      <alignment vertical="center"/>
      <protection/>
    </xf>
    <xf numFmtId="0" fontId="24" fillId="0" borderId="3" xfId="26" applyFont="1" applyBorder="1" applyAlignment="1">
      <alignment horizontal="right" wrapText="1"/>
      <protection/>
    </xf>
    <xf numFmtId="0" fontId="24" fillId="0" borderId="28" xfId="26" applyFont="1" applyBorder="1" applyAlignment="1">
      <alignment horizontal="right" wrapText="1"/>
      <protection/>
    </xf>
    <xf numFmtId="3" fontId="3" fillId="0" borderId="34" xfId="26" applyNumberFormat="1" applyFont="1" applyBorder="1" applyAlignment="1">
      <alignment vertical="center" wrapText="1"/>
      <protection/>
    </xf>
    <xf numFmtId="3" fontId="3" fillId="0" borderId="56" xfId="26" applyNumberFormat="1" applyFont="1" applyBorder="1" applyAlignment="1">
      <alignment vertical="center"/>
      <protection/>
    </xf>
    <xf numFmtId="3" fontId="3" fillId="0" borderId="17" xfId="26" applyNumberFormat="1" applyFont="1" applyBorder="1" applyAlignment="1">
      <alignment vertical="center"/>
      <protection/>
    </xf>
    <xf numFmtId="10" fontId="3" fillId="0" borderId="6" xfId="26" applyNumberFormat="1" applyFont="1" applyBorder="1" applyAlignment="1">
      <alignment vertical="center"/>
      <protection/>
    </xf>
    <xf numFmtId="3" fontId="3" fillId="0" borderId="6" xfId="26" applyNumberFormat="1" applyFont="1" applyBorder="1" applyAlignment="1">
      <alignment vertical="center"/>
      <protection/>
    </xf>
    <xf numFmtId="10" fontId="3" fillId="0" borderId="7" xfId="26" applyNumberFormat="1" applyFont="1" applyBorder="1" applyAlignment="1">
      <alignment vertical="center"/>
      <protection/>
    </xf>
    <xf numFmtId="3" fontId="3" fillId="0" borderId="0" xfId="26" applyNumberFormat="1" applyFont="1" applyBorder="1" applyAlignment="1">
      <alignment vertical="center"/>
      <protection/>
    </xf>
    <xf numFmtId="10" fontId="3" fillId="0" borderId="0" xfId="26" applyNumberFormat="1" applyFont="1" applyBorder="1" applyAlignment="1">
      <alignment vertical="center"/>
      <protection/>
    </xf>
    <xf numFmtId="0" fontId="23" fillId="5" borderId="1" xfId="26" applyFont="1" applyFill="1" applyBorder="1" applyAlignment="1">
      <alignment wrapText="1"/>
      <protection/>
    </xf>
    <xf numFmtId="0" fontId="23" fillId="5" borderId="12" xfId="26" applyFont="1" applyFill="1" applyBorder="1" applyAlignment="1">
      <alignment wrapText="1"/>
      <protection/>
    </xf>
    <xf numFmtId="0" fontId="24" fillId="0" borderId="9" xfId="26" applyFont="1" applyBorder="1" applyAlignment="1">
      <alignment horizontal="right" wrapText="1"/>
      <protection/>
    </xf>
    <xf numFmtId="0" fontId="24" fillId="0" borderId="25" xfId="26" applyFont="1" applyBorder="1" applyAlignment="1">
      <alignment horizontal="right" wrapText="1"/>
      <protection/>
    </xf>
    <xf numFmtId="0" fontId="22" fillId="2" borderId="35" xfId="26" applyFont="1" applyFill="1" applyBorder="1" applyAlignment="1">
      <alignment vertical="center" wrapText="1"/>
      <protection/>
    </xf>
    <xf numFmtId="2" fontId="9" fillId="0" borderId="20" xfId="26" applyNumberFormat="1" applyFont="1" applyFill="1" applyBorder="1" applyAlignment="1">
      <alignment vertical="center"/>
      <protection/>
    </xf>
    <xf numFmtId="2" fontId="9" fillId="0" borderId="8" xfId="26" applyNumberFormat="1" applyFont="1" applyFill="1" applyBorder="1" applyAlignment="1">
      <alignment vertical="center"/>
      <protection/>
    </xf>
    <xf numFmtId="2" fontId="9" fillId="0" borderId="21" xfId="26" applyNumberFormat="1" applyFont="1" applyFill="1" applyBorder="1" applyAlignment="1">
      <alignment vertical="center"/>
      <protection/>
    </xf>
    <xf numFmtId="4" fontId="9" fillId="0" borderId="16" xfId="26" applyNumberFormat="1" applyFont="1" applyBorder="1" applyAlignment="1">
      <alignment horizontal="right" vertical="center"/>
      <protection/>
    </xf>
    <xf numFmtId="4" fontId="9" fillId="0" borderId="3" xfId="26" applyNumberFormat="1" applyFont="1" applyBorder="1" applyAlignment="1">
      <alignment horizontal="right" vertical="center"/>
      <protection/>
    </xf>
    <xf numFmtId="4" fontId="9" fillId="0" borderId="4" xfId="26" applyNumberFormat="1" applyFont="1" applyBorder="1" applyAlignment="1">
      <alignment horizontal="right" vertical="center"/>
      <protection/>
    </xf>
    <xf numFmtId="3" fontId="22" fillId="2" borderId="47" xfId="26" applyNumberFormat="1" applyFont="1" applyFill="1" applyBorder="1" applyAlignment="1">
      <alignment vertical="center" wrapText="1"/>
      <protection/>
    </xf>
    <xf numFmtId="3" fontId="9" fillId="2" borderId="49" xfId="26" applyNumberFormat="1" applyFont="1" applyFill="1" applyBorder="1" applyAlignment="1">
      <alignment vertical="center"/>
      <protection/>
    </xf>
    <xf numFmtId="3" fontId="9" fillId="2" borderId="26" xfId="26" applyNumberFormat="1" applyFont="1" applyFill="1" applyBorder="1" applyAlignment="1">
      <alignment vertical="center"/>
      <protection/>
    </xf>
    <xf numFmtId="3" fontId="9" fillId="2" borderId="44" xfId="26" applyNumberFormat="1" applyFont="1" applyFill="1" applyBorder="1" applyAlignment="1">
      <alignment vertical="center"/>
      <protection/>
    </xf>
    <xf numFmtId="3" fontId="9" fillId="2" borderId="66" xfId="26" applyNumberFormat="1" applyFont="1" applyFill="1" applyBorder="1" applyAlignment="1">
      <alignment vertical="center"/>
      <protection/>
    </xf>
    <xf numFmtId="3" fontId="9" fillId="2" borderId="46" xfId="26" applyNumberFormat="1" applyFont="1" applyFill="1" applyBorder="1" applyAlignment="1">
      <alignment vertical="center"/>
      <protection/>
    </xf>
    <xf numFmtId="3" fontId="9" fillId="2" borderId="42" xfId="26" applyNumberFormat="1" applyFont="1" applyFill="1" applyBorder="1" applyAlignment="1">
      <alignment vertical="center"/>
      <protection/>
    </xf>
    <xf numFmtId="3" fontId="0" fillId="0" borderId="0" xfId="26" applyNumberFormat="1" applyAlignment="1">
      <alignment vertical="center"/>
      <protection/>
    </xf>
    <xf numFmtId="0" fontId="22" fillId="2" borderId="33" xfId="26" applyFont="1" applyFill="1" applyBorder="1" applyAlignment="1">
      <alignment vertical="center" wrapText="1"/>
      <protection/>
    </xf>
    <xf numFmtId="3" fontId="9" fillId="0" borderId="16" xfId="26" applyNumberFormat="1" applyFont="1" applyFill="1" applyBorder="1" applyAlignment="1">
      <alignment vertical="center"/>
      <protection/>
    </xf>
    <xf numFmtId="3" fontId="9" fillId="0" borderId="3" xfId="26" applyNumberFormat="1" applyFont="1" applyFill="1" applyBorder="1" applyAlignment="1">
      <alignment vertical="center"/>
      <protection/>
    </xf>
    <xf numFmtId="0" fontId="0" fillId="0" borderId="3" xfId="26" applyFill="1" applyBorder="1" applyAlignment="1">
      <alignment vertical="center"/>
      <protection/>
    </xf>
    <xf numFmtId="3" fontId="9" fillId="0" borderId="4" xfId="26" applyNumberFormat="1" applyFont="1" applyFill="1" applyBorder="1" applyAlignment="1">
      <alignment vertical="center"/>
      <protection/>
    </xf>
    <xf numFmtId="3" fontId="9" fillId="0" borderId="28" xfId="26" applyNumberFormat="1" applyFont="1" applyFill="1" applyBorder="1" applyAlignment="1">
      <alignment vertical="center"/>
      <protection/>
    </xf>
    <xf numFmtId="3" fontId="9" fillId="0" borderId="11" xfId="26" applyNumberFormat="1" applyFont="1" applyFill="1" applyBorder="1" applyAlignment="1">
      <alignment vertical="center"/>
      <protection/>
    </xf>
    <xf numFmtId="3" fontId="9" fillId="0" borderId="14" xfId="26" applyNumberFormat="1" applyFont="1" applyFill="1" applyBorder="1" applyAlignment="1">
      <alignment vertical="center"/>
      <protection/>
    </xf>
    <xf numFmtId="3" fontId="9" fillId="0" borderId="1" xfId="26" applyNumberFormat="1" applyFont="1" applyFill="1" applyBorder="1" applyAlignment="1">
      <alignment vertical="center"/>
      <protection/>
    </xf>
    <xf numFmtId="0" fontId="0" fillId="0" borderId="1" xfId="26" applyFill="1" applyBorder="1" applyAlignment="1">
      <alignment vertical="center"/>
      <protection/>
    </xf>
    <xf numFmtId="3" fontId="9" fillId="0" borderId="5" xfId="26" applyNumberFormat="1" applyFont="1" applyFill="1" applyBorder="1" applyAlignment="1">
      <alignment vertical="center"/>
      <protection/>
    </xf>
    <xf numFmtId="3" fontId="9" fillId="0" borderId="24" xfId="26" applyNumberFormat="1" applyFont="1" applyFill="1" applyBorder="1" applyAlignment="1">
      <alignment vertical="center"/>
      <protection/>
    </xf>
    <xf numFmtId="3" fontId="9" fillId="0" borderId="12" xfId="26" applyNumberFormat="1" applyFont="1" applyFill="1" applyBorder="1" applyAlignment="1">
      <alignment vertical="center"/>
      <protection/>
    </xf>
    <xf numFmtId="0" fontId="0" fillId="0" borderId="1" xfId="26" applyFill="1" applyBorder="1">
      <alignment/>
      <protection/>
    </xf>
    <xf numFmtId="3" fontId="9" fillId="2" borderId="46" xfId="26" applyNumberFormat="1" applyFont="1" applyFill="1" applyBorder="1" applyAlignment="1">
      <alignment horizontal="center" vertical="center" wrapText="1"/>
      <protection/>
    </xf>
    <xf numFmtId="3" fontId="9" fillId="0" borderId="20" xfId="26" applyNumberFormat="1" applyFont="1" applyFill="1" applyBorder="1" applyAlignment="1">
      <alignment vertical="center"/>
      <protection/>
    </xf>
    <xf numFmtId="3" fontId="9" fillId="0" borderId="8" xfId="26" applyNumberFormat="1" applyFont="1" applyFill="1" applyBorder="1" applyAlignment="1">
      <alignment vertical="center"/>
      <protection/>
    </xf>
    <xf numFmtId="0" fontId="0" fillId="0" borderId="8" xfId="26" applyFill="1" applyBorder="1" applyAlignment="1">
      <alignment vertical="center"/>
      <protection/>
    </xf>
    <xf numFmtId="3" fontId="9" fillId="0" borderId="21" xfId="26" applyNumberFormat="1" applyFont="1" applyFill="1" applyBorder="1" applyAlignment="1">
      <alignment vertical="center"/>
      <protection/>
    </xf>
    <xf numFmtId="3" fontId="9" fillId="0" borderId="22" xfId="26" applyNumberFormat="1" applyFont="1" applyFill="1" applyBorder="1" applyAlignment="1">
      <alignment vertical="center"/>
      <protection/>
    </xf>
    <xf numFmtId="3" fontId="9" fillId="0" borderId="9" xfId="26" applyNumberFormat="1" applyFont="1" applyFill="1" applyBorder="1" applyAlignment="1">
      <alignment vertical="center"/>
      <protection/>
    </xf>
    <xf numFmtId="0" fontId="0" fillId="0" borderId="9" xfId="26" applyFill="1" applyBorder="1" applyAlignment="1">
      <alignment vertical="center"/>
      <protection/>
    </xf>
    <xf numFmtId="3" fontId="9" fillId="0" borderId="23" xfId="26" applyNumberFormat="1" applyFont="1" applyFill="1" applyBorder="1" applyAlignment="1">
      <alignment vertical="center"/>
      <protection/>
    </xf>
    <xf numFmtId="3" fontId="9" fillId="0" borderId="18" xfId="26" applyNumberFormat="1" applyFont="1" applyFill="1" applyBorder="1" applyAlignment="1">
      <alignment vertical="center"/>
      <protection/>
    </xf>
    <xf numFmtId="3" fontId="9" fillId="0" borderId="39" xfId="26" applyNumberFormat="1" applyFont="1" applyFill="1" applyBorder="1" applyAlignment="1">
      <alignment vertical="center"/>
      <protection/>
    </xf>
    <xf numFmtId="3" fontId="9" fillId="2" borderId="41" xfId="26" applyNumberFormat="1" applyFont="1" applyFill="1" applyBorder="1" applyAlignment="1">
      <alignment vertical="center"/>
      <protection/>
    </xf>
    <xf numFmtId="3" fontId="9" fillId="2" borderId="58" xfId="26" applyNumberFormat="1" applyFont="1" applyFill="1" applyBorder="1" applyAlignment="1">
      <alignment vertical="center"/>
      <protection/>
    </xf>
    <xf numFmtId="3" fontId="9" fillId="2" borderId="59" xfId="26" applyNumberFormat="1" applyFont="1" applyFill="1" applyBorder="1" applyAlignment="1">
      <alignment vertical="center"/>
      <protection/>
    </xf>
    <xf numFmtId="3" fontId="9" fillId="2" borderId="69" xfId="26" applyNumberFormat="1" applyFont="1" applyFill="1" applyBorder="1" applyAlignment="1">
      <alignment vertical="center"/>
      <protection/>
    </xf>
    <xf numFmtId="3" fontId="9" fillId="2" borderId="75" xfId="26" applyNumberFormat="1" applyFont="1" applyFill="1" applyBorder="1" applyAlignment="1">
      <alignment vertical="center"/>
      <protection/>
    </xf>
    <xf numFmtId="3" fontId="9" fillId="2" borderId="13" xfId="26" applyNumberFormat="1" applyFont="1" applyFill="1" applyBorder="1" applyAlignment="1">
      <alignment vertical="center"/>
      <protection/>
    </xf>
    <xf numFmtId="10" fontId="9" fillId="0" borderId="16" xfId="26" applyNumberFormat="1" applyFont="1" applyFill="1" applyBorder="1" applyAlignment="1">
      <alignment vertical="center"/>
      <protection/>
    </xf>
    <xf numFmtId="10" fontId="9" fillId="0" borderId="3" xfId="26" applyNumberFormat="1" applyFont="1" applyFill="1" applyBorder="1" applyAlignment="1">
      <alignment vertical="center"/>
      <protection/>
    </xf>
    <xf numFmtId="10" fontId="9" fillId="0" borderId="11" xfId="26" applyNumberFormat="1" applyFont="1" applyFill="1" applyBorder="1" applyAlignment="1">
      <alignment vertical="center"/>
      <protection/>
    </xf>
    <xf numFmtId="10" fontId="9" fillId="0" borderId="14" xfId="26" applyNumberFormat="1" applyFont="1" applyFill="1" applyBorder="1" applyAlignment="1">
      <alignment vertical="center"/>
      <protection/>
    </xf>
    <xf numFmtId="10" fontId="9" fillId="0" borderId="1" xfId="26" applyNumberFormat="1" applyFont="1" applyFill="1" applyBorder="1" applyAlignment="1">
      <alignment vertical="center"/>
      <protection/>
    </xf>
    <xf numFmtId="10" fontId="9" fillId="0" borderId="5" xfId="26" applyNumberFormat="1" applyFont="1" applyFill="1" applyBorder="1" applyAlignment="1">
      <alignment vertical="center"/>
      <protection/>
    </xf>
    <xf numFmtId="10" fontId="9" fillId="0" borderId="28" xfId="26" applyNumberFormat="1" applyFont="1" applyFill="1" applyBorder="1" applyAlignment="1">
      <alignment vertical="center"/>
      <protection/>
    </xf>
    <xf numFmtId="10" fontId="9" fillId="0" borderId="4" xfId="26" applyNumberFormat="1" applyFont="1" applyFill="1" applyBorder="1" applyAlignment="1">
      <alignment vertical="center"/>
      <protection/>
    </xf>
    <xf numFmtId="10" fontId="9" fillId="0" borderId="41" xfId="26" applyNumberFormat="1" applyFont="1" applyFill="1" applyBorder="1" applyAlignment="1">
      <alignment vertical="center"/>
      <protection/>
    </xf>
    <xf numFmtId="10" fontId="9" fillId="0" borderId="58" xfId="26" applyNumberFormat="1" applyFont="1" applyFill="1" applyBorder="1" applyAlignment="1">
      <alignment vertical="center"/>
      <protection/>
    </xf>
    <xf numFmtId="10" fontId="9" fillId="0" borderId="37" xfId="26" applyNumberFormat="1" applyFont="1" applyFill="1" applyBorder="1" applyAlignment="1">
      <alignment vertical="center"/>
      <protection/>
    </xf>
    <xf numFmtId="10" fontId="9" fillId="0" borderId="69" xfId="26" applyNumberFormat="1" applyFont="1" applyFill="1" applyBorder="1" applyAlignment="1">
      <alignment vertical="center"/>
      <protection/>
    </xf>
    <xf numFmtId="10" fontId="9" fillId="0" borderId="75" xfId="26" applyNumberFormat="1" applyFont="1" applyFill="1" applyBorder="1" applyAlignment="1">
      <alignment vertical="center"/>
      <protection/>
    </xf>
    <xf numFmtId="10" fontId="9" fillId="0" borderId="13" xfId="26" applyNumberFormat="1" applyFont="1" applyFill="1" applyBorder="1" applyAlignment="1">
      <alignment vertical="center"/>
      <protection/>
    </xf>
    <xf numFmtId="10" fontId="9" fillId="0" borderId="59" xfId="26" applyNumberFormat="1" applyFont="1" applyFill="1" applyBorder="1" applyAlignment="1">
      <alignment vertical="center"/>
      <protection/>
    </xf>
    <xf numFmtId="10" fontId="9" fillId="0" borderId="24" xfId="26" applyNumberFormat="1" applyFont="1" applyFill="1" applyBorder="1" applyAlignment="1">
      <alignment vertical="center"/>
      <protection/>
    </xf>
    <xf numFmtId="10" fontId="3" fillId="0" borderId="36" xfId="26" applyNumberFormat="1" applyFont="1" applyBorder="1" applyAlignment="1">
      <alignment vertical="center"/>
      <protection/>
    </xf>
    <xf numFmtId="0" fontId="22" fillId="2" borderId="56" xfId="26" applyFont="1" applyFill="1" applyBorder="1" applyAlignment="1">
      <alignment vertical="center" wrapText="1"/>
      <protection/>
    </xf>
    <xf numFmtId="10" fontId="9" fillId="0" borderId="48" xfId="26" applyNumberFormat="1" applyFont="1" applyFill="1" applyBorder="1" applyAlignment="1">
      <alignment vertical="center"/>
      <protection/>
    </xf>
    <xf numFmtId="10" fontId="9" fillId="0" borderId="2" xfId="26" applyNumberFormat="1" applyFont="1" applyFill="1" applyBorder="1" applyAlignment="1">
      <alignment vertical="center"/>
      <protection/>
    </xf>
    <xf numFmtId="10" fontId="9" fillId="0" borderId="10" xfId="26" applyNumberFormat="1" applyFont="1" applyFill="1" applyBorder="1" applyAlignment="1">
      <alignment vertical="center"/>
      <protection/>
    </xf>
    <xf numFmtId="10" fontId="9" fillId="0" borderId="17" xfId="26" applyNumberFormat="1" applyFont="1" applyFill="1" applyBorder="1" applyAlignment="1">
      <alignment vertical="center"/>
      <protection/>
    </xf>
    <xf numFmtId="10" fontId="9" fillId="0" borderId="6" xfId="26" applyNumberFormat="1" applyFont="1" applyFill="1" applyBorder="1" applyAlignment="1">
      <alignment vertical="center"/>
      <protection/>
    </xf>
    <xf numFmtId="10" fontId="9" fillId="0" borderId="7" xfId="26" applyNumberFormat="1" applyFont="1" applyFill="1" applyBorder="1" applyAlignment="1">
      <alignment vertical="center"/>
      <protection/>
    </xf>
    <xf numFmtId="10" fontId="9" fillId="0" borderId="19" xfId="26" applyNumberFormat="1" applyFont="1" applyFill="1" applyBorder="1" applyAlignment="1">
      <alignment vertical="center"/>
      <protection/>
    </xf>
    <xf numFmtId="0" fontId="0" fillId="0" borderId="6" xfId="26" applyFill="1" applyBorder="1" applyAlignment="1">
      <alignment vertical="center"/>
      <protection/>
    </xf>
    <xf numFmtId="0" fontId="21" fillId="0" borderId="0" xfId="26" applyFont="1">
      <alignment/>
      <protection/>
    </xf>
    <xf numFmtId="0" fontId="21" fillId="0" borderId="0" xfId="26" applyFont="1" applyAlignment="1">
      <alignment vertical="center"/>
      <protection/>
    </xf>
    <xf numFmtId="3" fontId="3" fillId="0" borderId="33" xfId="26" applyNumberFormat="1" applyFont="1" applyBorder="1">
      <alignment/>
      <protection/>
    </xf>
    <xf numFmtId="3" fontId="3" fillId="0" borderId="16" xfId="26" applyNumberFormat="1" applyFont="1" applyBorder="1">
      <alignment/>
      <protection/>
    </xf>
    <xf numFmtId="10" fontId="3" fillId="0" borderId="11" xfId="26" applyNumberFormat="1" applyFont="1" applyBorder="1">
      <alignment/>
      <protection/>
    </xf>
    <xf numFmtId="3" fontId="3" fillId="0" borderId="3" xfId="26" applyNumberFormat="1" applyFont="1" applyBorder="1">
      <alignment/>
      <protection/>
    </xf>
    <xf numFmtId="10" fontId="3" fillId="0" borderId="3" xfId="26" applyNumberFormat="1" applyFont="1" applyBorder="1">
      <alignment/>
      <protection/>
    </xf>
    <xf numFmtId="10" fontId="3" fillId="0" borderId="4" xfId="26" applyNumberFormat="1" applyFont="1" applyBorder="1">
      <alignment/>
      <protection/>
    </xf>
    <xf numFmtId="3" fontId="3" fillId="0" borderId="34" xfId="26" applyNumberFormat="1" applyFont="1" applyBorder="1">
      <alignment/>
      <protection/>
    </xf>
    <xf numFmtId="3" fontId="3" fillId="0" borderId="14" xfId="26" applyNumberFormat="1" applyFont="1" applyBorder="1">
      <alignment/>
      <protection/>
    </xf>
    <xf numFmtId="3" fontId="3" fillId="0" borderId="1" xfId="26" applyNumberFormat="1" applyFont="1" applyBorder="1">
      <alignment/>
      <protection/>
    </xf>
    <xf numFmtId="3" fontId="3" fillId="0" borderId="56" xfId="26" applyNumberFormat="1" applyFont="1" applyBorder="1">
      <alignment/>
      <protection/>
    </xf>
    <xf numFmtId="3" fontId="3" fillId="0" borderId="17" xfId="26" applyNumberFormat="1" applyFont="1" applyBorder="1">
      <alignment/>
      <protection/>
    </xf>
    <xf numFmtId="10" fontId="3" fillId="0" borderId="36" xfId="26" applyNumberFormat="1" applyFont="1" applyBorder="1">
      <alignment/>
      <protection/>
    </xf>
    <xf numFmtId="3" fontId="3" fillId="0" borderId="6" xfId="26" applyNumberFormat="1" applyFont="1" applyBorder="1">
      <alignment/>
      <protection/>
    </xf>
    <xf numFmtId="10" fontId="3" fillId="0" borderId="6" xfId="26" applyNumberFormat="1" applyFont="1" applyBorder="1">
      <alignment/>
      <protection/>
    </xf>
    <xf numFmtId="10" fontId="3" fillId="0" borderId="7" xfId="26" applyNumberFormat="1" applyFont="1" applyBorder="1">
      <alignment/>
      <protection/>
    </xf>
    <xf numFmtId="0" fontId="0" fillId="0" borderId="0" xfId="26" applyFont="1">
      <alignment/>
      <protection/>
    </xf>
    <xf numFmtId="3" fontId="3" fillId="0" borderId="64" xfId="0" applyNumberFormat="1" applyFont="1" applyBorder="1" applyAlignment="1">
      <alignment vertical="center"/>
    </xf>
    <xf numFmtId="3" fontId="3" fillId="0" borderId="68" xfId="0" applyNumberFormat="1" applyFont="1" applyFill="1" applyBorder="1" applyAlignment="1">
      <alignment vertical="center"/>
    </xf>
    <xf numFmtId="0" fontId="4" fillId="0" borderId="0" xfId="29" applyFont="1" applyBorder="1" applyAlignment="1">
      <alignment horizontal="left" vertical="top" wrapText="1"/>
      <protection/>
    </xf>
    <xf numFmtId="0" fontId="2" fillId="2" borderId="58" xfId="22" applyFont="1" applyFill="1" applyBorder="1" applyAlignment="1">
      <alignment horizontal="centerContinuous"/>
      <protection/>
    </xf>
    <xf numFmtId="0" fontId="2" fillId="2" borderId="59" xfId="22" applyFont="1" applyFill="1" applyBorder="1" applyAlignment="1">
      <alignment horizontal="centerContinuous"/>
      <protection/>
    </xf>
    <xf numFmtId="3" fontId="4" fillId="0" borderId="3" xfId="0" applyNumberFormat="1" applyFont="1" applyFill="1" applyBorder="1" applyAlignment="1">
      <alignment vertical="center" wrapText="1"/>
    </xf>
    <xf numFmtId="3" fontId="4" fillId="0" borderId="29" xfId="0" applyNumberFormat="1" applyFont="1" applyFill="1" applyBorder="1" applyAlignment="1">
      <alignment vertical="center" wrapText="1"/>
    </xf>
    <xf numFmtId="3" fontId="4" fillId="0" borderId="5" xfId="0" applyNumberFormat="1" applyFont="1" applyFill="1" applyBorder="1" applyAlignment="1">
      <alignment vertical="center" wrapText="1"/>
    </xf>
    <xf numFmtId="3" fontId="4" fillId="0" borderId="1" xfId="0" applyNumberFormat="1" applyFont="1" applyFill="1" applyBorder="1" applyAlignment="1">
      <alignment vertical="center" wrapText="1"/>
    </xf>
    <xf numFmtId="3" fontId="4" fillId="0" borderId="27" xfId="0" applyNumberFormat="1" applyFont="1" applyFill="1" applyBorder="1" applyAlignment="1">
      <alignment vertical="center" wrapText="1"/>
    </xf>
    <xf numFmtId="3" fontId="4" fillId="0" borderId="4" xfId="0" applyNumberFormat="1" applyFont="1" applyFill="1" applyBorder="1" applyAlignment="1">
      <alignment vertical="center" wrapText="1"/>
    </xf>
    <xf numFmtId="3" fontId="4" fillId="0" borderId="27" xfId="0" applyNumberFormat="1" applyFont="1" applyBorder="1" applyAlignment="1">
      <alignment vertical="center" wrapText="1"/>
    </xf>
    <xf numFmtId="0" fontId="4" fillId="2" borderId="1" xfId="22" applyFont="1" applyFill="1" applyBorder="1" applyAlignment="1">
      <alignment horizontal="center"/>
      <protection/>
    </xf>
    <xf numFmtId="0" fontId="7" fillId="2" borderId="1" xfId="22" applyFont="1" applyFill="1" applyBorder="1" applyAlignment="1">
      <alignment horizontal="center"/>
      <protection/>
    </xf>
    <xf numFmtId="0" fontId="4" fillId="2" borderId="5" xfId="22" applyFont="1" applyFill="1" applyBorder="1" applyAlignment="1">
      <alignment horizontal="center"/>
      <protection/>
    </xf>
    <xf numFmtId="3" fontId="4" fillId="0" borderId="3" xfId="0" applyNumberFormat="1" applyFont="1" applyBorder="1" applyAlignment="1">
      <alignment vertical="center" wrapText="1"/>
    </xf>
    <xf numFmtId="3" fontId="4" fillId="0" borderId="4" xfId="0" applyNumberFormat="1" applyFont="1" applyBorder="1" applyAlignment="1">
      <alignment vertical="center" wrapText="1"/>
    </xf>
    <xf numFmtId="0" fontId="4" fillId="2" borderId="6" xfId="22" applyFont="1" applyFill="1" applyBorder="1" applyAlignment="1">
      <alignment horizontal="center"/>
      <protection/>
    </xf>
    <xf numFmtId="0" fontId="4" fillId="2" borderId="7" xfId="22" applyFont="1" applyFill="1" applyBorder="1" applyAlignment="1">
      <alignment horizontal="center"/>
      <protection/>
    </xf>
    <xf numFmtId="0" fontId="2" fillId="2" borderId="40" xfId="22" applyFont="1" applyFill="1" applyBorder="1" applyAlignment="1">
      <alignment horizontal="centerContinuous"/>
      <protection/>
    </xf>
    <xf numFmtId="0" fontId="4" fillId="2" borderId="24" xfId="22" applyFont="1" applyFill="1" applyBorder="1" applyAlignment="1">
      <alignment horizontal="center"/>
      <protection/>
    </xf>
    <xf numFmtId="0" fontId="4" fillId="2" borderId="19" xfId="22" applyFont="1" applyFill="1" applyBorder="1" applyAlignment="1">
      <alignment horizontal="center"/>
      <protection/>
    </xf>
    <xf numFmtId="3" fontId="4" fillId="0" borderId="28" xfId="0" applyNumberFormat="1" applyFont="1" applyBorder="1" applyAlignment="1">
      <alignment vertical="center" wrapText="1"/>
    </xf>
    <xf numFmtId="3" fontId="4" fillId="0" borderId="24" xfId="0" applyNumberFormat="1" applyFont="1" applyFill="1" applyBorder="1" applyAlignment="1">
      <alignment vertical="center" wrapText="1"/>
    </xf>
    <xf numFmtId="3" fontId="4" fillId="0" borderId="33" xfId="0" applyNumberFormat="1" applyFont="1" applyBorder="1" applyAlignment="1">
      <alignment vertical="center" wrapText="1"/>
    </xf>
    <xf numFmtId="3" fontId="4" fillId="0" borderId="34" xfId="0" applyNumberFormat="1" applyFont="1" applyFill="1" applyBorder="1" applyAlignment="1">
      <alignment vertical="center" wrapText="1"/>
    </xf>
    <xf numFmtId="3" fontId="3" fillId="2" borderId="34" xfId="0" applyNumberFormat="1" applyFont="1" applyFill="1" applyBorder="1" applyAlignment="1">
      <alignment horizontal="right" vertical="center" wrapText="1"/>
    </xf>
    <xf numFmtId="3" fontId="3" fillId="2" borderId="56" xfId="0" applyNumberFormat="1" applyFont="1" applyFill="1" applyBorder="1" applyAlignment="1">
      <alignment horizontal="right" vertical="center" wrapText="1"/>
    </xf>
    <xf numFmtId="3" fontId="3" fillId="2" borderId="29" xfId="0" applyNumberFormat="1" applyFont="1" applyFill="1" applyBorder="1" applyAlignment="1">
      <alignment horizontal="right" vertical="center" wrapText="1"/>
    </xf>
    <xf numFmtId="3" fontId="3" fillId="2" borderId="43" xfId="0" applyNumberFormat="1" applyFont="1" applyFill="1" applyBorder="1" applyAlignment="1">
      <alignment horizontal="right" vertical="center" wrapText="1"/>
    </xf>
    <xf numFmtId="3" fontId="4" fillId="0" borderId="14" xfId="27" applyNumberFormat="1" applyFont="1" applyBorder="1" applyAlignment="1">
      <alignment vertical="center" wrapText="1"/>
      <protection/>
    </xf>
    <xf numFmtId="3" fontId="4" fillId="0" borderId="1" xfId="27" applyNumberFormat="1" applyFont="1" applyBorder="1" applyAlignment="1">
      <alignment vertical="center" wrapText="1"/>
      <protection/>
    </xf>
    <xf numFmtId="3" fontId="4" fillId="0" borderId="73" xfId="27" applyNumberFormat="1" applyFont="1" applyBorder="1" applyAlignment="1">
      <alignment vertical="center" wrapText="1"/>
      <protection/>
    </xf>
    <xf numFmtId="3" fontId="4" fillId="0" borderId="20" xfId="27" applyNumberFormat="1" applyFont="1" applyFill="1" applyBorder="1" applyAlignment="1">
      <alignment vertical="center" wrapText="1"/>
      <protection/>
    </xf>
    <xf numFmtId="3" fontId="4" fillId="0" borderId="8" xfId="27" applyNumberFormat="1" applyFont="1" applyFill="1" applyBorder="1" applyAlignment="1">
      <alignment vertical="center" wrapText="1"/>
      <protection/>
    </xf>
    <xf numFmtId="3" fontId="4" fillId="0" borderId="73" xfId="27" applyNumberFormat="1" applyFont="1" applyFill="1" applyBorder="1" applyAlignment="1">
      <alignment vertical="center" wrapText="1"/>
      <protection/>
    </xf>
    <xf numFmtId="3" fontId="4" fillId="0" borderId="16" xfId="27" applyNumberFormat="1" applyFont="1" applyBorder="1" applyAlignment="1">
      <alignment vertical="center" wrapText="1"/>
      <protection/>
    </xf>
    <xf numFmtId="3" fontId="4" fillId="0" borderId="3" xfId="27" applyNumberFormat="1" applyFont="1" applyBorder="1" applyAlignment="1">
      <alignment vertical="center" wrapText="1"/>
      <protection/>
    </xf>
    <xf numFmtId="3" fontId="4" fillId="0" borderId="5" xfId="27" applyNumberFormat="1" applyFont="1" applyBorder="1" applyAlignment="1">
      <alignment vertical="center" wrapText="1"/>
      <protection/>
    </xf>
    <xf numFmtId="3" fontId="4" fillId="0" borderId="1" xfId="27" applyNumberFormat="1" applyFont="1" applyFill="1" applyBorder="1" applyAlignment="1">
      <alignment vertical="center" wrapText="1"/>
      <protection/>
    </xf>
    <xf numFmtId="3" fontId="4" fillId="0" borderId="33" xfId="0" applyNumberFormat="1" applyFont="1" applyFill="1" applyBorder="1" applyAlignment="1">
      <alignment vertical="center" wrapText="1"/>
    </xf>
    <xf numFmtId="3" fontId="4" fillId="0" borderId="4" xfId="27" applyNumberFormat="1" applyFont="1" applyBorder="1" applyAlignment="1">
      <alignment vertical="center" wrapText="1"/>
      <protection/>
    </xf>
    <xf numFmtId="3" fontId="3" fillId="2" borderId="56" xfId="0" applyNumberFormat="1" applyFont="1" applyFill="1" applyBorder="1" applyAlignment="1">
      <alignment vertical="center" wrapText="1"/>
    </xf>
    <xf numFmtId="3" fontId="3" fillId="2" borderId="43" xfId="0" applyNumberFormat="1" applyFont="1" applyFill="1" applyBorder="1" applyAlignment="1">
      <alignment vertical="center" wrapText="1"/>
    </xf>
    <xf numFmtId="3" fontId="3" fillId="2" borderId="19" xfId="0" applyNumberFormat="1" applyFont="1" applyFill="1" applyBorder="1" applyAlignment="1">
      <alignment vertical="center" wrapText="1"/>
    </xf>
    <xf numFmtId="3" fontId="3" fillId="2" borderId="6" xfId="0" applyNumberFormat="1" applyFont="1" applyFill="1" applyBorder="1" applyAlignment="1">
      <alignment vertical="center" wrapText="1"/>
    </xf>
    <xf numFmtId="3" fontId="3" fillId="2" borderId="7" xfId="0" applyNumberFormat="1" applyFont="1" applyFill="1" applyBorder="1" applyAlignment="1">
      <alignment vertical="center" wrapText="1"/>
    </xf>
    <xf numFmtId="3" fontId="3" fillId="2" borderId="33" xfId="0" applyNumberFormat="1" applyFont="1" applyFill="1" applyBorder="1" applyAlignment="1">
      <alignment horizontal="right" vertical="center" wrapText="1"/>
    </xf>
    <xf numFmtId="3" fontId="3" fillId="2" borderId="27" xfId="0" applyNumberFormat="1" applyFont="1" applyFill="1" applyBorder="1" applyAlignment="1">
      <alignment horizontal="right" vertical="center" wrapText="1"/>
    </xf>
    <xf numFmtId="2" fontId="3" fillId="0" borderId="38" xfId="0" applyNumberFormat="1" applyFont="1" applyFill="1" applyBorder="1" applyAlignment="1">
      <alignment horizontal="right" vertical="center"/>
    </xf>
    <xf numFmtId="2" fontId="3" fillId="0" borderId="39" xfId="0" applyNumberFormat="1" applyFont="1" applyFill="1" applyBorder="1" applyAlignment="1">
      <alignment horizontal="right" vertical="center"/>
    </xf>
    <xf numFmtId="2" fontId="3" fillId="0" borderId="12" xfId="0" applyNumberFormat="1" applyFont="1" applyFill="1" applyBorder="1" applyAlignment="1">
      <alignment horizontal="right" vertical="center"/>
    </xf>
    <xf numFmtId="0" fontId="3" fillId="2" borderId="58" xfId="0" applyFont="1" applyFill="1" applyBorder="1" applyAlignment="1">
      <alignment horizontal="center" vertical="center"/>
    </xf>
    <xf numFmtId="0" fontId="3" fillId="2" borderId="41" xfId="0" applyFont="1" applyFill="1" applyBorder="1" applyAlignment="1">
      <alignment horizontal="centerContinuous" vertical="center"/>
    </xf>
    <xf numFmtId="0" fontId="4" fillId="2" borderId="17" xfId="0" applyFont="1" applyFill="1" applyBorder="1" applyAlignment="1">
      <alignment horizontal="center"/>
    </xf>
    <xf numFmtId="0" fontId="4" fillId="2" borderId="6" xfId="0" applyFont="1" applyFill="1" applyBorder="1" applyAlignment="1">
      <alignment horizontal="center"/>
    </xf>
    <xf numFmtId="3" fontId="3" fillId="0" borderId="16" xfId="0" applyNumberFormat="1" applyFont="1" applyBorder="1" applyAlignment="1">
      <alignment vertical="center" wrapText="1"/>
    </xf>
    <xf numFmtId="3" fontId="3" fillId="0" borderId="3" xfId="0" applyNumberFormat="1" applyFont="1" applyBorder="1" applyAlignment="1">
      <alignment vertical="center" wrapText="1"/>
    </xf>
    <xf numFmtId="3" fontId="3" fillId="0" borderId="11" xfId="0" applyNumberFormat="1" applyFont="1" applyBorder="1" applyAlignment="1">
      <alignment vertical="center" wrapText="1"/>
    </xf>
    <xf numFmtId="3" fontId="3" fillId="0" borderId="14" xfId="0" applyNumberFormat="1" applyFont="1" applyBorder="1" applyAlignment="1">
      <alignment vertical="center" wrapText="1"/>
    </xf>
    <xf numFmtId="3" fontId="3" fillId="0" borderId="1" xfId="0" applyNumberFormat="1" applyFont="1" applyBorder="1" applyAlignment="1">
      <alignment vertical="center" wrapText="1"/>
    </xf>
    <xf numFmtId="3" fontId="3" fillId="0" borderId="64" xfId="0" applyNumberFormat="1" applyFont="1" applyBorder="1" applyAlignment="1">
      <alignment vertical="center" wrapText="1"/>
    </xf>
    <xf numFmtId="3" fontId="3" fillId="0" borderId="20" xfId="0" applyNumberFormat="1" applyFont="1" applyFill="1" applyBorder="1" applyAlignment="1">
      <alignment vertical="center" wrapText="1"/>
    </xf>
    <xf numFmtId="3" fontId="3" fillId="0" borderId="8" xfId="0" applyNumberFormat="1" applyFont="1" applyBorder="1" applyAlignment="1">
      <alignment vertical="center" wrapText="1"/>
    </xf>
    <xf numFmtId="3" fontId="3" fillId="2" borderId="65" xfId="0" applyNumberFormat="1" applyFont="1" applyFill="1" applyBorder="1" applyAlignment="1">
      <alignment vertical="center" wrapText="1"/>
    </xf>
    <xf numFmtId="3" fontId="3" fillId="0" borderId="34" xfId="0" applyNumberFormat="1" applyFont="1" applyFill="1" applyBorder="1" applyAlignment="1">
      <alignment vertical="center" wrapText="1"/>
    </xf>
    <xf numFmtId="3" fontId="3" fillId="0" borderId="1" xfId="0" applyNumberFormat="1" applyFont="1" applyFill="1" applyBorder="1" applyAlignment="1">
      <alignment vertical="center" wrapText="1"/>
    </xf>
    <xf numFmtId="3" fontId="3" fillId="0" borderId="14" xfId="0" applyNumberFormat="1" applyFont="1" applyFill="1" applyBorder="1" applyAlignment="1">
      <alignment vertical="center" wrapText="1"/>
    </xf>
    <xf numFmtId="3" fontId="3" fillId="0" borderId="34" xfId="0" applyNumberFormat="1" applyFont="1" applyBorder="1" applyAlignment="1">
      <alignment vertical="center" wrapText="1"/>
    </xf>
    <xf numFmtId="3" fontId="3" fillId="0" borderId="20" xfId="0" applyNumberFormat="1" applyFont="1" applyBorder="1" applyAlignment="1">
      <alignment vertical="center" wrapText="1"/>
    </xf>
    <xf numFmtId="165" fontId="3" fillId="0" borderId="4" xfId="0" applyNumberFormat="1" applyFont="1" applyFill="1" applyBorder="1" applyAlignment="1">
      <alignment vertical="center"/>
    </xf>
    <xf numFmtId="165" fontId="3" fillId="0" borderId="5" xfId="0" applyNumberFormat="1" applyFont="1" applyFill="1" applyBorder="1" applyAlignment="1">
      <alignment vertical="center"/>
    </xf>
    <xf numFmtId="165" fontId="3" fillId="2" borderId="5" xfId="0" applyNumberFormat="1" applyFont="1" applyFill="1" applyBorder="1" applyAlignment="1">
      <alignment vertical="center"/>
    </xf>
    <xf numFmtId="165" fontId="3" fillId="2" borderId="7" xfId="0" applyNumberFormat="1" applyFont="1" applyFill="1" applyBorder="1" applyAlignment="1">
      <alignment vertical="center"/>
    </xf>
    <xf numFmtId="165" fontId="11" fillId="2" borderId="44" xfId="0" applyNumberFormat="1" applyFont="1" applyFill="1" applyBorder="1" applyAlignment="1">
      <alignment horizontal="right" vertical="center" wrapText="1"/>
    </xf>
    <xf numFmtId="2" fontId="3" fillId="0" borderId="63" xfId="0" applyNumberFormat="1" applyFont="1" applyFill="1" applyBorder="1" applyAlignment="1">
      <alignment vertical="center"/>
    </xf>
    <xf numFmtId="2" fontId="3" fillId="0" borderId="35" xfId="0" applyNumberFormat="1" applyFont="1" applyFill="1" applyBorder="1" applyAlignment="1">
      <alignment vertical="center"/>
    </xf>
    <xf numFmtId="2" fontId="3" fillId="0" borderId="34" xfId="0" applyNumberFormat="1" applyFont="1" applyFill="1" applyBorder="1" applyAlignment="1">
      <alignment vertical="center"/>
    </xf>
    <xf numFmtId="0" fontId="16" fillId="0" borderId="0" xfId="0" applyBorder="1" applyAlignment="1">
      <alignment/>
    </xf>
    <xf numFmtId="165" fontId="3" fillId="0" borderId="11" xfId="29" applyNumberFormat="1" applyFont="1" applyFill="1" applyBorder="1" applyAlignment="1">
      <alignment vertical="center"/>
      <protection/>
    </xf>
    <xf numFmtId="165" fontId="3" fillId="0" borderId="12" xfId="29" applyNumberFormat="1" applyFont="1" applyFill="1" applyBorder="1" applyAlignment="1">
      <alignment vertical="center"/>
      <protection/>
    </xf>
    <xf numFmtId="165" fontId="3" fillId="0" borderId="39" xfId="29" applyNumberFormat="1" applyFont="1" applyFill="1" applyBorder="1" applyAlignment="1">
      <alignment vertical="center"/>
      <protection/>
    </xf>
    <xf numFmtId="0" fontId="16" fillId="0" borderId="67" xfId="0" applyBorder="1" applyAlignment="1">
      <alignment/>
    </xf>
    <xf numFmtId="0" fontId="16" fillId="0" borderId="0" xfId="0" applyBorder="1" applyAlignment="1">
      <alignment/>
    </xf>
    <xf numFmtId="0" fontId="16" fillId="0" borderId="64" xfId="0" applyBorder="1" applyAlignment="1">
      <alignment/>
    </xf>
    <xf numFmtId="164" fontId="10" fillId="6" borderId="76" xfId="0" applyNumberFormat="1" applyFont="1" applyFill="1" applyBorder="1" applyAlignment="1">
      <alignment horizontal="right" vertical="center"/>
    </xf>
    <xf numFmtId="164" fontId="10" fillId="6" borderId="77" xfId="0" applyNumberFormat="1" applyFont="1" applyFill="1" applyBorder="1" applyAlignment="1">
      <alignment horizontal="right" vertical="center"/>
    </xf>
    <xf numFmtId="164" fontId="10" fillId="6" borderId="78" xfId="0" applyNumberFormat="1" applyFont="1" applyFill="1" applyBorder="1" applyAlignment="1">
      <alignment horizontal="right" vertical="center"/>
    </xf>
    <xf numFmtId="164" fontId="10" fillId="7" borderId="79" xfId="0" applyNumberFormat="1" applyFont="1" applyFill="1" applyBorder="1" applyAlignment="1">
      <alignment horizontal="right" vertical="center"/>
    </xf>
    <xf numFmtId="0" fontId="31" fillId="0" borderId="0" xfId="0" applyFont="1" applyAlignment="1">
      <alignment/>
    </xf>
    <xf numFmtId="0" fontId="31" fillId="0" borderId="39" xfId="0" applyFont="1" applyBorder="1" applyAlignment="1">
      <alignment/>
    </xf>
    <xf numFmtId="0" fontId="31" fillId="0" borderId="67" xfId="0" applyFont="1" applyBorder="1" applyAlignment="1">
      <alignment/>
    </xf>
    <xf numFmtId="0" fontId="31" fillId="0" borderId="18" xfId="0" applyFont="1" applyBorder="1" applyAlignment="1">
      <alignment/>
    </xf>
    <xf numFmtId="0" fontId="31" fillId="0" borderId="38" xfId="0" applyFont="1" applyBorder="1" applyAlignment="1">
      <alignment/>
    </xf>
    <xf numFmtId="0" fontId="31" fillId="0" borderId="0" xfId="0" applyFont="1" applyBorder="1" applyAlignment="1">
      <alignment/>
    </xf>
    <xf numFmtId="0" fontId="31" fillId="0" borderId="25" xfId="0" applyFont="1" applyBorder="1" applyAlignment="1">
      <alignment/>
    </xf>
    <xf numFmtId="0" fontId="31" fillId="0" borderId="11" xfId="0" applyFont="1" applyBorder="1" applyAlignment="1">
      <alignment/>
    </xf>
    <xf numFmtId="0" fontId="31" fillId="0" borderId="64" xfId="0" applyFont="1" applyBorder="1" applyAlignment="1">
      <alignment/>
    </xf>
    <xf numFmtId="0" fontId="31" fillId="0" borderId="28" xfId="0" applyFont="1" applyBorder="1" applyAlignment="1">
      <alignment/>
    </xf>
    <xf numFmtId="0" fontId="16" fillId="0" borderId="67" xfId="0" applyFont="1" applyBorder="1" applyAlignment="1">
      <alignment/>
    </xf>
    <xf numFmtId="0" fontId="16" fillId="0" borderId="18" xfId="0" applyFont="1" applyBorder="1" applyAlignment="1">
      <alignment/>
    </xf>
    <xf numFmtId="0" fontId="16" fillId="0" borderId="0" xfId="0" applyFont="1" applyAlignment="1">
      <alignment/>
    </xf>
    <xf numFmtId="0" fontId="16" fillId="0" borderId="0" xfId="0" applyFont="1" applyBorder="1" applyAlignment="1">
      <alignment/>
    </xf>
    <xf numFmtId="0" fontId="16" fillId="0" borderId="25" xfId="0" applyFont="1" applyBorder="1" applyAlignment="1">
      <alignment/>
    </xf>
    <xf numFmtId="0" fontId="16" fillId="0" borderId="64" xfId="0" applyFont="1" applyBorder="1" applyAlignment="1">
      <alignment/>
    </xf>
    <xf numFmtId="0" fontId="16" fillId="0" borderId="28" xfId="0" applyFont="1" applyBorder="1" applyAlignment="1">
      <alignment/>
    </xf>
    <xf numFmtId="0" fontId="4" fillId="0" borderId="39" xfId="0" applyFont="1" applyBorder="1" applyAlignment="1">
      <alignment/>
    </xf>
    <xf numFmtId="0" fontId="4" fillId="0" borderId="38" xfId="0" applyFont="1" applyBorder="1" applyAlignment="1">
      <alignment/>
    </xf>
    <xf numFmtId="0" fontId="4" fillId="0" borderId="11" xfId="0" applyFont="1" applyBorder="1" applyAlignment="1">
      <alignment/>
    </xf>
    <xf numFmtId="0" fontId="16" fillId="0" borderId="39" xfId="0" applyFont="1" applyBorder="1" applyAlignment="1">
      <alignment/>
    </xf>
    <xf numFmtId="0" fontId="0" fillId="0" borderId="67" xfId="0" applyBorder="1" applyAlignment="1">
      <alignment/>
    </xf>
    <xf numFmtId="0" fontId="0" fillId="0" borderId="18" xfId="0" applyBorder="1" applyAlignment="1">
      <alignment/>
    </xf>
    <xf numFmtId="0" fontId="16" fillId="0" borderId="38" xfId="0" applyFont="1" applyBorder="1" applyAlignment="1">
      <alignment/>
    </xf>
    <xf numFmtId="0" fontId="0" fillId="0" borderId="25" xfId="0" applyBorder="1" applyAlignment="1">
      <alignment/>
    </xf>
    <xf numFmtId="0" fontId="16" fillId="0" borderId="11" xfId="0" applyFont="1" applyBorder="1" applyAlignment="1">
      <alignment/>
    </xf>
    <xf numFmtId="0" fontId="0" fillId="0" borderId="64" xfId="0" applyBorder="1" applyAlignment="1">
      <alignment/>
    </xf>
    <xf numFmtId="0" fontId="0" fillId="0" borderId="28" xfId="0" applyBorder="1" applyAlignment="1">
      <alignment/>
    </xf>
    <xf numFmtId="0" fontId="4" fillId="0" borderId="0" xfId="25" applyFont="1" applyAlignment="1">
      <alignment wrapText="1"/>
      <protection/>
    </xf>
    <xf numFmtId="0" fontId="4" fillId="0" borderId="0" xfId="25" applyFont="1">
      <alignment/>
      <protection/>
    </xf>
    <xf numFmtId="0" fontId="35" fillId="0" borderId="0" xfId="25" applyFont="1">
      <alignment/>
      <protection/>
    </xf>
    <xf numFmtId="0" fontId="0" fillId="0" borderId="0" xfId="25">
      <alignment/>
      <protection/>
    </xf>
    <xf numFmtId="0" fontId="1" fillId="0" borderId="0" xfId="25" applyFont="1">
      <alignment/>
      <protection/>
    </xf>
    <xf numFmtId="0" fontId="17" fillId="0" borderId="0" xfId="25" applyFont="1">
      <alignment/>
      <protection/>
    </xf>
    <xf numFmtId="0" fontId="3" fillId="0" borderId="0" xfId="25" applyFont="1" applyAlignment="1">
      <alignment horizontal="right"/>
      <protection/>
    </xf>
    <xf numFmtId="0" fontId="0" fillId="0" borderId="0" xfId="25" applyAlignment="1">
      <alignment vertical="center"/>
      <protection/>
    </xf>
    <xf numFmtId="0" fontId="3" fillId="2" borderId="38" xfId="25" applyFont="1" applyFill="1" applyBorder="1" applyAlignment="1">
      <alignment horizontal="center" vertical="center"/>
      <protection/>
    </xf>
    <xf numFmtId="0" fontId="3" fillId="2" borderId="9" xfId="25" applyFont="1" applyFill="1" applyBorder="1" applyAlignment="1">
      <alignment horizontal="center" vertical="center"/>
      <protection/>
    </xf>
    <xf numFmtId="0" fontId="3" fillId="2" borderId="23" xfId="25" applyFont="1" applyFill="1" applyBorder="1" applyAlignment="1">
      <alignment horizontal="center" vertical="center"/>
      <protection/>
    </xf>
    <xf numFmtId="0" fontId="3" fillId="2" borderId="36" xfId="25" applyFont="1" applyFill="1" applyBorder="1" applyAlignment="1">
      <alignment horizontal="center" vertical="center" wrapText="1"/>
      <protection/>
    </xf>
    <xf numFmtId="0" fontId="3" fillId="2" borderId="6" xfId="25" applyFont="1" applyFill="1" applyBorder="1" applyAlignment="1">
      <alignment horizontal="center" vertical="center" wrapText="1"/>
      <protection/>
    </xf>
    <xf numFmtId="0" fontId="3" fillId="2" borderId="7" xfId="25" applyFont="1" applyFill="1" applyBorder="1" applyAlignment="1">
      <alignment horizontal="center" vertical="center" wrapText="1"/>
      <protection/>
    </xf>
    <xf numFmtId="0" fontId="3" fillId="2" borderId="2" xfId="25" applyFont="1" applyFill="1" applyBorder="1" applyAlignment="1">
      <alignment horizontal="center" vertical="center"/>
      <protection/>
    </xf>
    <xf numFmtId="0" fontId="3" fillId="2" borderId="15" xfId="25" applyFont="1" applyFill="1" applyBorder="1" applyAlignment="1">
      <alignment horizontal="center" vertical="center"/>
      <protection/>
    </xf>
    <xf numFmtId="0" fontId="0" fillId="0" borderId="0" xfId="25" applyAlignment="1">
      <alignment horizontal="center" vertical="center" wrapText="1"/>
      <protection/>
    </xf>
    <xf numFmtId="0" fontId="3" fillId="0" borderId="27" xfId="25" applyFont="1" applyFill="1" applyBorder="1" applyAlignment="1">
      <alignment vertical="center" wrapText="1"/>
      <protection/>
    </xf>
    <xf numFmtId="0" fontId="4" fillId="0" borderId="28" xfId="25" applyFont="1" applyFill="1" applyBorder="1" applyAlignment="1">
      <alignment horizontal="center" vertical="center"/>
      <protection/>
    </xf>
    <xf numFmtId="0" fontId="3" fillId="0" borderId="11" xfId="25" applyFont="1" applyFill="1" applyBorder="1" applyAlignment="1">
      <alignment horizontal="center" vertical="center" wrapText="1"/>
      <protection/>
    </xf>
    <xf numFmtId="0" fontId="3" fillId="0" borderId="16" xfId="25" applyFont="1" applyFill="1" applyBorder="1" applyAlignment="1">
      <alignment horizontal="center" vertical="center" wrapText="1"/>
      <protection/>
    </xf>
    <xf numFmtId="0" fontId="4" fillId="0" borderId="11" xfId="25" applyFont="1" applyFill="1" applyBorder="1" applyAlignment="1">
      <alignment horizontal="center" vertical="center"/>
      <protection/>
    </xf>
    <xf numFmtId="0" fontId="4" fillId="0" borderId="4" xfId="25" applyFont="1" applyFill="1" applyBorder="1" applyAlignment="1">
      <alignment horizontal="center" vertical="center" wrapText="1"/>
      <protection/>
    </xf>
    <xf numFmtId="0" fontId="3" fillId="0" borderId="33" xfId="25" applyFont="1" applyFill="1" applyBorder="1" applyAlignment="1">
      <alignment horizontal="center" vertical="center" wrapText="1"/>
      <protection/>
    </xf>
    <xf numFmtId="0" fontId="3" fillId="0" borderId="58" xfId="25" applyFont="1" applyFill="1" applyBorder="1" applyAlignment="1">
      <alignment horizontal="center" vertical="center" wrapText="1"/>
      <protection/>
    </xf>
    <xf numFmtId="0" fontId="3" fillId="0" borderId="4" xfId="25" applyFont="1" applyFill="1" applyBorder="1" applyAlignment="1">
      <alignment horizontal="center" vertical="center" wrapText="1"/>
      <protection/>
    </xf>
    <xf numFmtId="0" fontId="3" fillId="0" borderId="27" xfId="25" applyFont="1" applyFill="1" applyBorder="1" applyAlignment="1">
      <alignment horizontal="center" vertical="center" wrapText="1"/>
      <protection/>
    </xf>
    <xf numFmtId="0" fontId="4" fillId="0" borderId="0" xfId="25" applyFont="1" applyFill="1">
      <alignment/>
      <protection/>
    </xf>
    <xf numFmtId="0" fontId="4" fillId="0" borderId="0" xfId="25" applyFont="1" applyFill="1" applyAlignment="1">
      <alignment horizontal="center" vertical="center" wrapText="1"/>
      <protection/>
    </xf>
    <xf numFmtId="0" fontId="3" fillId="0" borderId="27" xfId="25" applyFont="1" applyBorder="1" applyAlignment="1">
      <alignment vertical="center" wrapText="1"/>
      <protection/>
    </xf>
    <xf numFmtId="4" fontId="3" fillId="0" borderId="28" xfId="25" applyNumberFormat="1" applyFont="1" applyBorder="1" applyAlignment="1">
      <alignment vertical="center"/>
      <protection/>
    </xf>
    <xf numFmtId="4" fontId="3" fillId="0" borderId="11" xfId="25" applyNumberFormat="1" applyFont="1" applyBorder="1" applyAlignment="1">
      <alignment vertical="center"/>
      <protection/>
    </xf>
    <xf numFmtId="4" fontId="3" fillId="0" borderId="16" xfId="25" applyNumberFormat="1" applyFont="1" applyBorder="1" applyAlignment="1">
      <alignment vertical="center"/>
      <protection/>
    </xf>
    <xf numFmtId="4" fontId="3" fillId="0" borderId="3" xfId="25" applyNumberFormat="1" applyFont="1" applyBorder="1" applyAlignment="1">
      <alignment vertical="center"/>
      <protection/>
    </xf>
    <xf numFmtId="4" fontId="3" fillId="0" borderId="4" xfId="25" applyNumberFormat="1" applyFont="1" applyBorder="1" applyAlignment="1">
      <alignment vertical="center"/>
      <protection/>
    </xf>
    <xf numFmtId="4" fontId="3" fillId="0" borderId="27" xfId="25" applyNumberFormat="1" applyFont="1" applyBorder="1" applyAlignment="1">
      <alignment vertical="center"/>
      <protection/>
    </xf>
    <xf numFmtId="0" fontId="3" fillId="0" borderId="29" xfId="25" applyFont="1" applyBorder="1" applyAlignment="1">
      <alignment vertical="center" wrapText="1"/>
      <protection/>
    </xf>
    <xf numFmtId="4" fontId="3" fillId="0" borderId="24" xfId="25" applyNumberFormat="1" applyFont="1" applyBorder="1" applyAlignment="1">
      <alignment vertical="center"/>
      <protection/>
    </xf>
    <xf numFmtId="4" fontId="3" fillId="0" borderId="12" xfId="25" applyNumberFormat="1" applyFont="1" applyBorder="1" applyAlignment="1">
      <alignment vertical="center"/>
      <protection/>
    </xf>
    <xf numFmtId="4" fontId="3" fillId="0" borderId="14" xfId="25" applyNumberFormat="1" applyFont="1" applyBorder="1" applyAlignment="1">
      <alignment vertical="center"/>
      <protection/>
    </xf>
    <xf numFmtId="4" fontId="3" fillId="0" borderId="1" xfId="25" applyNumberFormat="1" applyFont="1" applyBorder="1" applyAlignment="1">
      <alignment vertical="center"/>
      <protection/>
    </xf>
    <xf numFmtId="4" fontId="3" fillId="0" borderId="5" xfId="25" applyNumberFormat="1" applyFont="1" applyBorder="1" applyAlignment="1">
      <alignment vertical="center"/>
      <protection/>
    </xf>
    <xf numFmtId="4" fontId="3" fillId="0" borderId="29" xfId="25" applyNumberFormat="1" applyFont="1" applyBorder="1" applyAlignment="1">
      <alignment vertical="center"/>
      <protection/>
    </xf>
    <xf numFmtId="0" fontId="3" fillId="0" borderId="30" xfId="25" applyFont="1" applyBorder="1" applyAlignment="1">
      <alignment vertical="center" wrapText="1"/>
      <protection/>
    </xf>
    <xf numFmtId="4" fontId="3" fillId="0" borderId="18" xfId="25" applyNumberFormat="1" applyFont="1" applyBorder="1" applyAlignment="1">
      <alignment vertical="center"/>
      <protection/>
    </xf>
    <xf numFmtId="4" fontId="3" fillId="0" borderId="39" xfId="25" applyNumberFormat="1" applyFont="1" applyBorder="1" applyAlignment="1">
      <alignment vertical="center"/>
      <protection/>
    </xf>
    <xf numFmtId="4" fontId="3" fillId="0" borderId="20" xfId="25" applyNumberFormat="1" applyFont="1" applyBorder="1" applyAlignment="1">
      <alignment vertical="center"/>
      <protection/>
    </xf>
    <xf numFmtId="4" fontId="3" fillId="0" borderId="8" xfId="25" applyNumberFormat="1" applyFont="1" applyBorder="1" applyAlignment="1">
      <alignment vertical="center"/>
      <protection/>
    </xf>
    <xf numFmtId="4" fontId="3" fillId="0" borderId="21" xfId="25" applyNumberFormat="1" applyFont="1" applyBorder="1" applyAlignment="1">
      <alignment vertical="center"/>
      <protection/>
    </xf>
    <xf numFmtId="4" fontId="3" fillId="0" borderId="30" xfId="25" applyNumberFormat="1" applyFont="1" applyBorder="1" applyAlignment="1">
      <alignment vertical="center"/>
      <protection/>
    </xf>
    <xf numFmtId="0" fontId="3" fillId="2" borderId="42" xfId="25" applyFont="1" applyFill="1" applyBorder="1" applyAlignment="1">
      <alignment vertical="center" wrapText="1"/>
      <protection/>
    </xf>
    <xf numFmtId="4" fontId="3" fillId="2" borderId="66" xfId="25" applyNumberFormat="1" applyFont="1" applyFill="1" applyBorder="1" applyAlignment="1">
      <alignment vertical="center"/>
      <protection/>
    </xf>
    <xf numFmtId="4" fontId="3" fillId="2" borderId="46" xfId="25" applyNumberFormat="1" applyFont="1" applyFill="1" applyBorder="1" applyAlignment="1">
      <alignment vertical="center"/>
      <protection/>
    </xf>
    <xf numFmtId="4" fontId="3" fillId="2" borderId="49" xfId="25" applyNumberFormat="1" applyFont="1" applyFill="1" applyBorder="1" applyAlignment="1">
      <alignment vertical="center"/>
      <protection/>
    </xf>
    <xf numFmtId="4" fontId="3" fillId="2" borderId="26" xfId="25" applyNumberFormat="1" applyFont="1" applyFill="1" applyBorder="1" applyAlignment="1">
      <alignment vertical="center"/>
      <protection/>
    </xf>
    <xf numFmtId="4" fontId="3" fillId="2" borderId="44" xfId="25" applyNumberFormat="1" applyFont="1" applyFill="1" applyBorder="1" applyAlignment="1">
      <alignment vertical="center"/>
      <protection/>
    </xf>
    <xf numFmtId="4" fontId="3" fillId="2" borderId="42" xfId="25" applyNumberFormat="1" applyFont="1" applyFill="1" applyBorder="1" applyAlignment="1">
      <alignment vertical="center"/>
      <protection/>
    </xf>
    <xf numFmtId="0" fontId="3" fillId="0" borderId="3" xfId="25" applyFont="1" applyFill="1" applyBorder="1" applyAlignment="1">
      <alignment horizontal="center" vertical="center" wrapText="1"/>
      <protection/>
    </xf>
    <xf numFmtId="4" fontId="3" fillId="0" borderId="33" xfId="25" applyNumberFormat="1" applyFont="1" applyBorder="1" applyAlignment="1">
      <alignment vertical="center"/>
      <protection/>
    </xf>
    <xf numFmtId="4" fontId="3" fillId="0" borderId="34" xfId="25" applyNumberFormat="1" applyFont="1" applyBorder="1" applyAlignment="1">
      <alignment vertical="center"/>
      <protection/>
    </xf>
    <xf numFmtId="0" fontId="0" fillId="0" borderId="0" xfId="25" applyFill="1">
      <alignment/>
      <protection/>
    </xf>
    <xf numFmtId="4" fontId="3" fillId="0" borderId="35" xfId="25" applyNumberFormat="1" applyFont="1" applyBorder="1" applyAlignment="1">
      <alignment vertical="center"/>
      <protection/>
    </xf>
    <xf numFmtId="0" fontId="3" fillId="2" borderId="42" xfId="25" applyFont="1" applyFill="1" applyBorder="1" applyAlignment="1">
      <alignment horizontal="left" vertical="center" wrapText="1"/>
      <protection/>
    </xf>
    <xf numFmtId="49" fontId="36" fillId="2" borderId="66" xfId="25" applyNumberFormat="1" applyFont="1" applyFill="1" applyBorder="1" applyAlignment="1">
      <alignment horizontal="center" vertical="center" wrapText="1"/>
      <protection/>
    </xf>
    <xf numFmtId="49" fontId="36" fillId="2" borderId="26" xfId="25" applyNumberFormat="1" applyFont="1" applyFill="1" applyBorder="1" applyAlignment="1">
      <alignment horizontal="center" vertical="center" wrapText="1"/>
      <protection/>
    </xf>
    <xf numFmtId="49" fontId="36" fillId="2" borderId="46" xfId="25" applyNumberFormat="1" applyFont="1" applyFill="1" applyBorder="1" applyAlignment="1">
      <alignment horizontal="center" vertical="center" wrapText="1"/>
      <protection/>
    </xf>
    <xf numFmtId="14" fontId="3" fillId="2" borderId="46" xfId="25" applyNumberFormat="1" applyFont="1" applyFill="1" applyBorder="1" applyAlignment="1">
      <alignment horizontal="center" vertical="center" wrapText="1"/>
      <protection/>
    </xf>
    <xf numFmtId="0" fontId="4" fillId="0" borderId="0" xfId="25" applyFont="1">
      <alignment/>
      <protection/>
    </xf>
    <xf numFmtId="0" fontId="4" fillId="0" borderId="0" xfId="25" applyFont="1" applyAlignment="1">
      <alignment vertical="center"/>
      <protection/>
    </xf>
    <xf numFmtId="0" fontId="3" fillId="0" borderId="27" xfId="25" applyFont="1" applyFill="1" applyBorder="1" applyAlignment="1">
      <alignment horizontal="left" vertical="center" wrapText="1"/>
      <protection/>
    </xf>
    <xf numFmtId="49" fontId="36" fillId="0" borderId="64" xfId="25" applyNumberFormat="1" applyFont="1" applyFill="1" applyBorder="1" applyAlignment="1">
      <alignment horizontal="center" vertical="center" wrapText="1"/>
      <protection/>
    </xf>
    <xf numFmtId="49" fontId="36" fillId="0" borderId="3" xfId="25" applyNumberFormat="1" applyFont="1" applyFill="1" applyBorder="1" applyAlignment="1">
      <alignment horizontal="center" vertical="center" wrapText="1"/>
      <protection/>
    </xf>
    <xf numFmtId="49" fontId="36" fillId="0" borderId="11" xfId="25" applyNumberFormat="1" applyFont="1" applyFill="1" applyBorder="1" applyAlignment="1">
      <alignment horizontal="center" vertical="center" wrapText="1"/>
      <protection/>
    </xf>
    <xf numFmtId="14" fontId="3" fillId="0" borderId="11" xfId="25" applyNumberFormat="1" applyFont="1" applyFill="1" applyBorder="1" applyAlignment="1">
      <alignment horizontal="center" vertical="center" wrapText="1"/>
      <protection/>
    </xf>
    <xf numFmtId="14" fontId="3" fillId="0" borderId="33" xfId="25" applyNumberFormat="1" applyFont="1" applyFill="1" applyBorder="1" applyAlignment="1">
      <alignment horizontal="center" vertical="center" wrapText="1"/>
      <protection/>
    </xf>
    <xf numFmtId="14" fontId="22" fillId="0" borderId="11" xfId="25" applyNumberFormat="1" applyFont="1" applyFill="1" applyBorder="1" applyAlignment="1">
      <alignment horizontal="center" vertical="center" wrapText="1"/>
      <protection/>
    </xf>
    <xf numFmtId="14" fontId="22" fillId="0" borderId="59" xfId="25" applyNumberFormat="1" applyFont="1" applyFill="1" applyBorder="1" applyAlignment="1">
      <alignment horizontal="center" vertical="center" wrapText="1"/>
      <protection/>
    </xf>
    <xf numFmtId="0" fontId="4" fillId="0" borderId="0" xfId="25" applyFont="1" applyFill="1">
      <alignment/>
      <protection/>
    </xf>
    <xf numFmtId="0" fontId="4" fillId="0" borderId="0" xfId="25" applyFont="1" applyFill="1" applyAlignment="1">
      <alignment vertical="center"/>
      <protection/>
    </xf>
    <xf numFmtId="4" fontId="3" fillId="0" borderId="64" xfId="25" applyNumberFormat="1" applyFont="1" applyBorder="1" applyAlignment="1">
      <alignment vertical="center"/>
      <protection/>
    </xf>
    <xf numFmtId="4" fontId="3" fillId="0" borderId="54" xfId="25" applyNumberFormat="1" applyFont="1" applyBorder="1" applyAlignment="1">
      <alignment vertical="center"/>
      <protection/>
    </xf>
    <xf numFmtId="4" fontId="3" fillId="0" borderId="67" xfId="25" applyNumberFormat="1" applyFont="1" applyBorder="1" applyAlignment="1">
      <alignment vertical="center"/>
      <protection/>
    </xf>
    <xf numFmtId="4" fontId="3" fillId="2" borderId="65" xfId="25" applyNumberFormat="1" applyFont="1" applyFill="1" applyBorder="1" applyAlignment="1">
      <alignment vertical="center"/>
      <protection/>
    </xf>
    <xf numFmtId="4" fontId="3" fillId="2" borderId="47" xfId="25" applyNumberFormat="1" applyFont="1" applyFill="1" applyBorder="1" applyAlignment="1">
      <alignment vertical="center"/>
      <protection/>
    </xf>
    <xf numFmtId="0" fontId="38" fillId="0" borderId="0" xfId="25" applyFont="1">
      <alignment/>
      <protection/>
    </xf>
    <xf numFmtId="0" fontId="0" fillId="0" borderId="0" xfId="23" applyFont="1">
      <alignment/>
      <protection/>
    </xf>
    <xf numFmtId="0" fontId="4" fillId="0" borderId="0" xfId="23" applyFont="1">
      <alignment/>
      <protection/>
    </xf>
    <xf numFmtId="0" fontId="39" fillId="0" borderId="0" xfId="23" applyFont="1" applyAlignment="1">
      <alignment horizontal="left"/>
      <protection/>
    </xf>
    <xf numFmtId="0" fontId="0" fillId="0" borderId="0" xfId="23">
      <alignment/>
      <protection/>
    </xf>
    <xf numFmtId="0" fontId="1" fillId="0" borderId="0" xfId="23" applyFont="1" applyAlignment="1">
      <alignment horizontal="left"/>
      <protection/>
    </xf>
    <xf numFmtId="0" fontId="3" fillId="0" borderId="0" xfId="23" applyFont="1" applyAlignment="1">
      <alignment horizontal="centerContinuous"/>
      <protection/>
    </xf>
    <xf numFmtId="0" fontId="4" fillId="2" borderId="35" xfId="23" applyFont="1" applyFill="1" applyBorder="1" applyAlignment="1">
      <alignment horizontal="center"/>
      <protection/>
    </xf>
    <xf numFmtId="0" fontId="4" fillId="2" borderId="21" xfId="23" applyFont="1" applyFill="1" applyBorder="1" applyAlignment="1">
      <alignment horizontal="center"/>
      <protection/>
    </xf>
    <xf numFmtId="0" fontId="4" fillId="2" borderId="45" xfId="23" applyFont="1" applyFill="1" applyBorder="1" applyAlignment="1" quotePrefix="1">
      <alignment horizontal="center"/>
      <protection/>
    </xf>
    <xf numFmtId="0" fontId="4" fillId="2" borderId="15" xfId="23" applyFont="1" applyFill="1" applyBorder="1" applyAlignment="1">
      <alignment horizontal="center"/>
      <protection/>
    </xf>
    <xf numFmtId="0" fontId="4" fillId="0" borderId="27" xfId="23" applyFont="1" applyBorder="1" applyAlignment="1">
      <alignment horizontal="left" vertical="center" wrapText="1"/>
      <protection/>
    </xf>
    <xf numFmtId="3" fontId="4" fillId="0" borderId="64" xfId="23" applyNumberFormat="1" applyFont="1" applyBorder="1" applyAlignment="1">
      <alignment vertical="center" wrapText="1"/>
      <protection/>
    </xf>
    <xf numFmtId="3" fontId="4" fillId="0" borderId="27" xfId="23" applyNumberFormat="1" applyFont="1" applyBorder="1" applyAlignment="1">
      <alignment vertical="center" wrapText="1"/>
      <protection/>
    </xf>
    <xf numFmtId="3" fontId="4" fillId="0" borderId="60" xfId="23" applyNumberFormat="1" applyFont="1" applyBorder="1" applyAlignment="1">
      <alignment vertical="center" wrapText="1"/>
      <protection/>
    </xf>
    <xf numFmtId="3" fontId="3" fillId="8" borderId="64" xfId="23" applyNumberFormat="1" applyFont="1" applyFill="1" applyBorder="1" applyAlignment="1">
      <alignment vertical="center" wrapText="1"/>
      <protection/>
    </xf>
    <xf numFmtId="0" fontId="3" fillId="8" borderId="4" xfId="23" applyFont="1" applyFill="1" applyBorder="1" applyAlignment="1">
      <alignment vertical="center" wrapText="1"/>
      <protection/>
    </xf>
    <xf numFmtId="0" fontId="4" fillId="0" borderId="29" xfId="23" applyFont="1" applyBorder="1" applyAlignment="1">
      <alignment horizontal="left" vertical="center" wrapText="1"/>
      <protection/>
    </xf>
    <xf numFmtId="3" fontId="4" fillId="0" borderId="54" xfId="23" applyNumberFormat="1" applyFont="1" applyBorder="1" applyAlignment="1">
      <alignment vertical="center" wrapText="1"/>
      <protection/>
    </xf>
    <xf numFmtId="3" fontId="4" fillId="0" borderId="29" xfId="23" applyNumberFormat="1" applyFont="1" applyBorder="1" applyAlignment="1">
      <alignment vertical="center" wrapText="1"/>
      <protection/>
    </xf>
    <xf numFmtId="3" fontId="3" fillId="8" borderId="54" xfId="23" applyNumberFormat="1" applyFont="1" applyFill="1" applyBorder="1" applyAlignment="1">
      <alignment vertical="center" wrapText="1"/>
      <protection/>
    </xf>
    <xf numFmtId="10" fontId="3" fillId="8" borderId="5" xfId="23" applyNumberFormat="1" applyFont="1" applyFill="1" applyBorder="1" applyAlignment="1">
      <alignment vertical="center" wrapText="1"/>
      <protection/>
    </xf>
    <xf numFmtId="0" fontId="7" fillId="0" borderId="29" xfId="23" applyFont="1" applyBorder="1" applyAlignment="1">
      <alignment horizontal="left" vertical="center" wrapText="1"/>
      <protection/>
    </xf>
    <xf numFmtId="0" fontId="4" fillId="0" borderId="43" xfId="23" applyFont="1" applyBorder="1" applyAlignment="1">
      <alignment horizontal="left" vertical="center" wrapText="1"/>
      <protection/>
    </xf>
    <xf numFmtId="3" fontId="4" fillId="0" borderId="43" xfId="23" applyNumberFormat="1" applyFont="1" applyBorder="1" applyAlignment="1">
      <alignment vertical="center" wrapText="1"/>
      <protection/>
    </xf>
    <xf numFmtId="3" fontId="3" fillId="8" borderId="67" xfId="23" applyNumberFormat="1" applyFont="1" applyFill="1" applyBorder="1" applyAlignment="1">
      <alignment vertical="center" wrapText="1"/>
      <protection/>
    </xf>
    <xf numFmtId="10" fontId="3" fillId="8" borderId="21" xfId="23" applyNumberFormat="1" applyFont="1" applyFill="1" applyBorder="1" applyAlignment="1">
      <alignment vertical="center" wrapText="1"/>
      <protection/>
    </xf>
    <xf numFmtId="0" fontId="3" fillId="2" borderId="42" xfId="23" applyFont="1" applyFill="1" applyBorder="1" applyAlignment="1">
      <alignment horizontal="left" vertical="center" wrapText="1"/>
      <protection/>
    </xf>
    <xf numFmtId="3" fontId="3" fillId="2" borderId="65" xfId="23" applyNumberFormat="1" applyFont="1" applyFill="1" applyBorder="1" applyAlignment="1">
      <alignment vertical="center" wrapText="1"/>
      <protection/>
    </xf>
    <xf numFmtId="3" fontId="3" fillId="2" borderId="42" xfId="23" applyNumberFormat="1" applyFont="1" applyFill="1" applyBorder="1" applyAlignment="1">
      <alignment vertical="center" wrapText="1"/>
      <protection/>
    </xf>
    <xf numFmtId="3" fontId="3" fillId="2" borderId="63" xfId="23" applyNumberFormat="1" applyFont="1" applyFill="1" applyBorder="1" applyAlignment="1">
      <alignment vertical="center" wrapText="1"/>
      <protection/>
    </xf>
    <xf numFmtId="3" fontId="3" fillId="8" borderId="49" xfId="23" applyNumberFormat="1" applyFont="1" applyFill="1" applyBorder="1" applyAlignment="1">
      <alignment vertical="center" wrapText="1"/>
      <protection/>
    </xf>
    <xf numFmtId="10" fontId="3" fillId="8" borderId="44" xfId="23" applyNumberFormat="1" applyFont="1" applyFill="1" applyBorder="1" applyAlignment="1">
      <alignment vertical="center" wrapText="1"/>
      <protection/>
    </xf>
    <xf numFmtId="0" fontId="4" fillId="0" borderId="60" xfId="23" applyFont="1" applyBorder="1" applyAlignment="1">
      <alignment horizontal="left" vertical="center" wrapText="1"/>
      <protection/>
    </xf>
    <xf numFmtId="10" fontId="3" fillId="8" borderId="4" xfId="23" applyNumberFormat="1" applyFont="1" applyFill="1" applyBorder="1" applyAlignment="1">
      <alignment vertical="center" wrapText="1"/>
      <protection/>
    </xf>
    <xf numFmtId="0" fontId="4" fillId="0" borderId="29" xfId="23" applyFont="1" applyBorder="1" applyAlignment="1">
      <alignment vertical="center" wrapText="1"/>
      <protection/>
    </xf>
    <xf numFmtId="0" fontId="4" fillId="0" borderId="43" xfId="23" applyFont="1" applyBorder="1" applyAlignment="1">
      <alignment vertical="center" wrapText="1"/>
      <protection/>
    </xf>
    <xf numFmtId="3" fontId="4" fillId="0" borderId="67" xfId="23" applyNumberFormat="1" applyFont="1" applyBorder="1" applyAlignment="1">
      <alignment vertical="center" wrapText="1"/>
      <protection/>
    </xf>
    <xf numFmtId="3" fontId="3" fillId="2" borderId="49" xfId="23" applyNumberFormat="1" applyFont="1" applyFill="1" applyBorder="1" applyAlignment="1">
      <alignment vertical="center" wrapText="1"/>
      <protection/>
    </xf>
    <xf numFmtId="3" fontId="3" fillId="2" borderId="47" xfId="23" applyNumberFormat="1" applyFont="1" applyFill="1" applyBorder="1" applyAlignment="1">
      <alignment vertical="center" wrapText="1"/>
      <protection/>
    </xf>
    <xf numFmtId="3" fontId="3" fillId="2" borderId="42" xfId="23" applyNumberFormat="1" applyFont="1" applyFill="1" applyBorder="1" applyAlignment="1">
      <alignment horizontal="right" vertical="center" wrapText="1"/>
      <protection/>
    </xf>
    <xf numFmtId="0" fontId="9" fillId="2" borderId="42" xfId="23" applyFont="1" applyFill="1" applyBorder="1" applyAlignment="1">
      <alignment horizontal="left" vertical="center" wrapText="1"/>
      <protection/>
    </xf>
    <xf numFmtId="3" fontId="3" fillId="2" borderId="65" xfId="23" applyNumberFormat="1" applyFont="1" applyFill="1" applyBorder="1" applyAlignment="1">
      <alignment horizontal="right" vertical="center" wrapText="1"/>
      <protection/>
    </xf>
    <xf numFmtId="0" fontId="3" fillId="2" borderId="31" xfId="23" applyFont="1" applyFill="1" applyBorder="1" applyAlignment="1">
      <alignment horizontal="left" vertical="center" wrapText="1"/>
      <protection/>
    </xf>
    <xf numFmtId="3" fontId="0" fillId="0" borderId="0" xfId="23" applyNumberFormat="1" applyFont="1">
      <alignment/>
      <protection/>
    </xf>
    <xf numFmtId="0" fontId="4" fillId="0" borderId="0" xfId="23" applyFont="1" applyAlignment="1">
      <alignment/>
      <protection/>
    </xf>
    <xf numFmtId="0" fontId="0" fillId="0" borderId="0" xfId="23" applyFont="1" applyAlignment="1">
      <alignment/>
      <protection/>
    </xf>
    <xf numFmtId="0" fontId="0" fillId="0" borderId="0" xfId="23" applyAlignment="1">
      <alignment/>
      <protection/>
    </xf>
    <xf numFmtId="0" fontId="0" fillId="0" borderId="0" xfId="23" applyAlignment="1">
      <alignment vertical="center"/>
      <protection/>
    </xf>
    <xf numFmtId="0" fontId="4" fillId="0" borderId="0" xfId="23" applyFont="1" applyAlignment="1">
      <alignment vertical="center"/>
      <protection/>
    </xf>
    <xf numFmtId="0" fontId="0" fillId="0" borderId="0" xfId="23" applyFont="1" applyAlignment="1">
      <alignment vertical="center"/>
      <protection/>
    </xf>
    <xf numFmtId="0" fontId="3" fillId="0" borderId="0" xfId="23" applyFont="1" applyFill="1" applyBorder="1" applyAlignment="1">
      <alignment horizontal="center" vertical="center"/>
      <protection/>
    </xf>
    <xf numFmtId="0" fontId="0" fillId="0" borderId="0" xfId="23" applyFont="1" applyFill="1">
      <alignment/>
      <protection/>
    </xf>
    <xf numFmtId="3" fontId="3" fillId="0" borderId="0" xfId="23" applyNumberFormat="1" applyFont="1" applyBorder="1">
      <alignment/>
      <protection/>
    </xf>
    <xf numFmtId="3" fontId="3" fillId="0" borderId="0" xfId="23" applyNumberFormat="1" applyFont="1" applyFill="1" applyBorder="1">
      <alignment/>
      <protection/>
    </xf>
    <xf numFmtId="0" fontId="1" fillId="0" borderId="0" xfId="23" applyFont="1">
      <alignment/>
      <protection/>
    </xf>
    <xf numFmtId="0" fontId="0" fillId="0" borderId="0" xfId="23" applyBorder="1" applyAlignment="1">
      <alignment/>
      <protection/>
    </xf>
    <xf numFmtId="0" fontId="3" fillId="2" borderId="41" xfId="23" applyFont="1" applyFill="1" applyBorder="1" applyAlignment="1">
      <alignment horizontal="center" vertical="center" wrapText="1"/>
      <protection/>
    </xf>
    <xf numFmtId="0" fontId="3" fillId="2" borderId="37" xfId="23" applyFont="1" applyFill="1" applyBorder="1" applyAlignment="1">
      <alignment horizontal="center" vertical="center"/>
      <protection/>
    </xf>
    <xf numFmtId="0" fontId="3" fillId="2" borderId="59" xfId="23" applyFont="1" applyFill="1" applyBorder="1" applyAlignment="1">
      <alignment horizontal="center" vertical="center"/>
      <protection/>
    </xf>
    <xf numFmtId="0" fontId="9" fillId="0" borderId="17" xfId="23" applyFont="1" applyFill="1" applyBorder="1" applyAlignment="1">
      <alignment vertical="center" wrapText="1"/>
      <protection/>
    </xf>
    <xf numFmtId="0" fontId="4" fillId="0" borderId="36" xfId="23" applyFont="1" applyBorder="1" applyAlignment="1">
      <alignment horizontal="center" vertical="center"/>
      <protection/>
    </xf>
    <xf numFmtId="0" fontId="4" fillId="0" borderId="7" xfId="23" applyFont="1" applyBorder="1" applyAlignment="1">
      <alignment horizontal="center" vertical="center"/>
      <protection/>
    </xf>
    <xf numFmtId="3" fontId="3" fillId="0" borderId="0" xfId="23" applyNumberFormat="1" applyFont="1" applyBorder="1" applyAlignment="1">
      <alignment vertical="center"/>
      <protection/>
    </xf>
    <xf numFmtId="0" fontId="0" fillId="0" borderId="0" xfId="23" applyFont="1" applyFill="1" applyAlignment="1">
      <alignment vertical="center"/>
      <protection/>
    </xf>
    <xf numFmtId="0" fontId="3" fillId="0" borderId="56" xfId="23" applyFont="1" applyBorder="1" applyAlignment="1">
      <alignment vertical="center"/>
      <protection/>
    </xf>
    <xf numFmtId="3" fontId="3" fillId="0" borderId="43" xfId="23" applyNumberFormat="1" applyFont="1" applyBorder="1" applyAlignment="1">
      <alignment vertical="center"/>
      <protection/>
    </xf>
    <xf numFmtId="3" fontId="3" fillId="0" borderId="19" xfId="23" applyNumberFormat="1" applyFont="1" applyBorder="1" applyAlignment="1">
      <alignment vertical="center"/>
      <protection/>
    </xf>
    <xf numFmtId="3" fontId="3" fillId="0" borderId="6" xfId="23" applyNumberFormat="1" applyFont="1" applyBorder="1" applyAlignment="1">
      <alignment vertical="center"/>
      <protection/>
    </xf>
    <xf numFmtId="3" fontId="3" fillId="0" borderId="36" xfId="23" applyNumberFormat="1" applyFont="1" applyBorder="1" applyAlignment="1">
      <alignment vertical="center"/>
      <protection/>
    </xf>
    <xf numFmtId="3" fontId="9" fillId="2" borderId="47" xfId="23" applyNumberFormat="1" applyFont="1" applyFill="1" applyBorder="1" applyAlignment="1">
      <alignment horizontal="center" vertical="center"/>
      <protection/>
    </xf>
    <xf numFmtId="3" fontId="9" fillId="2" borderId="26" xfId="23" applyNumberFormat="1" applyFont="1" applyFill="1" applyBorder="1" applyAlignment="1">
      <alignment horizontal="center" vertical="center"/>
      <protection/>
    </xf>
    <xf numFmtId="3" fontId="9" fillId="2" borderId="46" xfId="23" applyNumberFormat="1" applyFont="1" applyFill="1" applyBorder="1" applyAlignment="1">
      <alignment horizontal="center" vertical="center"/>
      <protection/>
    </xf>
    <xf numFmtId="3" fontId="9" fillId="2" borderId="42" xfId="23" applyNumberFormat="1" applyFont="1" applyFill="1" applyBorder="1" applyAlignment="1">
      <alignment horizontal="center" vertical="center"/>
      <protection/>
    </xf>
    <xf numFmtId="3" fontId="4" fillId="0" borderId="80" xfId="23" applyNumberFormat="1" applyFont="1" applyFill="1" applyBorder="1" applyAlignment="1">
      <alignment vertical="center" wrapText="1"/>
      <protection/>
    </xf>
    <xf numFmtId="3" fontId="7" fillId="3" borderId="81" xfId="23" applyNumberFormat="1" applyFont="1" applyFill="1" applyBorder="1" applyAlignment="1">
      <alignment vertical="center"/>
      <protection/>
    </xf>
    <xf numFmtId="3" fontId="3" fillId="3" borderId="82" xfId="23" applyNumberFormat="1" applyFont="1" applyFill="1" applyBorder="1" applyAlignment="1">
      <alignment vertical="center"/>
      <protection/>
    </xf>
    <xf numFmtId="3" fontId="3" fillId="3" borderId="83" xfId="23" applyNumberFormat="1" applyFont="1" applyFill="1" applyBorder="1" applyAlignment="1">
      <alignment vertical="center"/>
      <protection/>
    </xf>
    <xf numFmtId="3" fontId="3" fillId="0" borderId="84" xfId="23" applyNumberFormat="1" applyFont="1" applyBorder="1" applyAlignment="1">
      <alignment vertical="center"/>
      <protection/>
    </xf>
    <xf numFmtId="3" fontId="4" fillId="0" borderId="34" xfId="23" applyNumberFormat="1" applyFont="1" applyFill="1" applyBorder="1" applyAlignment="1">
      <alignment vertical="center" wrapText="1"/>
      <protection/>
    </xf>
    <xf numFmtId="4" fontId="7" fillId="0" borderId="14" xfId="23" applyNumberFormat="1" applyFont="1" applyFill="1" applyBorder="1" applyAlignment="1">
      <alignment vertical="center"/>
      <protection/>
    </xf>
    <xf numFmtId="4" fontId="3" fillId="0" borderId="1" xfId="23" applyNumberFormat="1" applyFont="1" applyFill="1" applyBorder="1" applyAlignment="1">
      <alignment vertical="center"/>
      <protection/>
    </xf>
    <xf numFmtId="4" fontId="3" fillId="0" borderId="12" xfId="23" applyNumberFormat="1" applyFont="1" applyFill="1" applyBorder="1" applyAlignment="1">
      <alignment vertical="center"/>
      <protection/>
    </xf>
    <xf numFmtId="4" fontId="3" fillId="0" borderId="29" xfId="23" applyNumberFormat="1" applyFont="1" applyBorder="1" applyAlignment="1">
      <alignment vertical="center"/>
      <protection/>
    </xf>
    <xf numFmtId="3" fontId="4" fillId="2" borderId="47" xfId="23" applyNumberFormat="1" applyFont="1" applyFill="1" applyBorder="1" applyAlignment="1">
      <alignment vertical="center" wrapText="1"/>
      <protection/>
    </xf>
    <xf numFmtId="3" fontId="7" fillId="2" borderId="47" xfId="23" applyNumberFormat="1" applyFont="1" applyFill="1" applyBorder="1" applyAlignment="1">
      <alignment horizontal="right" vertical="center"/>
      <protection/>
    </xf>
    <xf numFmtId="3" fontId="3" fillId="2" borderId="26" xfId="23" applyNumberFormat="1" applyFont="1" applyFill="1" applyBorder="1" applyAlignment="1">
      <alignment horizontal="right" vertical="center"/>
      <protection/>
    </xf>
    <xf numFmtId="3" fontId="3" fillId="2" borderId="46" xfId="23" applyNumberFormat="1" applyFont="1" applyFill="1" applyBorder="1" applyAlignment="1">
      <alignment horizontal="right" vertical="center"/>
      <protection/>
    </xf>
    <xf numFmtId="3" fontId="3" fillId="2" borderId="42" xfId="23" applyNumberFormat="1" applyFont="1" applyFill="1" applyBorder="1" applyAlignment="1">
      <alignment horizontal="right" vertical="center"/>
      <protection/>
    </xf>
    <xf numFmtId="3" fontId="3" fillId="3" borderId="81" xfId="23" applyNumberFormat="1" applyFont="1" applyFill="1" applyBorder="1" applyAlignment="1">
      <alignment vertical="center"/>
      <protection/>
    </xf>
    <xf numFmtId="4" fontId="3" fillId="0" borderId="14" xfId="23" applyNumberFormat="1" applyFont="1" applyFill="1" applyBorder="1" applyAlignment="1">
      <alignment vertical="center"/>
      <protection/>
    </xf>
    <xf numFmtId="3" fontId="3" fillId="2" borderId="47" xfId="23" applyNumberFormat="1" applyFont="1" applyFill="1" applyBorder="1" applyAlignment="1">
      <alignment horizontal="right" vertical="center"/>
      <protection/>
    </xf>
    <xf numFmtId="3" fontId="9" fillId="2" borderId="46" xfId="23" applyNumberFormat="1" applyFont="1" applyFill="1" applyBorder="1" applyAlignment="1">
      <alignment horizontal="center" vertical="center" wrapText="1"/>
      <protection/>
    </xf>
    <xf numFmtId="3" fontId="9" fillId="2" borderId="26" xfId="23" applyNumberFormat="1" applyFont="1" applyFill="1" applyBorder="1" applyAlignment="1">
      <alignment horizontal="center" vertical="center" wrapText="1"/>
      <protection/>
    </xf>
    <xf numFmtId="3" fontId="9" fillId="2" borderId="42" xfId="23" applyNumberFormat="1" applyFont="1" applyFill="1" applyBorder="1" applyAlignment="1">
      <alignment horizontal="center" vertical="center" wrapText="1"/>
      <protection/>
    </xf>
    <xf numFmtId="0" fontId="3" fillId="0" borderId="33" xfId="23" applyFont="1" applyBorder="1" applyAlignment="1">
      <alignment vertical="center" wrapText="1"/>
      <protection/>
    </xf>
    <xf numFmtId="3" fontId="3" fillId="0" borderId="27" xfId="23" applyNumberFormat="1" applyFont="1" applyBorder="1" applyAlignment="1">
      <alignment vertical="center"/>
      <protection/>
    </xf>
    <xf numFmtId="3" fontId="3" fillId="0" borderId="28" xfId="23" applyNumberFormat="1" applyFont="1" applyBorder="1" applyAlignment="1">
      <alignment vertical="center"/>
      <protection/>
    </xf>
    <xf numFmtId="3" fontId="3" fillId="0" borderId="3" xfId="23" applyNumberFormat="1" applyFont="1" applyBorder="1" applyAlignment="1">
      <alignment vertical="center"/>
      <protection/>
    </xf>
    <xf numFmtId="3" fontId="3" fillId="0" borderId="11" xfId="23" applyNumberFormat="1" applyFont="1" applyBorder="1" applyAlignment="1">
      <alignment vertical="center"/>
      <protection/>
    </xf>
    <xf numFmtId="0" fontId="3" fillId="2" borderId="32" xfId="23" applyFont="1" applyFill="1" applyBorder="1" applyAlignment="1">
      <alignment horizontal="center"/>
      <protection/>
    </xf>
    <xf numFmtId="3" fontId="3" fillId="2" borderId="2" xfId="23" applyNumberFormat="1" applyFont="1" applyFill="1" applyBorder="1" applyAlignment="1">
      <alignment horizontal="center"/>
      <protection/>
    </xf>
    <xf numFmtId="3" fontId="3" fillId="2" borderId="10" xfId="23" applyNumberFormat="1" applyFont="1" applyFill="1" applyBorder="1" applyAlignment="1">
      <alignment horizontal="center"/>
      <protection/>
    </xf>
    <xf numFmtId="3" fontId="3" fillId="2" borderId="42" xfId="23" applyNumberFormat="1" applyFont="1" applyFill="1" applyBorder="1" applyAlignment="1">
      <alignment horizontal="center"/>
      <protection/>
    </xf>
    <xf numFmtId="0" fontId="0" fillId="0" borderId="0" xfId="24" applyFont="1">
      <alignment/>
      <protection/>
    </xf>
    <xf numFmtId="0" fontId="4" fillId="0" borderId="0" xfId="24" applyFont="1">
      <alignment/>
      <protection/>
    </xf>
    <xf numFmtId="0" fontId="0" fillId="0" borderId="0" xfId="24">
      <alignment/>
      <protection/>
    </xf>
    <xf numFmtId="0" fontId="4" fillId="2" borderId="35" xfId="24" applyFont="1" applyFill="1" applyBorder="1" applyAlignment="1">
      <alignment horizontal="center"/>
      <protection/>
    </xf>
    <xf numFmtId="0" fontId="4" fillId="2" borderId="21" xfId="24" applyFont="1" applyFill="1" applyBorder="1" applyAlignment="1">
      <alignment horizontal="center"/>
      <protection/>
    </xf>
    <xf numFmtId="0" fontId="4" fillId="2" borderId="45" xfId="24" applyFont="1" applyFill="1" applyBorder="1" applyAlignment="1" quotePrefix="1">
      <alignment horizontal="center"/>
      <protection/>
    </xf>
    <xf numFmtId="0" fontId="4" fillId="2" borderId="15" xfId="24" applyFont="1" applyFill="1" applyBorder="1" applyAlignment="1">
      <alignment horizontal="center"/>
      <protection/>
    </xf>
    <xf numFmtId="0" fontId="4" fillId="0" borderId="27" xfId="24" applyFont="1" applyBorder="1" applyAlignment="1">
      <alignment horizontal="left" vertical="center" wrapText="1"/>
      <protection/>
    </xf>
    <xf numFmtId="3" fontId="4" fillId="0" borderId="64" xfId="24" applyNumberFormat="1" applyFont="1" applyBorder="1" applyAlignment="1">
      <alignment vertical="center" wrapText="1"/>
      <protection/>
    </xf>
    <xf numFmtId="3" fontId="4" fillId="0" borderId="27" xfId="24" applyNumberFormat="1" applyFont="1" applyBorder="1" applyAlignment="1">
      <alignment vertical="center" wrapText="1"/>
      <protection/>
    </xf>
    <xf numFmtId="3" fontId="4" fillId="0" borderId="60" xfId="24" applyNumberFormat="1" applyFont="1" applyBorder="1" applyAlignment="1">
      <alignment vertical="center" wrapText="1"/>
      <protection/>
    </xf>
    <xf numFmtId="3" fontId="3" fillId="8" borderId="64" xfId="24" applyNumberFormat="1" applyFont="1" applyFill="1" applyBorder="1" applyAlignment="1">
      <alignment vertical="center" wrapText="1"/>
      <protection/>
    </xf>
    <xf numFmtId="0" fontId="3" fillId="8" borderId="4" xfId="24" applyFont="1" applyFill="1" applyBorder="1" applyAlignment="1">
      <alignment vertical="center" wrapText="1"/>
      <protection/>
    </xf>
    <xf numFmtId="0" fontId="4" fillId="0" borderId="29" xfId="24" applyFont="1" applyBorder="1" applyAlignment="1">
      <alignment horizontal="left" vertical="center" wrapText="1"/>
      <protection/>
    </xf>
    <xf numFmtId="3" fontId="4" fillId="0" borderId="54" xfId="24" applyNumberFormat="1" applyFont="1" applyBorder="1" applyAlignment="1">
      <alignment vertical="center" wrapText="1"/>
      <protection/>
    </xf>
    <xf numFmtId="3" fontId="4" fillId="0" borderId="29" xfId="24" applyNumberFormat="1" applyFont="1" applyBorder="1" applyAlignment="1">
      <alignment vertical="center" wrapText="1"/>
      <protection/>
    </xf>
    <xf numFmtId="3" fontId="3" fillId="8" borderId="54" xfId="24" applyNumberFormat="1" applyFont="1" applyFill="1" applyBorder="1" applyAlignment="1">
      <alignment vertical="center" wrapText="1"/>
      <protection/>
    </xf>
    <xf numFmtId="10" fontId="3" fillId="8" borderId="5" xfId="24" applyNumberFormat="1" applyFont="1" applyFill="1" applyBorder="1" applyAlignment="1">
      <alignment vertical="center" wrapText="1"/>
      <protection/>
    </xf>
    <xf numFmtId="0" fontId="7" fillId="0" borderId="29" xfId="24" applyFont="1" applyBorder="1" applyAlignment="1">
      <alignment horizontal="left" vertical="center" wrapText="1"/>
      <protection/>
    </xf>
    <xf numFmtId="0" fontId="4" fillId="0" borderId="43" xfId="24" applyFont="1" applyBorder="1" applyAlignment="1">
      <alignment horizontal="left" vertical="center" wrapText="1"/>
      <protection/>
    </xf>
    <xf numFmtId="3" fontId="4" fillId="0" borderId="30" xfId="24" applyNumberFormat="1" applyFont="1" applyBorder="1" applyAlignment="1">
      <alignment vertical="center" wrapText="1"/>
      <protection/>
    </xf>
    <xf numFmtId="3" fontId="3" fillId="8" borderId="67" xfId="24" applyNumberFormat="1" applyFont="1" applyFill="1" applyBorder="1" applyAlignment="1">
      <alignment vertical="center" wrapText="1"/>
      <protection/>
    </xf>
    <xf numFmtId="10" fontId="3" fillId="8" borderId="21" xfId="24" applyNumberFormat="1" applyFont="1" applyFill="1" applyBorder="1" applyAlignment="1">
      <alignment vertical="center" wrapText="1"/>
      <protection/>
    </xf>
    <xf numFmtId="0" fontId="3" fillId="2" borderId="42" xfId="24" applyFont="1" applyFill="1" applyBorder="1" applyAlignment="1">
      <alignment horizontal="left" vertical="center" wrapText="1"/>
      <protection/>
    </xf>
    <xf numFmtId="3" fontId="3" fillId="2" borderId="47" xfId="24" applyNumberFormat="1" applyFont="1" applyFill="1" applyBorder="1" applyAlignment="1">
      <alignment vertical="center" wrapText="1"/>
      <protection/>
    </xf>
    <xf numFmtId="3" fontId="3" fillId="2" borderId="42" xfId="24" applyNumberFormat="1" applyFont="1" applyFill="1" applyBorder="1" applyAlignment="1">
      <alignment vertical="center" wrapText="1"/>
      <protection/>
    </xf>
    <xf numFmtId="3" fontId="3" fillId="8" borderId="49" xfId="24" applyNumberFormat="1" applyFont="1" applyFill="1" applyBorder="1" applyAlignment="1">
      <alignment vertical="center" wrapText="1"/>
      <protection/>
    </xf>
    <xf numFmtId="10" fontId="3" fillId="8" borderId="44" xfId="24" applyNumberFormat="1" applyFont="1" applyFill="1" applyBorder="1" applyAlignment="1">
      <alignment vertical="center" wrapText="1"/>
      <protection/>
    </xf>
    <xf numFmtId="0" fontId="4" fillId="0" borderId="60" xfId="24" applyFont="1" applyBorder="1" applyAlignment="1">
      <alignment horizontal="left" vertical="center" wrapText="1"/>
      <protection/>
    </xf>
    <xf numFmtId="10" fontId="3" fillId="8" borderId="4" xfId="24" applyNumberFormat="1" applyFont="1" applyFill="1" applyBorder="1" applyAlignment="1">
      <alignment vertical="center" wrapText="1"/>
      <protection/>
    </xf>
    <xf numFmtId="0" fontId="4" fillId="0" borderId="29" xfId="24" applyFont="1" applyBorder="1" applyAlignment="1">
      <alignment vertical="center" wrapText="1"/>
      <protection/>
    </xf>
    <xf numFmtId="0" fontId="4" fillId="0" borderId="43" xfId="24" applyFont="1" applyBorder="1" applyAlignment="1">
      <alignment vertical="center" wrapText="1"/>
      <protection/>
    </xf>
    <xf numFmtId="3" fontId="4" fillId="0" borderId="52" xfId="24" applyNumberFormat="1" applyFont="1" applyBorder="1" applyAlignment="1">
      <alignment vertical="center" wrapText="1"/>
      <protection/>
    </xf>
    <xf numFmtId="3" fontId="4" fillId="0" borderId="31" xfId="24" applyNumberFormat="1" applyFont="1" applyBorder="1" applyAlignment="1">
      <alignment vertical="center" wrapText="1"/>
      <protection/>
    </xf>
    <xf numFmtId="3" fontId="4" fillId="0" borderId="68" xfId="24" applyNumberFormat="1" applyFont="1" applyBorder="1" applyAlignment="1">
      <alignment vertical="center" wrapText="1"/>
      <protection/>
    </xf>
    <xf numFmtId="3" fontId="4" fillId="0" borderId="43" xfId="24" applyNumberFormat="1" applyFont="1" applyBorder="1" applyAlignment="1">
      <alignment vertical="center" wrapText="1"/>
      <protection/>
    </xf>
    <xf numFmtId="3" fontId="3" fillId="2" borderId="49" xfId="24" applyNumberFormat="1" applyFont="1" applyFill="1" applyBorder="1" applyAlignment="1">
      <alignment vertical="center" wrapText="1"/>
      <protection/>
    </xf>
    <xf numFmtId="3" fontId="3" fillId="2" borderId="42" xfId="24" applyNumberFormat="1" applyFont="1" applyFill="1" applyBorder="1" applyAlignment="1">
      <alignment horizontal="center" vertical="center" wrapText="1"/>
      <protection/>
    </xf>
    <xf numFmtId="0" fontId="9" fillId="2" borderId="42" xfId="24" applyFont="1" applyFill="1" applyBorder="1" applyAlignment="1">
      <alignment horizontal="left" vertical="center" wrapText="1"/>
      <protection/>
    </xf>
    <xf numFmtId="3" fontId="3" fillId="2" borderId="65" xfId="24" applyNumberFormat="1" applyFont="1" applyFill="1" applyBorder="1" applyAlignment="1">
      <alignment horizontal="center" vertical="center" wrapText="1"/>
      <protection/>
    </xf>
    <xf numFmtId="0" fontId="3" fillId="2" borderId="31" xfId="24" applyFont="1" applyFill="1" applyBorder="1" applyAlignment="1">
      <alignment horizontal="left" vertical="center" wrapText="1"/>
      <protection/>
    </xf>
    <xf numFmtId="3" fontId="0" fillId="0" borderId="0" xfId="24" applyNumberFormat="1" applyFont="1">
      <alignment/>
      <protection/>
    </xf>
    <xf numFmtId="0" fontId="4" fillId="0" borderId="0" xfId="24" applyFont="1" applyAlignment="1">
      <alignment/>
      <protection/>
    </xf>
    <xf numFmtId="0" fontId="0" fillId="0" borderId="0" xfId="24" applyFont="1" applyAlignment="1">
      <alignment/>
      <protection/>
    </xf>
    <xf numFmtId="0" fontId="0" fillId="0" borderId="0" xfId="24" applyAlignment="1">
      <alignment/>
      <protection/>
    </xf>
    <xf numFmtId="0" fontId="0" fillId="0" borderId="0" xfId="24" applyAlignment="1">
      <alignment vertical="center"/>
      <protection/>
    </xf>
    <xf numFmtId="0" fontId="4" fillId="0" borderId="0" xfId="24" applyFont="1" applyAlignment="1">
      <alignment vertical="center"/>
      <protection/>
    </xf>
    <xf numFmtId="0" fontId="0" fillId="0" borderId="0" xfId="24" applyFont="1" applyAlignment="1">
      <alignment vertical="center"/>
      <protection/>
    </xf>
    <xf numFmtId="0" fontId="3" fillId="0" borderId="0" xfId="24" applyFont="1" applyFill="1" applyBorder="1" applyAlignment="1">
      <alignment horizontal="center" vertical="center"/>
      <protection/>
    </xf>
    <xf numFmtId="0" fontId="0" fillId="0" borderId="0" xfId="24" applyFont="1" applyFill="1">
      <alignment/>
      <protection/>
    </xf>
    <xf numFmtId="0" fontId="9" fillId="0" borderId="0" xfId="24" applyFont="1" applyBorder="1">
      <alignment/>
      <protection/>
    </xf>
    <xf numFmtId="3" fontId="3" fillId="0" borderId="0" xfId="24" applyNumberFormat="1" applyFont="1" applyBorder="1">
      <alignment/>
      <protection/>
    </xf>
    <xf numFmtId="3" fontId="3" fillId="0" borderId="0" xfId="24" applyNumberFormat="1" applyFont="1" applyFill="1" applyBorder="1">
      <alignment/>
      <protection/>
    </xf>
    <xf numFmtId="0" fontId="1" fillId="0" borderId="0" xfId="24" applyFont="1">
      <alignment/>
      <protection/>
    </xf>
    <xf numFmtId="0" fontId="0" fillId="0" borderId="0" xfId="24" applyBorder="1" applyAlignment="1">
      <alignment/>
      <protection/>
    </xf>
    <xf numFmtId="0" fontId="3" fillId="2" borderId="37" xfId="24" applyFont="1" applyFill="1" applyBorder="1" applyAlignment="1">
      <alignment horizontal="center" vertical="center"/>
      <protection/>
    </xf>
    <xf numFmtId="0" fontId="3" fillId="2" borderId="59" xfId="24" applyFont="1" applyFill="1" applyBorder="1" applyAlignment="1">
      <alignment horizontal="center" vertical="center"/>
      <protection/>
    </xf>
    <xf numFmtId="0" fontId="3" fillId="2" borderId="28" xfId="24" applyFont="1" applyFill="1" applyBorder="1" applyAlignment="1">
      <alignment horizontal="center"/>
      <protection/>
    </xf>
    <xf numFmtId="3" fontId="3" fillId="2" borderId="3" xfId="24" applyNumberFormat="1" applyFont="1" applyFill="1" applyBorder="1" applyAlignment="1">
      <alignment horizontal="center"/>
      <protection/>
    </xf>
    <xf numFmtId="3" fontId="3" fillId="2" borderId="11" xfId="24" applyNumberFormat="1" applyFont="1" applyFill="1" applyBorder="1" applyAlignment="1">
      <alignment horizontal="center"/>
      <protection/>
    </xf>
    <xf numFmtId="3" fontId="3" fillId="2" borderId="60" xfId="24" applyNumberFormat="1" applyFont="1" applyFill="1" applyBorder="1" applyAlignment="1">
      <alignment horizontal="center"/>
      <protection/>
    </xf>
    <xf numFmtId="0" fontId="4" fillId="0" borderId="36" xfId="24" applyFont="1" applyBorder="1" applyAlignment="1">
      <alignment horizontal="center" vertical="center"/>
      <protection/>
    </xf>
    <xf numFmtId="0" fontId="4" fillId="0" borderId="7" xfId="24" applyFont="1" applyBorder="1" applyAlignment="1">
      <alignment horizontal="center" vertical="center"/>
      <protection/>
    </xf>
    <xf numFmtId="0" fontId="3" fillId="0" borderId="34" xfId="24" applyFont="1" applyBorder="1" applyAlignment="1">
      <alignment vertical="center" wrapText="1"/>
      <protection/>
    </xf>
    <xf numFmtId="3" fontId="3" fillId="0" borderId="60" xfId="24" applyNumberFormat="1" applyFont="1" applyBorder="1" applyAlignment="1">
      <alignment vertical="center"/>
      <protection/>
    </xf>
    <xf numFmtId="3" fontId="3" fillId="0" borderId="24" xfId="24" applyNumberFormat="1" applyFont="1" applyBorder="1" applyAlignment="1">
      <alignment vertical="center"/>
      <protection/>
    </xf>
    <xf numFmtId="3" fontId="3" fillId="0" borderId="1" xfId="24" applyNumberFormat="1" applyFont="1" applyBorder="1" applyAlignment="1">
      <alignment vertical="center"/>
      <protection/>
    </xf>
    <xf numFmtId="3" fontId="3" fillId="0" borderId="12" xfId="24" applyNumberFormat="1" applyFont="1" applyBorder="1" applyAlignment="1">
      <alignment vertical="center"/>
      <protection/>
    </xf>
    <xf numFmtId="3" fontId="3" fillId="0" borderId="29" xfId="24" applyNumberFormat="1" applyFont="1" applyBorder="1" applyAlignment="1">
      <alignment vertical="center"/>
      <protection/>
    </xf>
    <xf numFmtId="3" fontId="3" fillId="0" borderId="0" xfId="24" applyNumberFormat="1" applyFont="1" applyBorder="1" applyAlignment="1">
      <alignment vertical="center"/>
      <protection/>
    </xf>
    <xf numFmtId="0" fontId="0" fillId="0" borderId="0" xfId="24" applyFont="1" applyFill="1" applyAlignment="1">
      <alignment vertical="center"/>
      <protection/>
    </xf>
    <xf numFmtId="0" fontId="3" fillId="0" borderId="56" xfId="24" applyFont="1" applyBorder="1" applyAlignment="1">
      <alignment vertical="center"/>
      <protection/>
    </xf>
    <xf numFmtId="3" fontId="3" fillId="0" borderId="43" xfId="24" applyNumberFormat="1" applyFont="1" applyBorder="1" applyAlignment="1">
      <alignment vertical="center"/>
      <protection/>
    </xf>
    <xf numFmtId="3" fontId="3" fillId="0" borderId="19" xfId="24" applyNumberFormat="1" applyFont="1" applyBorder="1" applyAlignment="1">
      <alignment vertical="center"/>
      <protection/>
    </xf>
    <xf numFmtId="3" fontId="3" fillId="0" borderId="6" xfId="24" applyNumberFormat="1" applyFont="1" applyBorder="1" applyAlignment="1">
      <alignment vertical="center"/>
      <protection/>
    </xf>
    <xf numFmtId="3" fontId="3" fillId="0" borderId="36" xfId="24" applyNumberFormat="1" applyFont="1" applyBorder="1" applyAlignment="1">
      <alignment vertical="center"/>
      <protection/>
    </xf>
    <xf numFmtId="3" fontId="9" fillId="2" borderId="47" xfId="24" applyNumberFormat="1" applyFont="1" applyFill="1" applyBorder="1" applyAlignment="1">
      <alignment horizontal="center" vertical="center"/>
      <protection/>
    </xf>
    <xf numFmtId="3" fontId="9" fillId="2" borderId="26" xfId="24" applyNumberFormat="1" applyFont="1" applyFill="1" applyBorder="1" applyAlignment="1">
      <alignment horizontal="center" vertical="center"/>
      <protection/>
    </xf>
    <xf numFmtId="3" fontId="9" fillId="2" borderId="46" xfId="24" applyNumberFormat="1" applyFont="1" applyFill="1" applyBorder="1" applyAlignment="1">
      <alignment horizontal="center" vertical="center"/>
      <protection/>
    </xf>
    <xf numFmtId="3" fontId="9" fillId="2" borderId="42" xfId="24" applyNumberFormat="1" applyFont="1" applyFill="1" applyBorder="1" applyAlignment="1">
      <alignment horizontal="center" vertical="center"/>
      <protection/>
    </xf>
    <xf numFmtId="3" fontId="4" fillId="0" borderId="80" xfId="24" applyNumberFormat="1" applyFont="1" applyFill="1" applyBorder="1" applyAlignment="1">
      <alignment vertical="center" wrapText="1"/>
      <protection/>
    </xf>
    <xf numFmtId="3" fontId="3" fillId="3" borderId="81" xfId="24" applyNumberFormat="1" applyFont="1" applyFill="1" applyBorder="1" applyAlignment="1">
      <alignment vertical="center"/>
      <protection/>
    </xf>
    <xf numFmtId="3" fontId="3" fillId="3" borderId="82" xfId="24" applyNumberFormat="1" applyFont="1" applyFill="1" applyBorder="1" applyAlignment="1">
      <alignment vertical="center"/>
      <protection/>
    </xf>
    <xf numFmtId="3" fontId="3" fillId="3" borderId="83" xfId="24" applyNumberFormat="1" applyFont="1" applyFill="1" applyBorder="1" applyAlignment="1">
      <alignment vertical="center"/>
      <protection/>
    </xf>
    <xf numFmtId="3" fontId="3" fillId="0" borderId="84" xfId="24" applyNumberFormat="1" applyFont="1" applyBorder="1" applyAlignment="1">
      <alignment vertical="center"/>
      <protection/>
    </xf>
    <xf numFmtId="3" fontId="4" fillId="0" borderId="34" xfId="24" applyNumberFormat="1" applyFont="1" applyFill="1" applyBorder="1" applyAlignment="1">
      <alignment vertical="center" wrapText="1"/>
      <protection/>
    </xf>
    <xf numFmtId="4" fontId="3" fillId="3" borderId="14" xfId="24" applyNumberFormat="1" applyFont="1" applyFill="1" applyBorder="1" applyAlignment="1">
      <alignment vertical="center"/>
      <protection/>
    </xf>
    <xf numFmtId="4" fontId="3" fillId="3" borderId="1" xfId="24" applyNumberFormat="1" applyFont="1" applyFill="1" applyBorder="1" applyAlignment="1">
      <alignment vertical="center"/>
      <protection/>
    </xf>
    <xf numFmtId="4" fontId="3" fillId="3" borderId="12" xfId="24" applyNumberFormat="1" applyFont="1" applyFill="1" applyBorder="1" applyAlignment="1">
      <alignment vertical="center"/>
      <protection/>
    </xf>
    <xf numFmtId="4" fontId="3" fillId="0" borderId="29" xfId="24" applyNumberFormat="1" applyFont="1" applyBorder="1" applyAlignment="1">
      <alignment vertical="center"/>
      <protection/>
    </xf>
    <xf numFmtId="3" fontId="4" fillId="2" borderId="47" xfId="24" applyNumberFormat="1" applyFont="1" applyFill="1" applyBorder="1" applyAlignment="1">
      <alignment vertical="center" wrapText="1"/>
      <protection/>
    </xf>
    <xf numFmtId="3" fontId="3" fillId="2" borderId="26" xfId="24" applyNumberFormat="1" applyFont="1" applyFill="1" applyBorder="1" applyAlignment="1">
      <alignment horizontal="right" vertical="center"/>
      <protection/>
    </xf>
    <xf numFmtId="3" fontId="3" fillId="2" borderId="46" xfId="24" applyNumberFormat="1" applyFont="1" applyFill="1" applyBorder="1" applyAlignment="1">
      <alignment horizontal="right" vertical="center"/>
      <protection/>
    </xf>
    <xf numFmtId="3" fontId="3" fillId="2" borderId="42" xfId="24" applyNumberFormat="1" applyFont="1" applyFill="1" applyBorder="1" applyAlignment="1">
      <alignment horizontal="right" vertical="center"/>
      <protection/>
    </xf>
    <xf numFmtId="3" fontId="9" fillId="2" borderId="47" xfId="24" applyNumberFormat="1" applyFont="1" applyFill="1" applyBorder="1" applyAlignment="1">
      <alignment horizontal="center" vertical="center" wrapText="1"/>
      <protection/>
    </xf>
    <xf numFmtId="3" fontId="9" fillId="2" borderId="26" xfId="24" applyNumberFormat="1" applyFont="1" applyFill="1" applyBorder="1" applyAlignment="1">
      <alignment horizontal="center" vertical="center" wrapText="1"/>
      <protection/>
    </xf>
    <xf numFmtId="3" fontId="9" fillId="2" borderId="46" xfId="24" applyNumberFormat="1" applyFont="1" applyFill="1" applyBorder="1" applyAlignment="1">
      <alignment horizontal="center" vertical="center" wrapText="1"/>
      <protection/>
    </xf>
    <xf numFmtId="3" fontId="3" fillId="3" borderId="80" xfId="24" applyNumberFormat="1" applyFont="1" applyFill="1" applyBorder="1" applyAlignment="1">
      <alignment vertical="center"/>
      <protection/>
    </xf>
    <xf numFmtId="4" fontId="3" fillId="3" borderId="34" xfId="24" applyNumberFormat="1" applyFont="1" applyFill="1" applyBorder="1" applyAlignment="1">
      <alignment vertical="center"/>
      <protection/>
    </xf>
    <xf numFmtId="3" fontId="3" fillId="2" borderId="47" xfId="24" applyNumberFormat="1" applyFont="1" applyFill="1" applyBorder="1" applyAlignment="1">
      <alignment horizontal="right" vertical="center"/>
      <protection/>
    </xf>
    <xf numFmtId="3" fontId="9" fillId="2" borderId="42" xfId="24" applyNumberFormat="1" applyFont="1" applyFill="1" applyBorder="1" applyAlignment="1">
      <alignment horizontal="center" vertical="center" wrapText="1"/>
      <protection/>
    </xf>
    <xf numFmtId="4" fontId="3" fillId="0" borderId="12" xfId="24" applyNumberFormat="1" applyFont="1" applyFill="1" applyBorder="1" applyAlignment="1">
      <alignment vertical="center"/>
      <protection/>
    </xf>
    <xf numFmtId="4" fontId="3" fillId="0" borderId="1" xfId="24" applyNumberFormat="1" applyFont="1" applyFill="1" applyBorder="1" applyAlignment="1">
      <alignment vertical="center"/>
      <protection/>
    </xf>
    <xf numFmtId="4" fontId="3" fillId="0" borderId="14" xfId="24" applyNumberFormat="1" applyFont="1" applyFill="1" applyBorder="1" applyAlignment="1">
      <alignment vertical="center"/>
      <protection/>
    </xf>
    <xf numFmtId="0" fontId="3" fillId="0" borderId="17" xfId="24" applyFont="1" applyFill="1" applyBorder="1" applyAlignment="1">
      <alignment vertical="center" wrapText="1"/>
      <protection/>
    </xf>
    <xf numFmtId="0" fontId="4" fillId="0" borderId="0" xfId="24" applyFont="1" applyFill="1">
      <alignment/>
      <protection/>
    </xf>
    <xf numFmtId="4" fontId="3" fillId="0" borderId="34" xfId="24" applyNumberFormat="1" applyFont="1" applyFill="1" applyBorder="1" applyAlignment="1">
      <alignment vertical="center"/>
      <protection/>
    </xf>
    <xf numFmtId="0" fontId="3" fillId="2" borderId="41" xfId="24" applyFont="1" applyFill="1" applyBorder="1" applyAlignment="1">
      <alignment horizontal="left" vertical="center" wrapText="1"/>
      <protection/>
    </xf>
    <xf numFmtId="0" fontId="0" fillId="0" borderId="0" xfId="28">
      <alignment/>
      <protection/>
    </xf>
    <xf numFmtId="0" fontId="0" fillId="0" borderId="0" xfId="27" applyFont="1">
      <alignment/>
      <protection/>
    </xf>
    <xf numFmtId="0" fontId="4" fillId="0" borderId="0" xfId="28" applyFont="1">
      <alignment/>
      <protection/>
    </xf>
    <xf numFmtId="0" fontId="3" fillId="0" borderId="0" xfId="28" applyFont="1">
      <alignment/>
      <protection/>
    </xf>
    <xf numFmtId="0" fontId="1" fillId="3" borderId="0" xfId="0" applyFont="1" applyFill="1" applyAlignment="1">
      <alignment horizontal="left"/>
    </xf>
    <xf numFmtId="0" fontId="9" fillId="0" borderId="33" xfId="28" applyFont="1" applyBorder="1" applyAlignment="1">
      <alignment horizontal="left" vertical="center" wrapText="1"/>
      <protection/>
    </xf>
    <xf numFmtId="3" fontId="3" fillId="0" borderId="34" xfId="28" applyNumberFormat="1" applyFont="1" applyBorder="1">
      <alignment/>
      <protection/>
    </xf>
    <xf numFmtId="3" fontId="3" fillId="0" borderId="12" xfId="28" applyNumberFormat="1" applyFont="1" applyBorder="1">
      <alignment/>
      <protection/>
    </xf>
    <xf numFmtId="3" fontId="3" fillId="0" borderId="5" xfId="28" applyNumberFormat="1" applyFont="1" applyBorder="1">
      <alignment/>
      <protection/>
    </xf>
    <xf numFmtId="0" fontId="3" fillId="0" borderId="33" xfId="28" applyFont="1" applyBorder="1">
      <alignment/>
      <protection/>
    </xf>
    <xf numFmtId="10" fontId="3" fillId="0" borderId="4" xfId="28" applyNumberFormat="1" applyFont="1" applyBorder="1">
      <alignment/>
      <protection/>
    </xf>
    <xf numFmtId="0" fontId="9" fillId="0" borderId="34" xfId="28" applyFont="1" applyBorder="1" applyAlignment="1">
      <alignment horizontal="left" vertical="center" wrapText="1"/>
      <protection/>
    </xf>
    <xf numFmtId="3" fontId="3" fillId="0" borderId="14" xfId="28" applyNumberFormat="1" applyFont="1" applyBorder="1">
      <alignment/>
      <protection/>
    </xf>
    <xf numFmtId="10" fontId="3" fillId="0" borderId="5" xfId="28" applyNumberFormat="1" applyFont="1" applyBorder="1">
      <alignment/>
      <protection/>
    </xf>
    <xf numFmtId="0" fontId="9" fillId="0" borderId="56" xfId="28" applyFont="1" applyBorder="1" applyAlignment="1">
      <alignment horizontal="left" vertical="center" wrapText="1"/>
      <protection/>
    </xf>
    <xf numFmtId="0" fontId="3" fillId="2" borderId="47" xfId="28" applyFont="1" applyFill="1" applyBorder="1" applyAlignment="1">
      <alignment horizontal="left" vertical="center" wrapText="1"/>
      <protection/>
    </xf>
    <xf numFmtId="3" fontId="5" fillId="2" borderId="47" xfId="28" applyNumberFormat="1" applyFont="1" applyFill="1" applyBorder="1" applyAlignment="1">
      <alignment vertical="center"/>
      <protection/>
    </xf>
    <xf numFmtId="3" fontId="5" fillId="2" borderId="46" xfId="28" applyNumberFormat="1" applyFont="1" applyFill="1" applyBorder="1" applyAlignment="1">
      <alignment vertical="center"/>
      <protection/>
    </xf>
    <xf numFmtId="3" fontId="5" fillId="2" borderId="44" xfId="28" applyNumberFormat="1" applyFont="1" applyFill="1" applyBorder="1" applyAlignment="1">
      <alignment vertical="center"/>
      <protection/>
    </xf>
    <xf numFmtId="3" fontId="3" fillId="2" borderId="47" xfId="28" applyNumberFormat="1" applyFont="1" applyFill="1" applyBorder="1" applyAlignment="1">
      <alignment vertical="center"/>
      <protection/>
    </xf>
    <xf numFmtId="10" fontId="3" fillId="2" borderId="44" xfId="28" applyNumberFormat="1" applyFont="1" applyFill="1" applyBorder="1" applyAlignment="1">
      <alignment vertical="center"/>
      <protection/>
    </xf>
    <xf numFmtId="0" fontId="3" fillId="0" borderId="0" xfId="28" applyFont="1" applyAlignment="1">
      <alignment vertical="center"/>
      <protection/>
    </xf>
    <xf numFmtId="0" fontId="9" fillId="0" borderId="57" xfId="28" applyFont="1" applyBorder="1" applyAlignment="1">
      <alignment horizontal="left" vertical="center" wrapText="1"/>
      <protection/>
    </xf>
    <xf numFmtId="3" fontId="3" fillId="0" borderId="16" xfId="28" applyNumberFormat="1" applyFont="1" applyBorder="1">
      <alignment/>
      <protection/>
    </xf>
    <xf numFmtId="3" fontId="3" fillId="0" borderId="11" xfId="28" applyNumberFormat="1" applyFont="1" applyBorder="1">
      <alignment/>
      <protection/>
    </xf>
    <xf numFmtId="3" fontId="3" fillId="0" borderId="4" xfId="28" applyNumberFormat="1" applyFont="1" applyBorder="1">
      <alignment/>
      <protection/>
    </xf>
    <xf numFmtId="3" fontId="3" fillId="0" borderId="59" xfId="28" applyNumberFormat="1" applyFont="1" applyBorder="1">
      <alignment/>
      <protection/>
    </xf>
    <xf numFmtId="3" fontId="3" fillId="0" borderId="63" xfId="28" applyNumberFormat="1" applyFont="1" applyFill="1" applyBorder="1">
      <alignment/>
      <protection/>
    </xf>
    <xf numFmtId="0" fontId="9" fillId="0" borderId="34" xfId="28" applyFont="1" applyBorder="1" applyAlignment="1">
      <alignment vertical="center" wrapText="1"/>
      <protection/>
    </xf>
    <xf numFmtId="3" fontId="3" fillId="0" borderId="34" xfId="28" applyNumberFormat="1" applyFont="1" applyFill="1" applyBorder="1">
      <alignment/>
      <protection/>
    </xf>
    <xf numFmtId="3" fontId="3" fillId="0" borderId="12" xfId="28" applyNumberFormat="1" applyFont="1" applyFill="1" applyBorder="1">
      <alignment/>
      <protection/>
    </xf>
    <xf numFmtId="0" fontId="9" fillId="0" borderId="56" xfId="28" applyFont="1" applyBorder="1" applyAlignment="1">
      <alignment vertical="center" wrapText="1"/>
      <protection/>
    </xf>
    <xf numFmtId="3" fontId="3" fillId="0" borderId="20" xfId="28" applyNumberFormat="1" applyFont="1" applyBorder="1">
      <alignment/>
      <protection/>
    </xf>
    <xf numFmtId="3" fontId="3" fillId="0" borderId="39" xfId="28" applyNumberFormat="1" applyFont="1" applyBorder="1">
      <alignment/>
      <protection/>
    </xf>
    <xf numFmtId="3" fontId="3" fillId="0" borderId="21" xfId="28" applyNumberFormat="1" applyFont="1" applyBorder="1">
      <alignment/>
      <protection/>
    </xf>
    <xf numFmtId="10" fontId="3" fillId="0" borderId="21" xfId="28" applyNumberFormat="1" applyFont="1" applyBorder="1">
      <alignment/>
      <protection/>
    </xf>
    <xf numFmtId="3" fontId="5" fillId="2" borderId="26" xfId="28" applyNumberFormat="1" applyFont="1" applyFill="1" applyBorder="1" applyAlignment="1">
      <alignment vertical="center"/>
      <protection/>
    </xf>
    <xf numFmtId="3" fontId="5" fillId="2" borderId="65" xfId="28" applyNumberFormat="1" applyFont="1" applyFill="1" applyBorder="1" applyAlignment="1">
      <alignment vertical="center"/>
      <protection/>
    </xf>
    <xf numFmtId="3" fontId="3" fillId="0" borderId="35" xfId="28" applyNumberFormat="1" applyFont="1" applyBorder="1">
      <alignment/>
      <protection/>
    </xf>
    <xf numFmtId="3" fontId="3" fillId="0" borderId="33" xfId="28" applyNumberFormat="1" applyFont="1" applyBorder="1">
      <alignment/>
      <protection/>
    </xf>
    <xf numFmtId="3" fontId="3" fillId="0" borderId="30" xfId="0" applyNumberFormat="1" applyFont="1" applyBorder="1" applyAlignment="1">
      <alignment/>
    </xf>
    <xf numFmtId="165" fontId="3" fillId="0" borderId="11" xfId="25" applyNumberFormat="1" applyFont="1" applyBorder="1" applyAlignment="1">
      <alignment vertical="center"/>
      <protection/>
    </xf>
    <xf numFmtId="0" fontId="32" fillId="4" borderId="0" xfId="21" applyFill="1" applyBorder="1">
      <alignment vertical="top" wrapText="1"/>
      <protection/>
    </xf>
    <xf numFmtId="0" fontId="32" fillId="4" borderId="0" xfId="21" applyFill="1" applyBorder="1">
      <alignment vertical="top" wrapText="1"/>
      <protection/>
    </xf>
    <xf numFmtId="0" fontId="32" fillId="4" borderId="0" xfId="21" applyFill="1" applyBorder="1">
      <alignment vertical="top" wrapText="1"/>
      <protection/>
    </xf>
    <xf numFmtId="0" fontId="23" fillId="0" borderId="0" xfId="21">
      <alignment wrapText="1"/>
      <protection/>
    </xf>
    <xf numFmtId="0" fontId="32" fillId="4" borderId="0" xfId="21" applyFill="1" applyBorder="1">
      <alignment vertical="top" wrapText="1"/>
      <protection/>
    </xf>
    <xf numFmtId="0" fontId="42" fillId="4" borderId="0" xfId="21" applyFill="1" applyBorder="1">
      <alignment vertical="top" wrapText="1"/>
      <protection/>
    </xf>
    <xf numFmtId="0" fontId="32" fillId="4" borderId="0" xfId="21" applyFill="1">
      <alignment vertical="top" wrapText="1"/>
      <protection/>
    </xf>
    <xf numFmtId="0" fontId="32" fillId="4" borderId="0" xfId="21" applyFill="1" applyBorder="1">
      <alignment vertical="top" wrapText="1"/>
      <protection/>
    </xf>
    <xf numFmtId="0" fontId="33" fillId="9" borderId="85" xfId="21" applyFill="1" applyBorder="1">
      <alignment horizontal="center" vertical="top" wrapText="1"/>
      <protection/>
    </xf>
    <xf numFmtId="0" fontId="33" fillId="9" borderId="86" xfId="21" applyFill="1" applyBorder="1">
      <alignment horizontal="center" vertical="top" wrapText="1"/>
      <protection/>
    </xf>
    <xf numFmtId="0" fontId="33" fillId="9" borderId="87" xfId="21" applyFill="1" applyBorder="1">
      <alignment horizontal="right" vertical="top" wrapText="1"/>
      <protection/>
    </xf>
    <xf numFmtId="186" fontId="33" fillId="9" borderId="86" xfId="21" applyFill="1" applyBorder="1">
      <alignment horizontal="right" vertical="top" wrapText="1"/>
      <protection/>
    </xf>
    <xf numFmtId="186" fontId="33" fillId="4" borderId="86" xfId="21" applyFill="1" applyBorder="1">
      <alignment horizontal="right" vertical="top" wrapText="1"/>
      <protection/>
    </xf>
    <xf numFmtId="223" fontId="33" fillId="4" borderId="86" xfId="21" applyFill="1" applyBorder="1">
      <alignment horizontal="right" vertical="top" wrapText="1"/>
      <protection/>
    </xf>
    <xf numFmtId="186" fontId="34" fillId="9" borderId="86" xfId="21" applyFill="1" applyBorder="1">
      <alignment horizontal="right" vertical="top" wrapText="1"/>
      <protection/>
    </xf>
    <xf numFmtId="223" fontId="34" fillId="9" borderId="86" xfId="21" applyFill="1" applyBorder="1">
      <alignment horizontal="right" vertical="top" wrapText="1"/>
      <protection/>
    </xf>
    <xf numFmtId="0" fontId="32" fillId="4" borderId="0" xfId="21" applyFill="1" applyBorder="1">
      <alignment vertical="top" wrapText="1"/>
      <protection/>
    </xf>
    <xf numFmtId="0" fontId="32" fillId="4" borderId="0" xfId="21" applyFill="1" applyBorder="1">
      <alignment vertical="top" wrapText="1"/>
      <protection/>
    </xf>
    <xf numFmtId="0" fontId="32" fillId="4" borderId="0" xfId="21" applyFill="1" applyBorder="1">
      <alignment vertical="top" wrapText="1"/>
      <protection/>
    </xf>
    <xf numFmtId="0" fontId="0" fillId="0" borderId="52" xfId="0" applyBorder="1" applyAlignment="1">
      <alignment horizontal="center" vertical="center" wrapText="1"/>
    </xf>
    <xf numFmtId="0" fontId="0" fillId="0" borderId="70" xfId="0" applyBorder="1" applyAlignment="1">
      <alignment horizontal="center" vertical="center"/>
    </xf>
    <xf numFmtId="49" fontId="3" fillId="2" borderId="53" xfId="0" applyNumberFormat="1" applyFont="1" applyFill="1" applyBorder="1" applyAlignment="1">
      <alignment horizontal="center" vertical="center" wrapText="1"/>
    </xf>
    <xf numFmtId="49" fontId="2" fillId="2" borderId="47" xfId="0" applyNumberFormat="1" applyFont="1" applyFill="1" applyBorder="1" applyAlignment="1">
      <alignment horizontal="center" vertical="center"/>
    </xf>
    <xf numFmtId="0" fontId="0" fillId="0" borderId="65" xfId="0" applyBorder="1" applyAlignment="1">
      <alignment horizontal="center" vertical="center"/>
    </xf>
    <xf numFmtId="0" fontId="0" fillId="0" borderId="59" xfId="0" applyBorder="1" applyAlignment="1">
      <alignment horizontal="left"/>
    </xf>
    <xf numFmtId="0" fontId="0" fillId="0" borderId="14" xfId="0" applyFont="1" applyBorder="1" applyAlignment="1">
      <alignment horizontal="left" vertical="center"/>
    </xf>
    <xf numFmtId="0" fontId="0" fillId="0" borderId="5" xfId="0" applyBorder="1" applyAlignment="1">
      <alignment horizontal="left"/>
    </xf>
    <xf numFmtId="49" fontId="2" fillId="2" borderId="41" xfId="0" applyNumberFormat="1" applyFont="1" applyFill="1" applyBorder="1" applyAlignment="1">
      <alignment horizontal="left" vertical="center"/>
    </xf>
    <xf numFmtId="0" fontId="0" fillId="0" borderId="45" xfId="0" applyBorder="1" applyAlignment="1">
      <alignment horizontal="center" vertical="center" wrapText="1"/>
    </xf>
    <xf numFmtId="49" fontId="3" fillId="2" borderId="51"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9" fillId="2" borderId="51"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49" fontId="3" fillId="2" borderId="55" xfId="0" applyNumberFormat="1" applyFont="1" applyFill="1" applyBorder="1" applyAlignment="1">
      <alignment horizontal="center" vertical="center" wrapText="1"/>
    </xf>
    <xf numFmtId="0" fontId="3" fillId="2" borderId="88"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2" xfId="0" applyBorder="1" applyAlignment="1">
      <alignment/>
    </xf>
    <xf numFmtId="0" fontId="3" fillId="2" borderId="55" xfId="0" applyFont="1" applyFill="1" applyBorder="1" applyAlignment="1">
      <alignment horizontal="left" vertical="center" wrapText="1"/>
    </xf>
    <xf numFmtId="0" fontId="4" fillId="0" borderId="45" xfId="0" applyFont="1" applyBorder="1" applyAlignment="1">
      <alignment horizontal="left" vertical="center" wrapText="1"/>
    </xf>
    <xf numFmtId="0" fontId="0" fillId="0" borderId="48" xfId="0" applyBorder="1" applyAlignment="1">
      <alignment vertical="center" wrapText="1"/>
    </xf>
    <xf numFmtId="0" fontId="0" fillId="0" borderId="22" xfId="0" applyBorder="1" applyAlignment="1">
      <alignment vertical="center" wrapText="1"/>
    </xf>
    <xf numFmtId="0" fontId="1" fillId="0" borderId="0" xfId="0" applyFont="1" applyBorder="1" applyAlignment="1">
      <alignment horizontal="left" vertical="center"/>
    </xf>
    <xf numFmtId="0" fontId="0" fillId="0" borderId="0" xfId="0" applyBorder="1" applyAlignment="1">
      <alignment horizontal="left" vertical="center"/>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72" xfId="0" applyBorder="1" applyAlignment="1">
      <alignment horizontal="center" vertical="center" wrapText="1"/>
    </xf>
    <xf numFmtId="0" fontId="0" fillId="0" borderId="61" xfId="0" applyBorder="1" applyAlignment="1">
      <alignment horizontal="center" vertical="center" wrapText="1"/>
    </xf>
    <xf numFmtId="0" fontId="2" fillId="0" borderId="69" xfId="0" applyFont="1" applyBorder="1" applyAlignment="1">
      <alignment vertical="center" wrapText="1"/>
    </xf>
    <xf numFmtId="49" fontId="9" fillId="2" borderId="13"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4" fillId="0" borderId="14" xfId="0" applyFont="1" applyBorder="1" applyAlignment="1">
      <alignment vertical="center"/>
    </xf>
    <xf numFmtId="0" fontId="0" fillId="0" borderId="5" xfId="0" applyBorder="1" applyAlignment="1">
      <alignment/>
    </xf>
    <xf numFmtId="0" fontId="6" fillId="2" borderId="17" xfId="0" applyFont="1" applyFill="1" applyBorder="1" applyAlignment="1">
      <alignment vertical="center"/>
    </xf>
    <xf numFmtId="0" fontId="0" fillId="0" borderId="7" xfId="0" applyBorder="1" applyAlignment="1">
      <alignment/>
    </xf>
    <xf numFmtId="0" fontId="2" fillId="2" borderId="57" xfId="0" applyFont="1" applyFill="1" applyBorder="1" applyAlignment="1">
      <alignment horizontal="center" vertical="center"/>
    </xf>
    <xf numFmtId="0" fontId="2" fillId="2" borderId="61" xfId="0" applyFont="1" applyFill="1" applyBorder="1" applyAlignment="1">
      <alignment horizontal="center" vertical="center"/>
    </xf>
    <xf numFmtId="0" fontId="0" fillId="0" borderId="61" xfId="0" applyBorder="1" applyAlignment="1">
      <alignment horizontal="center" vertical="center"/>
    </xf>
    <xf numFmtId="0" fontId="0" fillId="0" borderId="72" xfId="0" applyBorder="1" applyAlignment="1">
      <alignment horizontal="center" vertical="center"/>
    </xf>
    <xf numFmtId="0" fontId="7" fillId="0" borderId="65" xfId="0" applyFont="1" applyBorder="1" applyAlignment="1">
      <alignment horizontal="right" vertical="center"/>
    </xf>
    <xf numFmtId="0" fontId="0" fillId="0" borderId="65" xfId="0" applyBorder="1" applyAlignment="1">
      <alignment horizontal="right" vertical="center"/>
    </xf>
    <xf numFmtId="0" fontId="0" fillId="0" borderId="70" xfId="0" applyBorder="1" applyAlignment="1">
      <alignment horizontal="right" vertical="center"/>
    </xf>
    <xf numFmtId="0" fontId="7" fillId="0" borderId="65" xfId="0" applyFont="1" applyBorder="1" applyAlignment="1">
      <alignment horizontal="left" vertical="center" wrapText="1"/>
    </xf>
    <xf numFmtId="0" fontId="0" fillId="0" borderId="65" xfId="0" applyBorder="1" applyAlignment="1">
      <alignment horizontal="left" vertical="center" wrapText="1"/>
    </xf>
    <xf numFmtId="0" fontId="0" fillId="0" borderId="70" xfId="0" applyBorder="1" applyAlignment="1">
      <alignment horizontal="left" vertical="center" wrapText="1"/>
    </xf>
    <xf numFmtId="0" fontId="2" fillId="2" borderId="88" xfId="0" applyFont="1" applyFill="1" applyBorder="1" applyAlignment="1">
      <alignment horizontal="left" vertical="center"/>
    </xf>
    <xf numFmtId="0" fontId="2" fillId="2" borderId="31" xfId="0" applyFont="1" applyFill="1" applyBorder="1" applyAlignment="1">
      <alignment horizontal="left" vertical="center"/>
    </xf>
    <xf numFmtId="0" fontId="7" fillId="0" borderId="47" xfId="0" applyFont="1" applyBorder="1" applyAlignment="1">
      <alignment horizontal="right" vertical="center"/>
    </xf>
    <xf numFmtId="0" fontId="9" fillId="2" borderId="88" xfId="0" applyFont="1" applyFill="1" applyBorder="1" applyAlignment="1">
      <alignment horizontal="center" vertical="center" wrapText="1"/>
    </xf>
    <xf numFmtId="0" fontId="9" fillId="2" borderId="31" xfId="0" applyFont="1" applyFill="1" applyBorder="1" applyAlignment="1">
      <alignment horizontal="center" vertical="center" wrapText="1"/>
    </xf>
    <xf numFmtId="1" fontId="14" fillId="0" borderId="52" xfId="0" applyNumberFormat="1" applyFont="1" applyBorder="1" applyAlignment="1">
      <alignment horizontal="right" vertical="top"/>
    </xf>
    <xf numFmtId="0" fontId="0" fillId="0" borderId="52" xfId="0" applyBorder="1" applyAlignment="1">
      <alignment horizontal="right"/>
    </xf>
    <xf numFmtId="0" fontId="33" fillId="0" borderId="39" xfId="0" applyFont="1" applyBorder="1" applyAlignment="1">
      <alignment horizontal="justify" vertical="top" wrapText="1"/>
    </xf>
    <xf numFmtId="0" fontId="4" fillId="0" borderId="67" xfId="0" applyFont="1" applyBorder="1" applyAlignment="1">
      <alignment vertical="top" wrapText="1"/>
    </xf>
    <xf numFmtId="0" fontId="4" fillId="0" borderId="18" xfId="0" applyFont="1" applyBorder="1" applyAlignment="1">
      <alignment vertical="top" wrapText="1"/>
    </xf>
    <xf numFmtId="0" fontId="4" fillId="0" borderId="38" xfId="0" applyFont="1" applyBorder="1" applyAlignment="1">
      <alignment vertical="top" wrapText="1"/>
    </xf>
    <xf numFmtId="0" fontId="4" fillId="0" borderId="0" xfId="0" applyFont="1" applyBorder="1" applyAlignment="1">
      <alignment vertical="top" wrapText="1"/>
    </xf>
    <xf numFmtId="0" fontId="4" fillId="0" borderId="25" xfId="0" applyFont="1" applyBorder="1" applyAlignment="1">
      <alignment vertical="top" wrapText="1"/>
    </xf>
    <xf numFmtId="0" fontId="4" fillId="0" borderId="11" xfId="0" applyFont="1" applyBorder="1" applyAlignment="1">
      <alignment vertical="top" wrapText="1"/>
    </xf>
    <xf numFmtId="0" fontId="4" fillId="0" borderId="64" xfId="0" applyFont="1" applyBorder="1" applyAlignment="1">
      <alignment vertical="top" wrapText="1"/>
    </xf>
    <xf numFmtId="0" fontId="4" fillId="0" borderId="28" xfId="0" applyFont="1" applyBorder="1" applyAlignment="1">
      <alignment vertical="top" wrapText="1"/>
    </xf>
    <xf numFmtId="0" fontId="4" fillId="0" borderId="0" xfId="25" applyFont="1" applyAlignment="1">
      <alignment wrapText="1"/>
      <protection/>
    </xf>
    <xf numFmtId="0" fontId="0" fillId="0" borderId="0" xfId="25" applyAlignment="1">
      <alignment/>
      <protection/>
    </xf>
    <xf numFmtId="0" fontId="37" fillId="0" borderId="0" xfId="25" applyFont="1" applyAlignment="1">
      <alignment horizontal="justify" wrapText="1"/>
      <protection/>
    </xf>
    <xf numFmtId="0" fontId="0" fillId="0" borderId="0" xfId="25" applyAlignment="1">
      <alignment wrapText="1"/>
      <protection/>
    </xf>
    <xf numFmtId="0" fontId="3" fillId="2" borderId="60" xfId="25" applyFont="1" applyFill="1" applyBorder="1" applyAlignment="1">
      <alignment horizontal="left" vertical="center" wrapText="1"/>
      <protection/>
    </xf>
    <xf numFmtId="0" fontId="3" fillId="2" borderId="50" xfId="25" applyFont="1" applyFill="1" applyBorder="1" applyAlignment="1">
      <alignment horizontal="left" vertical="center" wrapText="1"/>
      <protection/>
    </xf>
    <xf numFmtId="0" fontId="3" fillId="2" borderId="43" xfId="25" applyFont="1" applyFill="1" applyBorder="1" applyAlignment="1">
      <alignment vertical="center" wrapText="1"/>
      <protection/>
    </xf>
    <xf numFmtId="0" fontId="3" fillId="2" borderId="18" xfId="25" applyFont="1" applyFill="1" applyBorder="1" applyAlignment="1">
      <alignment horizontal="center" vertical="center" wrapText="1"/>
      <protection/>
    </xf>
    <xf numFmtId="0" fontId="0" fillId="0" borderId="32" xfId="25" applyBorder="1" applyAlignment="1">
      <alignment horizontal="center" vertical="center"/>
      <protection/>
    </xf>
    <xf numFmtId="0" fontId="3" fillId="2" borderId="20" xfId="25" applyFont="1" applyFill="1" applyBorder="1" applyAlignment="1">
      <alignment horizontal="center" vertical="center" wrapText="1"/>
      <protection/>
    </xf>
    <xf numFmtId="0" fontId="0" fillId="0" borderId="48" xfId="25" applyBorder="1" applyAlignment="1">
      <alignment horizontal="center" vertical="center"/>
      <protection/>
    </xf>
    <xf numFmtId="0" fontId="3" fillId="2" borderId="25" xfId="25" applyFont="1" applyFill="1" applyBorder="1" applyAlignment="1">
      <alignment horizontal="center" vertical="center" wrapText="1"/>
      <protection/>
    </xf>
    <xf numFmtId="0" fontId="3" fillId="2" borderId="40" xfId="25" applyFont="1" applyFill="1" applyBorder="1" applyAlignment="1">
      <alignment horizontal="center" vertical="center"/>
      <protection/>
    </xf>
    <xf numFmtId="0" fontId="3" fillId="2" borderId="37" xfId="25" applyFont="1" applyFill="1" applyBorder="1" applyAlignment="1">
      <alignment horizontal="center" vertical="center"/>
      <protection/>
    </xf>
    <xf numFmtId="0" fontId="3" fillId="2" borderId="41" xfId="25" applyFont="1" applyFill="1" applyBorder="1" applyAlignment="1">
      <alignment horizontal="center" vertical="center"/>
      <protection/>
    </xf>
    <xf numFmtId="0" fontId="3" fillId="2" borderId="58" xfId="25" applyFont="1" applyFill="1" applyBorder="1" applyAlignment="1">
      <alignment horizontal="center" vertical="center"/>
      <protection/>
    </xf>
    <xf numFmtId="0" fontId="3" fillId="2" borderId="59" xfId="25" applyFont="1" applyFill="1" applyBorder="1" applyAlignment="1">
      <alignment horizontal="center" vertical="center"/>
      <protection/>
    </xf>
    <xf numFmtId="0" fontId="3" fillId="2" borderId="61" xfId="25" applyFont="1" applyFill="1" applyBorder="1" applyAlignment="1">
      <alignment horizontal="center" vertical="center"/>
      <protection/>
    </xf>
    <xf numFmtId="0" fontId="0" fillId="0" borderId="72" xfId="25" applyBorder="1" applyAlignment="1">
      <alignment horizontal="center" vertical="center"/>
      <protection/>
    </xf>
    <xf numFmtId="0" fontId="3" fillId="2" borderId="23" xfId="25" applyFont="1" applyFill="1" applyBorder="1" applyAlignment="1">
      <alignment horizontal="center" vertical="center" wrapText="1"/>
      <protection/>
    </xf>
    <xf numFmtId="0" fontId="0" fillId="0" borderId="15" xfId="25" applyBorder="1" applyAlignment="1">
      <alignment horizontal="center" vertical="center" wrapText="1"/>
      <protection/>
    </xf>
    <xf numFmtId="0" fontId="3" fillId="2" borderId="38" xfId="25" applyFont="1" applyFill="1" applyBorder="1" applyAlignment="1">
      <alignment horizontal="center" vertical="center" wrapText="1"/>
      <protection/>
    </xf>
    <xf numFmtId="0" fontId="0" fillId="0" borderId="10" xfId="25" applyBorder="1" applyAlignment="1">
      <alignment horizontal="center" vertical="center"/>
      <protection/>
    </xf>
    <xf numFmtId="14" fontId="3" fillId="2" borderId="47" xfId="25" applyNumberFormat="1" applyFont="1" applyFill="1" applyBorder="1" applyAlignment="1">
      <alignment horizontal="center" vertical="center" wrapText="1"/>
      <protection/>
    </xf>
    <xf numFmtId="0" fontId="0" fillId="0" borderId="65" xfId="25" applyBorder="1" applyAlignment="1">
      <alignment horizontal="center" vertical="center" wrapText="1"/>
      <protection/>
    </xf>
    <xf numFmtId="0" fontId="0" fillId="0" borderId="70" xfId="25" applyBorder="1" applyAlignment="1">
      <alignment/>
      <protection/>
    </xf>
    <xf numFmtId="0" fontId="3" fillId="2" borderId="88" xfId="25" applyFont="1" applyFill="1" applyBorder="1" applyAlignment="1">
      <alignment horizontal="center" vertical="center" wrapText="1"/>
      <protection/>
    </xf>
    <xf numFmtId="0" fontId="3" fillId="2" borderId="50" xfId="25" applyFont="1" applyFill="1" applyBorder="1" applyAlignment="1">
      <alignment horizontal="center" vertical="center" wrapText="1"/>
      <protection/>
    </xf>
    <xf numFmtId="0" fontId="3" fillId="2" borderId="31" xfId="25" applyFont="1" applyFill="1" applyBorder="1" applyAlignment="1">
      <alignment horizontal="center" vertical="center" wrapText="1"/>
      <protection/>
    </xf>
    <xf numFmtId="0" fontId="3" fillId="2" borderId="13" xfId="25" applyFont="1" applyFill="1" applyBorder="1" applyAlignment="1">
      <alignment horizontal="center" vertical="center" wrapText="1"/>
      <protection/>
    </xf>
    <xf numFmtId="0" fontId="3" fillId="2" borderId="15" xfId="25" applyFont="1" applyFill="1" applyBorder="1" applyAlignment="1">
      <alignment horizontal="center" vertical="center" wrapText="1"/>
      <protection/>
    </xf>
    <xf numFmtId="0" fontId="3" fillId="2" borderId="55" xfId="25" applyFont="1" applyFill="1" applyBorder="1" applyAlignment="1">
      <alignment horizontal="center" vertical="center" wrapText="1"/>
      <protection/>
    </xf>
    <xf numFmtId="0" fontId="3" fillId="2" borderId="63" xfId="25" applyFont="1" applyFill="1" applyBorder="1" applyAlignment="1">
      <alignment horizontal="center" vertical="center" wrapText="1"/>
      <protection/>
    </xf>
    <xf numFmtId="0" fontId="3" fillId="2" borderId="45" xfId="25" applyFont="1" applyFill="1" applyBorder="1" applyAlignment="1">
      <alignment horizontal="center" vertical="center" wrapText="1"/>
      <protection/>
    </xf>
    <xf numFmtId="0" fontId="3" fillId="2" borderId="51" xfId="25" applyFont="1" applyFill="1" applyBorder="1" applyAlignment="1">
      <alignment horizontal="center" vertical="center" wrapText="1"/>
      <protection/>
    </xf>
    <xf numFmtId="0" fontId="3" fillId="2" borderId="10" xfId="25" applyFont="1" applyFill="1" applyBorder="1" applyAlignment="1">
      <alignment horizontal="center" vertical="center" wrapText="1"/>
      <protection/>
    </xf>
    <xf numFmtId="0" fontId="3" fillId="2" borderId="17" xfId="0" applyFont="1" applyFill="1" applyBorder="1" applyAlignment="1">
      <alignment horizontal="left" vertical="center" wrapText="1"/>
    </xf>
    <xf numFmtId="0" fontId="0" fillId="0" borderId="6" xfId="0" applyBorder="1" applyAlignment="1">
      <alignment/>
    </xf>
    <xf numFmtId="0" fontId="0" fillId="0" borderId="36" xfId="0" applyBorder="1" applyAlignment="1">
      <alignment/>
    </xf>
    <xf numFmtId="0" fontId="4" fillId="0" borderId="14" xfId="0" applyFont="1" applyBorder="1" applyAlignment="1">
      <alignment horizontal="left" vertical="center" wrapText="1"/>
    </xf>
    <xf numFmtId="0" fontId="0" fillId="0" borderId="1" xfId="0" applyBorder="1" applyAlignment="1">
      <alignment/>
    </xf>
    <xf numFmtId="0" fontId="0" fillId="0" borderId="12" xfId="0" applyBorder="1" applyAlignment="1">
      <alignment/>
    </xf>
    <xf numFmtId="0" fontId="4" fillId="0" borderId="16" xfId="0" applyFont="1" applyBorder="1" applyAlignment="1">
      <alignment horizontal="left" vertical="center" wrapText="1"/>
    </xf>
    <xf numFmtId="0" fontId="0" fillId="0" borderId="3" xfId="0" applyBorder="1" applyAlignment="1">
      <alignment/>
    </xf>
    <xf numFmtId="0" fontId="0" fillId="0" borderId="11" xfId="0" applyBorder="1" applyAlignment="1">
      <alignment/>
    </xf>
    <xf numFmtId="0" fontId="3" fillId="2" borderId="14" xfId="0" applyFont="1" applyFill="1" applyBorder="1" applyAlignment="1">
      <alignment horizontal="left" vertical="center" wrapText="1"/>
    </xf>
    <xf numFmtId="0" fontId="3" fillId="2" borderId="55" xfId="29" applyFont="1" applyFill="1" applyBorder="1" applyAlignment="1">
      <alignment horizontal="center" vertical="center" wrapText="1"/>
      <protection/>
    </xf>
    <xf numFmtId="0" fontId="16" fillId="0" borderId="63" xfId="29" applyBorder="1" applyAlignment="1">
      <alignment horizontal="center" vertical="center" wrapText="1"/>
      <protection/>
    </xf>
    <xf numFmtId="0" fontId="16" fillId="0" borderId="45" xfId="29" applyBorder="1" applyAlignment="1">
      <alignment horizontal="center" vertical="center" wrapText="1"/>
      <protection/>
    </xf>
    <xf numFmtId="0" fontId="3" fillId="2" borderId="1" xfId="29" applyFont="1" applyFill="1" applyBorder="1" applyAlignment="1">
      <alignment horizontal="center" vertical="center" wrapText="1"/>
      <protection/>
    </xf>
    <xf numFmtId="0" fontId="16" fillId="0" borderId="5" xfId="29" applyBorder="1" applyAlignment="1">
      <alignment/>
      <protection/>
    </xf>
    <xf numFmtId="0" fontId="3" fillId="2" borderId="41" xfId="29" applyFont="1" applyFill="1" applyBorder="1" applyAlignment="1">
      <alignment horizontal="center" vertical="center" wrapText="1"/>
      <protection/>
    </xf>
    <xf numFmtId="0" fontId="16" fillId="0" borderId="58" xfId="29" applyBorder="1" applyAlignment="1">
      <alignment horizontal="center" vertical="center" wrapText="1"/>
      <protection/>
    </xf>
    <xf numFmtId="0" fontId="16" fillId="0" borderId="58" xfId="29" applyBorder="1" applyAlignment="1">
      <alignment/>
      <protection/>
    </xf>
    <xf numFmtId="0" fontId="16" fillId="0" borderId="59" xfId="29" applyBorder="1" applyAlignment="1">
      <alignment/>
      <protection/>
    </xf>
    <xf numFmtId="0" fontId="4" fillId="0" borderId="39" xfId="29" applyFont="1" applyBorder="1" applyAlignment="1">
      <alignment horizontal="left" vertical="top" wrapText="1"/>
      <protection/>
    </xf>
    <xf numFmtId="0" fontId="4" fillId="0" borderId="67" xfId="29" applyFont="1" applyBorder="1" applyAlignment="1">
      <alignment horizontal="left" vertical="top" wrapText="1"/>
      <protection/>
    </xf>
    <xf numFmtId="0" fontId="4" fillId="0" borderId="18" xfId="29" applyFont="1" applyBorder="1" applyAlignment="1">
      <alignment horizontal="left" vertical="top" wrapText="1"/>
      <protection/>
    </xf>
    <xf numFmtId="0" fontId="4" fillId="0" borderId="38" xfId="29" applyFont="1" applyBorder="1" applyAlignment="1">
      <alignment horizontal="left" vertical="top" wrapText="1"/>
      <protection/>
    </xf>
    <xf numFmtId="0" fontId="4" fillId="0" borderId="0" xfId="29" applyFont="1" applyBorder="1" applyAlignment="1">
      <alignment horizontal="left" vertical="top" wrapText="1"/>
      <protection/>
    </xf>
    <xf numFmtId="0" fontId="4" fillId="0" borderId="25" xfId="29" applyFont="1" applyBorder="1" applyAlignment="1">
      <alignment horizontal="left" vertical="top" wrapText="1"/>
      <protection/>
    </xf>
    <xf numFmtId="0" fontId="4" fillId="0" borderId="11" xfId="29" applyFont="1" applyBorder="1" applyAlignment="1">
      <alignment horizontal="left" vertical="top" wrapText="1"/>
      <protection/>
    </xf>
    <xf numFmtId="0" fontId="4" fillId="0" borderId="64" xfId="29" applyFont="1" applyBorder="1" applyAlignment="1">
      <alignment horizontal="left" vertical="top" wrapText="1"/>
      <protection/>
    </xf>
    <xf numFmtId="0" fontId="4" fillId="0" borderId="28" xfId="29" applyFont="1" applyBorder="1" applyAlignment="1">
      <alignment horizontal="left" vertical="top" wrapText="1"/>
      <protection/>
    </xf>
    <xf numFmtId="0" fontId="3" fillId="2" borderId="57" xfId="29" applyFont="1" applyFill="1" applyBorder="1" applyAlignment="1">
      <alignment horizontal="center" vertical="center" wrapText="1"/>
      <protection/>
    </xf>
    <xf numFmtId="0" fontId="16" fillId="0" borderId="61" xfId="29" applyBorder="1" applyAlignment="1">
      <alignment horizontal="center" vertical="center" wrapText="1"/>
      <protection/>
    </xf>
    <xf numFmtId="0" fontId="3" fillId="2" borderId="14" xfId="29" applyFont="1" applyFill="1" applyBorder="1" applyAlignment="1">
      <alignment horizontal="center" vertical="center" wrapText="1"/>
      <protection/>
    </xf>
    <xf numFmtId="0" fontId="16" fillId="0" borderId="1" xfId="29" applyBorder="1" applyAlignment="1">
      <alignment/>
      <protection/>
    </xf>
    <xf numFmtId="0" fontId="16" fillId="0" borderId="12" xfId="29" applyBorder="1" applyAlignment="1">
      <alignment/>
      <protection/>
    </xf>
    <xf numFmtId="0" fontId="3" fillId="2" borderId="21" xfId="29" applyFont="1" applyFill="1" applyBorder="1" applyAlignment="1">
      <alignment horizontal="center" vertical="center" wrapText="1"/>
      <protection/>
    </xf>
    <xf numFmtId="0" fontId="16" fillId="0" borderId="15" xfId="29" applyBorder="1" applyAlignment="1">
      <alignment horizontal="center" vertical="center" wrapText="1"/>
      <protection/>
    </xf>
    <xf numFmtId="0" fontId="10" fillId="0" borderId="14" xfId="29" applyFont="1" applyBorder="1" applyAlignment="1">
      <alignment horizontal="justify" vertical="center"/>
      <protection/>
    </xf>
    <xf numFmtId="0" fontId="15" fillId="2" borderId="49" xfId="0" applyFont="1" applyFill="1" applyBorder="1" applyAlignment="1">
      <alignment vertical="center" wrapText="1"/>
    </xf>
    <xf numFmtId="0" fontId="0" fillId="0" borderId="26" xfId="0" applyBorder="1" applyAlignment="1">
      <alignment vertical="center"/>
    </xf>
    <xf numFmtId="0" fontId="10" fillId="0" borderId="20" xfId="29" applyFont="1" applyBorder="1" applyAlignment="1">
      <alignment horizontal="justify" vertical="center"/>
      <protection/>
    </xf>
    <xf numFmtId="0" fontId="16" fillId="0" borderId="21" xfId="29" applyBorder="1" applyAlignment="1">
      <alignment/>
      <protection/>
    </xf>
    <xf numFmtId="0" fontId="0" fillId="0" borderId="39" xfId="29" applyFont="1" applyBorder="1" applyAlignment="1">
      <alignment vertical="top" wrapText="1"/>
      <protection/>
    </xf>
    <xf numFmtId="0" fontId="16" fillId="0" borderId="67" xfId="29" applyBorder="1" applyAlignment="1">
      <alignment vertical="top" wrapText="1"/>
      <protection/>
    </xf>
    <xf numFmtId="0" fontId="16" fillId="0" borderId="18" xfId="29" applyBorder="1" applyAlignment="1">
      <alignment wrapText="1"/>
      <protection/>
    </xf>
    <xf numFmtId="0" fontId="16" fillId="0" borderId="38" xfId="29" applyBorder="1" applyAlignment="1">
      <alignment vertical="top" wrapText="1"/>
      <protection/>
    </xf>
    <xf numFmtId="0" fontId="16" fillId="0" borderId="0" xfId="29" applyBorder="1" applyAlignment="1">
      <alignment vertical="top" wrapText="1"/>
      <protection/>
    </xf>
    <xf numFmtId="0" fontId="16" fillId="0" borderId="25" xfId="29" applyBorder="1" applyAlignment="1">
      <alignment wrapText="1"/>
      <protection/>
    </xf>
    <xf numFmtId="0" fontId="16" fillId="0" borderId="11" xfId="29" applyBorder="1" applyAlignment="1">
      <alignment wrapText="1"/>
      <protection/>
    </xf>
    <xf numFmtId="0" fontId="16" fillId="0" borderId="64" xfId="29" applyBorder="1" applyAlignment="1">
      <alignment wrapText="1"/>
      <protection/>
    </xf>
    <xf numFmtId="0" fontId="16" fillId="0" borderId="28" xfId="29" applyBorder="1" applyAlignment="1">
      <alignment wrapText="1"/>
      <protection/>
    </xf>
    <xf numFmtId="0" fontId="10" fillId="2" borderId="49" xfId="29" applyFont="1" applyFill="1" applyBorder="1" applyAlignment="1">
      <alignment horizontal="justify" vertical="center"/>
      <protection/>
    </xf>
    <xf numFmtId="0" fontId="16" fillId="0" borderId="44" xfId="29" applyBorder="1" applyAlignment="1">
      <alignment/>
      <protection/>
    </xf>
    <xf numFmtId="0" fontId="3" fillId="2" borderId="75" xfId="29" applyFont="1" applyFill="1" applyBorder="1" applyAlignment="1">
      <alignment horizontal="center" vertical="center" wrapText="1"/>
      <protection/>
    </xf>
    <xf numFmtId="0" fontId="3" fillId="2" borderId="9" xfId="29" applyFont="1" applyFill="1" applyBorder="1" applyAlignment="1">
      <alignment horizontal="center" vertical="center" wrapText="1"/>
      <protection/>
    </xf>
    <xf numFmtId="0" fontId="3" fillId="2" borderId="13" xfId="29" applyFont="1" applyFill="1" applyBorder="1" applyAlignment="1">
      <alignment horizontal="center" vertical="center" wrapText="1"/>
      <protection/>
    </xf>
    <xf numFmtId="0" fontId="3" fillId="2" borderId="23" xfId="29" applyFont="1" applyFill="1" applyBorder="1" applyAlignment="1">
      <alignment horizontal="center" vertical="center" wrapText="1"/>
      <protection/>
    </xf>
    <xf numFmtId="0" fontId="3" fillId="2" borderId="61" xfId="29" applyFont="1" applyFill="1" applyBorder="1" applyAlignment="1">
      <alignment horizontal="center" vertical="center" wrapText="1"/>
      <protection/>
    </xf>
    <xf numFmtId="0" fontId="3" fillId="2" borderId="40"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2" fillId="2" borderId="41" xfId="29" applyFont="1" applyFill="1" applyBorder="1" applyAlignment="1">
      <alignment horizontal="left" vertical="center"/>
      <protection/>
    </xf>
    <xf numFmtId="0" fontId="16" fillId="0" borderId="14" xfId="29" applyBorder="1" applyAlignment="1">
      <alignment horizontal="left" vertical="center"/>
      <protection/>
    </xf>
    <xf numFmtId="0" fontId="3" fillId="2" borderId="88" xfId="29" applyFont="1" applyFill="1" applyBorder="1" applyAlignment="1">
      <alignment horizontal="center" vertical="center" wrapText="1"/>
      <protection/>
    </xf>
    <xf numFmtId="0" fontId="3" fillId="2" borderId="31" xfId="29" applyFont="1" applyFill="1" applyBorder="1" applyAlignment="1">
      <alignment horizontal="center" vertical="center" wrapText="1"/>
      <protection/>
    </xf>
    <xf numFmtId="0" fontId="3" fillId="2" borderId="55" xfId="29" applyFont="1" applyFill="1" applyBorder="1" applyAlignment="1">
      <alignment horizontal="center" vertical="center"/>
      <protection/>
    </xf>
    <xf numFmtId="0" fontId="3" fillId="2" borderId="45" xfId="29" applyFont="1" applyFill="1" applyBorder="1" applyAlignment="1">
      <alignment horizontal="center" vertical="center"/>
      <protection/>
    </xf>
    <xf numFmtId="0" fontId="3" fillId="2" borderId="37" xfId="29" applyFont="1" applyFill="1" applyBorder="1" applyAlignment="1">
      <alignment horizontal="center" vertical="center" wrapText="1"/>
      <protection/>
    </xf>
    <xf numFmtId="0" fontId="3" fillId="2" borderId="72" xfId="29" applyFont="1" applyFill="1" applyBorder="1" applyAlignment="1">
      <alignment horizontal="center" vertical="center" wrapText="1"/>
      <protection/>
    </xf>
    <xf numFmtId="0" fontId="3" fillId="2" borderId="35" xfId="29" applyFont="1" applyFill="1" applyBorder="1" applyAlignment="1">
      <alignment horizontal="center" vertical="center" wrapText="1"/>
      <protection/>
    </xf>
    <xf numFmtId="0" fontId="3" fillId="2" borderId="39" xfId="29" applyFont="1" applyFill="1" applyBorder="1" applyAlignment="1">
      <alignment horizontal="center" vertical="center" wrapText="1"/>
      <protection/>
    </xf>
    <xf numFmtId="0" fontId="16" fillId="0" borderId="10" xfId="29" applyBorder="1" applyAlignment="1">
      <alignment horizontal="center" vertical="center" wrapText="1"/>
      <protection/>
    </xf>
    <xf numFmtId="0" fontId="8" fillId="0" borderId="0" xfId="0" applyFont="1" applyAlignment="1">
      <alignment horizontal="center"/>
    </xf>
    <xf numFmtId="0" fontId="0" fillId="0" borderId="0" xfId="0" applyAlignment="1">
      <alignment horizontal="center"/>
    </xf>
    <xf numFmtId="0" fontId="0" fillId="0" borderId="0" xfId="0" applyAlignment="1">
      <alignment/>
    </xf>
    <xf numFmtId="0" fontId="3" fillId="2" borderId="69" xfId="29" applyFont="1" applyFill="1" applyBorder="1" applyAlignment="1">
      <alignment horizontal="center" vertical="center" wrapText="1"/>
      <protection/>
    </xf>
    <xf numFmtId="0" fontId="3" fillId="2" borderId="22" xfId="29" applyFont="1" applyFill="1" applyBorder="1" applyAlignment="1">
      <alignment horizontal="center" vertical="center" wrapText="1"/>
      <protection/>
    </xf>
    <xf numFmtId="0" fontId="9" fillId="2" borderId="88" xfId="29" applyFont="1" applyFill="1" applyBorder="1" applyAlignment="1">
      <alignment horizontal="center" vertical="center" wrapText="1"/>
      <protection/>
    </xf>
    <xf numFmtId="0" fontId="9" fillId="2" borderId="31" xfId="29" applyFont="1" applyFill="1" applyBorder="1" applyAlignment="1">
      <alignment horizontal="center" vertical="center" wrapText="1"/>
      <protection/>
    </xf>
    <xf numFmtId="0" fontId="4" fillId="0" borderId="39" xfId="29" applyFont="1" applyBorder="1" applyAlignment="1">
      <alignment vertical="top" wrapText="1"/>
      <protection/>
    </xf>
    <xf numFmtId="0" fontId="16" fillId="0" borderId="67" xfId="29" applyBorder="1" applyAlignment="1">
      <alignment vertical="top"/>
      <protection/>
    </xf>
    <xf numFmtId="0" fontId="16" fillId="0" borderId="18" xfId="29" applyBorder="1" applyAlignment="1">
      <alignment vertical="top"/>
      <protection/>
    </xf>
    <xf numFmtId="0" fontId="16" fillId="0" borderId="38" xfId="29" applyBorder="1" applyAlignment="1">
      <alignment vertical="top"/>
      <protection/>
    </xf>
    <xf numFmtId="0" fontId="16" fillId="0" borderId="0" xfId="29" applyBorder="1" applyAlignment="1">
      <alignment vertical="top"/>
      <protection/>
    </xf>
    <xf numFmtId="0" fontId="16" fillId="0" borderId="25" xfId="29" applyBorder="1" applyAlignment="1">
      <alignment vertical="top"/>
      <protection/>
    </xf>
    <xf numFmtId="0" fontId="16" fillId="0" borderId="11" xfId="29" applyBorder="1" applyAlignment="1">
      <alignment vertical="top"/>
      <protection/>
    </xf>
    <xf numFmtId="0" fontId="16" fillId="0" borderId="64" xfId="29" applyBorder="1" applyAlignment="1">
      <alignment vertical="top"/>
      <protection/>
    </xf>
    <xf numFmtId="0" fontId="16" fillId="0" borderId="28" xfId="29" applyBorder="1" applyAlignment="1">
      <alignment vertical="top"/>
      <protection/>
    </xf>
    <xf numFmtId="3" fontId="10" fillId="2" borderId="36" xfId="0" applyNumberFormat="1" applyFont="1" applyFill="1" applyBorder="1" applyAlignment="1">
      <alignment horizontal="right" vertical="center" wrapText="1"/>
    </xf>
    <xf numFmtId="3" fontId="4" fillId="0" borderId="89" xfId="0" applyNumberFormat="1" applyFont="1" applyBorder="1" applyAlignment="1">
      <alignment vertical="center" wrapText="1"/>
    </xf>
    <xf numFmtId="0" fontId="10" fillId="0" borderId="16" xfId="0" applyFont="1" applyBorder="1" applyAlignment="1">
      <alignment vertical="center" wrapText="1"/>
    </xf>
    <xf numFmtId="0" fontId="4" fillId="0" borderId="3" xfId="0" applyFont="1" applyBorder="1" applyAlignment="1">
      <alignment vertical="center"/>
    </xf>
    <xf numFmtId="0" fontId="10" fillId="0" borderId="14" xfId="0" applyFont="1" applyBorder="1" applyAlignment="1">
      <alignment vertical="center" wrapText="1"/>
    </xf>
    <xf numFmtId="0" fontId="4" fillId="0" borderId="1" xfId="0" applyFont="1" applyBorder="1" applyAlignment="1">
      <alignment vertical="center"/>
    </xf>
    <xf numFmtId="4" fontId="3" fillId="0" borderId="1" xfId="0" applyNumberFormat="1" applyFont="1" applyBorder="1" applyAlignment="1">
      <alignment vertical="center"/>
    </xf>
    <xf numFmtId="0" fontId="15" fillId="2" borderId="17" xfId="0" applyFont="1" applyFill="1" applyBorder="1" applyAlignment="1">
      <alignment vertical="center" wrapText="1"/>
    </xf>
    <xf numFmtId="0" fontId="0" fillId="0" borderId="6" xfId="0" applyBorder="1" applyAlignment="1">
      <alignment vertical="center"/>
    </xf>
    <xf numFmtId="3" fontId="10" fillId="0" borderId="12" xfId="0" applyNumberFormat="1" applyFont="1" applyBorder="1" applyAlignment="1">
      <alignment horizontal="right" vertical="center" wrapText="1"/>
    </xf>
    <xf numFmtId="0" fontId="4" fillId="0" borderId="73" xfId="0" applyFont="1" applyBorder="1" applyAlignment="1">
      <alignment vertical="center" wrapText="1"/>
    </xf>
    <xf numFmtId="0" fontId="0" fillId="0" borderId="73" xfId="0" applyBorder="1" applyAlignment="1">
      <alignment vertical="center" wrapText="1"/>
    </xf>
    <xf numFmtId="0" fontId="3" fillId="2" borderId="41" xfId="0" applyFont="1" applyFill="1" applyBorder="1" applyAlignment="1">
      <alignment horizontal="left" vertical="center" wrapText="1"/>
    </xf>
    <xf numFmtId="0" fontId="4" fillId="0" borderId="58" xfId="0" applyFont="1" applyBorder="1" applyAlignment="1">
      <alignment/>
    </xf>
    <xf numFmtId="0" fontId="0" fillId="0" borderId="59" xfId="0" applyBorder="1" applyAlignment="1">
      <alignment/>
    </xf>
    <xf numFmtId="0" fontId="4" fillId="0" borderId="17" xfId="0" applyFont="1" applyBorder="1" applyAlignment="1">
      <alignment wrapText="1"/>
    </xf>
    <xf numFmtId="0" fontId="4" fillId="0" borderId="6" xfId="0" applyFont="1" applyBorder="1" applyAlignment="1">
      <alignment/>
    </xf>
    <xf numFmtId="0" fontId="10" fillId="0" borderId="57" xfId="0" applyFont="1" applyBorder="1" applyAlignment="1">
      <alignment vertical="center" wrapText="1"/>
    </xf>
    <xf numFmtId="0" fontId="0" fillId="0" borderId="61" xfId="0" applyBorder="1" applyAlignment="1">
      <alignment/>
    </xf>
    <xf numFmtId="0" fontId="0" fillId="0" borderId="40" xfId="0" applyBorder="1" applyAlignment="1">
      <alignment/>
    </xf>
    <xf numFmtId="0" fontId="15" fillId="2" borderId="46" xfId="0" applyFont="1" applyFill="1" applyBorder="1" applyAlignment="1">
      <alignment horizontal="right" vertical="center" wrapText="1"/>
    </xf>
    <xf numFmtId="0" fontId="0" fillId="0" borderId="70" xfId="0" applyBorder="1" applyAlignment="1">
      <alignment vertical="center" wrapText="1"/>
    </xf>
    <xf numFmtId="3" fontId="10" fillId="0" borderId="11" xfId="0" applyNumberFormat="1" applyFont="1" applyBorder="1" applyAlignment="1">
      <alignment horizontal="right" vertical="center" wrapText="1"/>
    </xf>
    <xf numFmtId="0" fontId="0" fillId="0" borderId="71" xfId="0" applyBorder="1" applyAlignment="1">
      <alignment vertical="center" wrapText="1"/>
    </xf>
    <xf numFmtId="4" fontId="3" fillId="0" borderId="3" xfId="0" applyNumberFormat="1" applyFont="1" applyBorder="1" applyAlignment="1">
      <alignment vertical="center"/>
    </xf>
    <xf numFmtId="0" fontId="0" fillId="0" borderId="4" xfId="0" applyBorder="1" applyAlignment="1">
      <alignment/>
    </xf>
    <xf numFmtId="0" fontId="16" fillId="0" borderId="39" xfId="0" applyBorder="1" applyAlignment="1">
      <alignment vertical="top" wrapText="1"/>
    </xf>
    <xf numFmtId="0" fontId="16" fillId="0" borderId="67" xfId="0" applyBorder="1" applyAlignment="1">
      <alignment vertical="top" wrapText="1"/>
    </xf>
    <xf numFmtId="0" fontId="16" fillId="0" borderId="18" xfId="0" applyBorder="1" applyAlignment="1">
      <alignment wrapText="1"/>
    </xf>
    <xf numFmtId="0" fontId="16" fillId="0" borderId="38" xfId="0" applyBorder="1" applyAlignment="1">
      <alignment/>
    </xf>
    <xf numFmtId="0" fontId="16" fillId="0" borderId="0" xfId="0" applyBorder="1" applyAlignment="1">
      <alignment/>
    </xf>
    <xf numFmtId="0" fontId="16" fillId="0" borderId="25" xfId="0" applyBorder="1" applyAlignment="1">
      <alignment/>
    </xf>
    <xf numFmtId="0" fontId="16" fillId="0" borderId="11" xfId="0" applyBorder="1" applyAlignment="1">
      <alignment/>
    </xf>
    <xf numFmtId="0" fontId="16" fillId="0" borderId="64" xfId="0" applyBorder="1" applyAlignment="1">
      <alignment/>
    </xf>
    <xf numFmtId="0" fontId="16" fillId="0" borderId="28" xfId="0" applyBorder="1" applyAlignment="1">
      <alignment/>
    </xf>
    <xf numFmtId="0" fontId="3" fillId="0" borderId="16" xfId="0" applyFont="1" applyBorder="1" applyAlignment="1">
      <alignment vertical="center" wrapText="1"/>
    </xf>
    <xf numFmtId="0" fontId="3" fillId="0" borderId="14" xfId="0" applyFont="1" applyBorder="1" applyAlignment="1">
      <alignment vertical="center" wrapText="1"/>
    </xf>
    <xf numFmtId="0" fontId="2" fillId="2" borderId="47" xfId="29" applyFont="1" applyFill="1" applyBorder="1" applyAlignment="1">
      <alignment horizontal="center" vertical="center"/>
      <protection/>
    </xf>
    <xf numFmtId="0" fontId="16" fillId="0" borderId="65" xfId="29" applyBorder="1" applyAlignment="1">
      <alignment/>
      <protection/>
    </xf>
    <xf numFmtId="0" fontId="16" fillId="0" borderId="70" xfId="29" applyBorder="1" applyAlignment="1">
      <alignment/>
      <protection/>
    </xf>
    <xf numFmtId="0" fontId="15" fillId="2" borderId="47" xfId="0" applyFont="1" applyFill="1" applyBorder="1" applyAlignment="1">
      <alignment vertical="center" wrapText="1"/>
    </xf>
    <xf numFmtId="0" fontId="0" fillId="0" borderId="65" xfId="0" applyBorder="1" applyAlignment="1">
      <alignment/>
    </xf>
    <xf numFmtId="0" fontId="0" fillId="0" borderId="66" xfId="0" applyBorder="1" applyAlignment="1">
      <alignment/>
    </xf>
    <xf numFmtId="0" fontId="2" fillId="2" borderId="65" xfId="29" applyFont="1" applyFill="1" applyBorder="1" applyAlignment="1">
      <alignment horizontal="center" vertical="center"/>
      <protection/>
    </xf>
    <xf numFmtId="3" fontId="10" fillId="0" borderId="39" xfId="0" applyNumberFormat="1" applyFont="1" applyBorder="1" applyAlignment="1">
      <alignment horizontal="right" vertical="center" wrapText="1"/>
    </xf>
    <xf numFmtId="3" fontId="0" fillId="0" borderId="74" xfId="0" applyNumberFormat="1" applyBorder="1" applyAlignment="1">
      <alignment vertical="center" wrapText="1"/>
    </xf>
    <xf numFmtId="0" fontId="0" fillId="0" borderId="11" xfId="0" applyBorder="1" applyAlignment="1">
      <alignment vertical="center" wrapText="1"/>
    </xf>
    <xf numFmtId="0" fontId="10" fillId="0" borderId="34" xfId="0" applyFont="1" applyBorder="1" applyAlignment="1">
      <alignment vertical="center" wrapText="1"/>
    </xf>
    <xf numFmtId="0" fontId="0" fillId="0" borderId="54" xfId="0" applyBorder="1" applyAlignment="1">
      <alignment/>
    </xf>
    <xf numFmtId="0" fontId="0" fillId="0" borderId="24" xfId="0" applyBorder="1" applyAlignment="1">
      <alignment/>
    </xf>
    <xf numFmtId="3" fontId="0" fillId="0" borderId="73" xfId="0" applyNumberFormat="1" applyBorder="1" applyAlignment="1">
      <alignment vertical="center" wrapText="1"/>
    </xf>
    <xf numFmtId="0" fontId="10" fillId="0" borderId="35" xfId="0" applyFont="1" applyBorder="1" applyAlignment="1">
      <alignment vertical="center" wrapText="1"/>
    </xf>
    <xf numFmtId="0" fontId="0" fillId="0" borderId="67" xfId="0" applyBorder="1" applyAlignment="1">
      <alignment/>
    </xf>
    <xf numFmtId="0" fontId="0" fillId="0" borderId="18" xfId="0" applyBorder="1" applyAlignment="1">
      <alignment/>
    </xf>
    <xf numFmtId="0" fontId="0" fillId="0" borderId="33" xfId="0" applyBorder="1" applyAlignment="1">
      <alignment/>
    </xf>
    <xf numFmtId="0" fontId="0" fillId="0" borderId="64" xfId="0" applyBorder="1" applyAlignment="1">
      <alignment/>
    </xf>
    <xf numFmtId="0" fontId="0" fillId="0" borderId="28" xfId="0" applyBorder="1" applyAlignment="1">
      <alignment/>
    </xf>
    <xf numFmtId="3" fontId="3" fillId="2" borderId="24"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16" fillId="0" borderId="38" xfId="0" applyBorder="1" applyAlignment="1">
      <alignment vertical="top" wrapText="1"/>
    </xf>
    <xf numFmtId="0" fontId="16" fillId="0" borderId="0" xfId="0" applyBorder="1" applyAlignment="1">
      <alignment vertical="top" wrapText="1"/>
    </xf>
    <xf numFmtId="0" fontId="16" fillId="0" borderId="25" xfId="0" applyBorder="1" applyAlignment="1">
      <alignment wrapText="1"/>
    </xf>
    <xf numFmtId="0" fontId="16" fillId="0" borderId="11" xfId="0" applyBorder="1" applyAlignment="1">
      <alignment wrapText="1"/>
    </xf>
    <xf numFmtId="0" fontId="16" fillId="0" borderId="64" xfId="0" applyBorder="1" applyAlignment="1">
      <alignment wrapText="1"/>
    </xf>
    <xf numFmtId="0" fontId="16" fillId="0" borderId="28" xfId="0" applyBorder="1" applyAlignment="1">
      <alignment wrapText="1"/>
    </xf>
    <xf numFmtId="0" fontId="3" fillId="0" borderId="20" xfId="0" applyFont="1" applyBorder="1" applyAlignment="1">
      <alignment vertical="center" wrapText="1"/>
    </xf>
    <xf numFmtId="0" fontId="0" fillId="0" borderId="8" xfId="0" applyBorder="1" applyAlignment="1">
      <alignment/>
    </xf>
    <xf numFmtId="0" fontId="0" fillId="0" borderId="21" xfId="0" applyBorder="1" applyAlignment="1">
      <alignment/>
    </xf>
    <xf numFmtId="0" fontId="3" fillId="2" borderId="49" xfId="0" applyFont="1" applyFill="1" applyBorder="1" applyAlignment="1">
      <alignment vertical="center"/>
    </xf>
    <xf numFmtId="0" fontId="4" fillId="0" borderId="26" xfId="0" applyFont="1" applyBorder="1" applyAlignment="1">
      <alignment vertical="center"/>
    </xf>
    <xf numFmtId="0" fontId="0" fillId="0" borderId="44" xfId="0" applyBorder="1" applyAlignment="1">
      <alignment vertical="center"/>
    </xf>
    <xf numFmtId="0" fontId="15" fillId="2" borderId="56" xfId="0" applyFont="1" applyFill="1" applyBorder="1" applyAlignment="1">
      <alignment vertical="center" wrapText="1"/>
    </xf>
    <xf numFmtId="0" fontId="0" fillId="0" borderId="68" xfId="0" applyBorder="1" applyAlignment="1">
      <alignment/>
    </xf>
    <xf numFmtId="0" fontId="0" fillId="0" borderId="19" xfId="0" applyBorder="1" applyAlignment="1">
      <alignment/>
    </xf>
    <xf numFmtId="3" fontId="3" fillId="2" borderId="3"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3" fillId="0" borderId="34" xfId="0" applyFont="1" applyBorder="1" applyAlignment="1">
      <alignment vertical="center" wrapText="1"/>
    </xf>
    <xf numFmtId="0" fontId="3" fillId="0" borderId="56" xfId="0" applyFont="1" applyBorder="1" applyAlignment="1">
      <alignment vertical="center" wrapText="1"/>
    </xf>
    <xf numFmtId="0" fontId="3" fillId="2" borderId="60" xfId="0" applyFont="1" applyFill="1" applyBorder="1" applyAlignment="1">
      <alignment horizontal="center" vertical="center" wrapText="1"/>
    </xf>
    <xf numFmtId="0" fontId="3" fillId="0" borderId="29" xfId="0" applyFont="1" applyBorder="1" applyAlignment="1">
      <alignment vertical="center" wrapText="1"/>
    </xf>
    <xf numFmtId="0" fontId="3" fillId="0" borderId="43" xfId="0" applyFont="1" applyBorder="1" applyAlignment="1">
      <alignment vertical="center" wrapText="1"/>
    </xf>
    <xf numFmtId="3" fontId="3" fillId="2" borderId="28" xfId="0" applyNumberFormat="1" applyFont="1" applyFill="1" applyBorder="1" applyAlignment="1">
      <alignment horizontal="center" vertical="center" wrapText="1"/>
    </xf>
    <xf numFmtId="0" fontId="3" fillId="2" borderId="16" xfId="0" applyFont="1" applyFill="1" applyBorder="1" applyAlignment="1">
      <alignment horizontal="left" vertical="center" wrapText="1"/>
    </xf>
    <xf numFmtId="3" fontId="3" fillId="2" borderId="1"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7" xfId="29" applyFont="1" applyBorder="1" applyAlignment="1">
      <alignment vertical="top" wrapText="1"/>
      <protection/>
    </xf>
    <xf numFmtId="0" fontId="0" fillId="0" borderId="18" xfId="29" applyFont="1" applyBorder="1" applyAlignment="1">
      <alignment vertical="top" wrapText="1"/>
      <protection/>
    </xf>
    <xf numFmtId="0" fontId="0" fillId="0" borderId="38" xfId="29" applyFont="1" applyBorder="1" applyAlignment="1">
      <alignment vertical="top" wrapText="1"/>
      <protection/>
    </xf>
    <xf numFmtId="0" fontId="0" fillId="0" borderId="0" xfId="29" applyFont="1" applyBorder="1" applyAlignment="1">
      <alignment vertical="top" wrapText="1"/>
      <protection/>
    </xf>
    <xf numFmtId="0" fontId="0" fillId="0" borderId="25" xfId="29" applyFont="1" applyBorder="1" applyAlignment="1">
      <alignment vertical="top" wrapText="1"/>
      <protection/>
    </xf>
    <xf numFmtId="0" fontId="0" fillId="0" borderId="11" xfId="29" applyFont="1" applyBorder="1" applyAlignment="1">
      <alignment vertical="top" wrapText="1"/>
      <protection/>
    </xf>
    <xf numFmtId="0" fontId="0" fillId="0" borderId="64" xfId="29" applyFont="1" applyBorder="1" applyAlignment="1">
      <alignment vertical="top" wrapText="1"/>
      <protection/>
    </xf>
    <xf numFmtId="0" fontId="0" fillId="0" borderId="28" xfId="29" applyFont="1" applyBorder="1" applyAlignment="1">
      <alignment vertical="top" wrapText="1"/>
      <protection/>
    </xf>
    <xf numFmtId="3" fontId="3" fillId="2" borderId="19" xfId="0" applyNumberFormat="1" applyFont="1" applyFill="1" applyBorder="1" applyAlignment="1">
      <alignment horizontal="center" vertical="center" wrapText="1"/>
    </xf>
    <xf numFmtId="0" fontId="2" fillId="2" borderId="41" xfId="0" applyFont="1" applyFill="1" applyBorder="1" applyAlignment="1">
      <alignment vertical="center"/>
    </xf>
    <xf numFmtId="0" fontId="2" fillId="2" borderId="58" xfId="0" applyFont="1" applyFill="1" applyBorder="1" applyAlignment="1">
      <alignment/>
    </xf>
    <xf numFmtId="0" fontId="2" fillId="2" borderId="37" xfId="0" applyFont="1" applyFill="1" applyBorder="1" applyAlignment="1">
      <alignment/>
    </xf>
    <xf numFmtId="0" fontId="2" fillId="2" borderId="14" xfId="0" applyFont="1" applyFill="1" applyBorder="1" applyAlignment="1">
      <alignment vertical="center"/>
    </xf>
    <xf numFmtId="0" fontId="2" fillId="2" borderId="1" xfId="0" applyFont="1" applyFill="1" applyBorder="1" applyAlignment="1">
      <alignment/>
    </xf>
    <xf numFmtId="0" fontId="2" fillId="2" borderId="12" xfId="0" applyFont="1" applyFill="1" applyBorder="1" applyAlignment="1">
      <alignment/>
    </xf>
    <xf numFmtId="0" fontId="2" fillId="2" borderId="17" xfId="0" applyFont="1" applyFill="1" applyBorder="1" applyAlignment="1">
      <alignment vertical="center"/>
    </xf>
    <xf numFmtId="0" fontId="2" fillId="2" borderId="6" xfId="0" applyFont="1" applyFill="1" applyBorder="1" applyAlignment="1">
      <alignment/>
    </xf>
    <xf numFmtId="0" fontId="2" fillId="2" borderId="36" xfId="0" applyFont="1" applyFill="1" applyBorder="1" applyAlignment="1">
      <alignment/>
    </xf>
    <xf numFmtId="0" fontId="4" fillId="3" borderId="14" xfId="0" applyFont="1" applyFill="1" applyBorder="1" applyAlignment="1">
      <alignment horizontal="left" vertical="center" wrapText="1"/>
    </xf>
    <xf numFmtId="0" fontId="4" fillId="0" borderId="39" xfId="0" applyFont="1" applyBorder="1" applyAlignment="1">
      <alignment vertical="top" wrapText="1"/>
    </xf>
    <xf numFmtId="0" fontId="4" fillId="0" borderId="67" xfId="0" applyFont="1" applyBorder="1" applyAlignment="1">
      <alignment vertical="top" wrapText="1"/>
    </xf>
    <xf numFmtId="0" fontId="4" fillId="0" borderId="18" xfId="0" applyFont="1" applyBorder="1" applyAlignment="1">
      <alignment wrapText="1"/>
    </xf>
    <xf numFmtId="0" fontId="4" fillId="0" borderId="38" xfId="0" applyFont="1" applyBorder="1" applyAlignment="1">
      <alignment vertical="top" wrapText="1"/>
    </xf>
    <xf numFmtId="0" fontId="4" fillId="0" borderId="0" xfId="0" applyFont="1" applyBorder="1" applyAlignment="1">
      <alignment vertical="top" wrapText="1"/>
    </xf>
    <xf numFmtId="0" fontId="4" fillId="0" borderId="25" xfId="0" applyFont="1" applyBorder="1" applyAlignment="1">
      <alignment wrapText="1"/>
    </xf>
    <xf numFmtId="0" fontId="4" fillId="0" borderId="11" xfId="0" applyFont="1" applyBorder="1" applyAlignment="1">
      <alignment vertical="top" wrapText="1"/>
    </xf>
    <xf numFmtId="0" fontId="4" fillId="0" borderId="64" xfId="0" applyFont="1" applyBorder="1" applyAlignment="1">
      <alignment vertical="top" wrapText="1"/>
    </xf>
    <xf numFmtId="0" fontId="4" fillId="0" borderId="28" xfId="0" applyFont="1" applyBorder="1" applyAlignment="1">
      <alignment wrapText="1"/>
    </xf>
    <xf numFmtId="0" fontId="3" fillId="2" borderId="49" xfId="0" applyFont="1" applyFill="1" applyBorder="1" applyAlignment="1">
      <alignment horizontal="left" vertical="center" wrapText="1"/>
    </xf>
    <xf numFmtId="0" fontId="0" fillId="0" borderId="26" xfId="0" applyBorder="1" applyAlignment="1">
      <alignment/>
    </xf>
    <xf numFmtId="0" fontId="0" fillId="0" borderId="44" xfId="0" applyBorder="1" applyAlignment="1">
      <alignment/>
    </xf>
    <xf numFmtId="0" fontId="3" fillId="2" borderId="48" xfId="0" applyFont="1" applyFill="1" applyBorder="1" applyAlignment="1">
      <alignment horizontal="left" vertical="center" wrapText="1"/>
    </xf>
    <xf numFmtId="0" fontId="0" fillId="0" borderId="2" xfId="0" applyBorder="1" applyAlignment="1">
      <alignment/>
    </xf>
    <xf numFmtId="0" fontId="0" fillId="0" borderId="15" xfId="0" applyBorder="1" applyAlignment="1">
      <alignment/>
    </xf>
    <xf numFmtId="0" fontId="4" fillId="3" borderId="20"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0" fillId="0" borderId="65" xfId="0" applyBorder="1" applyAlignment="1">
      <alignment/>
    </xf>
    <xf numFmtId="0" fontId="0" fillId="0" borderId="70" xfId="0" applyBorder="1" applyAlignment="1">
      <alignment/>
    </xf>
    <xf numFmtId="0" fontId="1" fillId="2" borderId="55" xfId="0" applyFont="1" applyFill="1" applyBorder="1" applyAlignment="1">
      <alignment horizontal="center" vertical="center"/>
    </xf>
    <xf numFmtId="0" fontId="0" fillId="0" borderId="53" xfId="0" applyBorder="1" applyAlignment="1">
      <alignment/>
    </xf>
    <xf numFmtId="0" fontId="0" fillId="0" borderId="90" xfId="0" applyBorder="1" applyAlignment="1">
      <alignment/>
    </xf>
    <xf numFmtId="0" fontId="17" fillId="2" borderId="63" xfId="0" applyFont="1" applyFill="1" applyBorder="1" applyAlignment="1">
      <alignment vertical="center"/>
    </xf>
    <xf numFmtId="0" fontId="0" fillId="0" borderId="0" xfId="0" applyBorder="1" applyAlignment="1">
      <alignment/>
    </xf>
    <xf numFmtId="0" fontId="0" fillId="0" borderId="91" xfId="0" applyBorder="1" applyAlignment="1">
      <alignment/>
    </xf>
    <xf numFmtId="0" fontId="17" fillId="2" borderId="45" xfId="0" applyFont="1" applyFill="1" applyBorder="1" applyAlignment="1">
      <alignment vertical="center"/>
    </xf>
    <xf numFmtId="0" fontId="0" fillId="0" borderId="52" xfId="0" applyBorder="1" applyAlignment="1">
      <alignment/>
    </xf>
    <xf numFmtId="0" fontId="0" fillId="0" borderId="62" xfId="0" applyBorder="1" applyAlignment="1">
      <alignment/>
    </xf>
    <xf numFmtId="0" fontId="4" fillId="3" borderId="55" xfId="0" applyFont="1" applyFill="1" applyBorder="1" applyAlignment="1">
      <alignment horizontal="left" vertical="center" wrapText="1"/>
    </xf>
    <xf numFmtId="0" fontId="16" fillId="0" borderId="61" xfId="0" applyBorder="1" applyAlignment="1">
      <alignment horizontal="center" vertical="center" wrapText="1"/>
    </xf>
    <xf numFmtId="0" fontId="16" fillId="0" borderId="72" xfId="0" applyBorder="1" applyAlignment="1">
      <alignment horizontal="center" vertical="center" wrapText="1"/>
    </xf>
    <xf numFmtId="0" fontId="3" fillId="2" borderId="50" xfId="0" applyFont="1" applyFill="1" applyBorder="1" applyAlignment="1">
      <alignment horizontal="center" vertical="center" wrapText="1"/>
    </xf>
    <xf numFmtId="0" fontId="16" fillId="2" borderId="31" xfId="0" applyFill="1" applyBorder="1" applyAlignment="1">
      <alignment horizontal="center" vertical="center" wrapText="1"/>
    </xf>
    <xf numFmtId="3" fontId="3" fillId="2" borderId="65" xfId="0" applyNumberFormat="1" applyFont="1" applyFill="1" applyBorder="1" applyAlignment="1">
      <alignment horizontal="center" vertical="center" wrapText="1"/>
    </xf>
    <xf numFmtId="3" fontId="3" fillId="2" borderId="70" xfId="0" applyNumberFormat="1" applyFont="1" applyFill="1" applyBorder="1" applyAlignment="1">
      <alignment horizontal="center" vertical="center" wrapText="1"/>
    </xf>
    <xf numFmtId="0" fontId="3" fillId="2" borderId="8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92"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0" fillId="0" borderId="14" xfId="0" applyFont="1" applyBorder="1" applyAlignment="1">
      <alignment horizontal="justify" vertical="center"/>
    </xf>
    <xf numFmtId="0" fontId="10" fillId="0" borderId="20" xfId="0" applyFont="1" applyBorder="1" applyAlignment="1">
      <alignment horizontal="justify" vertical="center"/>
    </xf>
    <xf numFmtId="0" fontId="10" fillId="2" borderId="49" xfId="0" applyFont="1" applyFill="1" applyBorder="1" applyAlignment="1">
      <alignment horizontal="justify" vertical="center"/>
    </xf>
    <xf numFmtId="4" fontId="3" fillId="2" borderId="6" xfId="0" applyNumberFormat="1" applyFont="1" applyFill="1" applyBorder="1" applyAlignment="1">
      <alignment vertical="center"/>
    </xf>
    <xf numFmtId="4" fontId="3" fillId="0" borderId="58" xfId="0" applyNumberFormat="1" applyFont="1" applyBorder="1" applyAlignment="1">
      <alignment vertical="center"/>
    </xf>
    <xf numFmtId="0" fontId="3"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0" borderId="57" xfId="0" applyFont="1" applyBorder="1" applyAlignment="1">
      <alignment horizontal="justify" vertical="center"/>
    </xf>
    <xf numFmtId="0" fontId="10" fillId="0" borderId="72" xfId="0" applyFont="1" applyBorder="1" applyAlignment="1">
      <alignment horizontal="justify" vertical="center"/>
    </xf>
    <xf numFmtId="0" fontId="4" fillId="0" borderId="18" xfId="0" applyFont="1" applyBorder="1" applyAlignment="1">
      <alignment vertical="top" wrapText="1"/>
    </xf>
    <xf numFmtId="0" fontId="4" fillId="0" borderId="25" xfId="0" applyFont="1" applyBorder="1" applyAlignment="1">
      <alignment vertical="top" wrapText="1"/>
    </xf>
    <xf numFmtId="0" fontId="4" fillId="0" borderId="28" xfId="0" applyFont="1" applyBorder="1" applyAlignment="1">
      <alignment vertical="top" wrapText="1"/>
    </xf>
    <xf numFmtId="0" fontId="2" fillId="2" borderId="55" xfId="0" applyFont="1" applyFill="1" applyBorder="1" applyAlignment="1">
      <alignment horizontal="left" vertical="center"/>
    </xf>
    <xf numFmtId="0" fontId="2" fillId="2" borderId="90" xfId="0" applyFont="1" applyFill="1" applyBorder="1" applyAlignment="1">
      <alignment horizontal="left" vertical="center"/>
    </xf>
    <xf numFmtId="0" fontId="2" fillId="2" borderId="45" xfId="0" applyFont="1" applyFill="1" applyBorder="1" applyAlignment="1">
      <alignment horizontal="left" vertical="center"/>
    </xf>
    <xf numFmtId="0" fontId="2" fillId="2" borderId="62" xfId="0" applyFont="1" applyFill="1" applyBorder="1" applyAlignment="1">
      <alignment horizontal="left" vertical="center"/>
    </xf>
    <xf numFmtId="0" fontId="2" fillId="2" borderId="47"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70" xfId="0" applyFont="1" applyFill="1" applyBorder="1" applyAlignment="1">
      <alignment horizontal="center" vertical="center"/>
    </xf>
    <xf numFmtId="0" fontId="0" fillId="0" borderId="50" xfId="0" applyBorder="1" applyAlignment="1">
      <alignment horizontal="center" vertical="center" wrapText="1"/>
    </xf>
    <xf numFmtId="0" fontId="3" fillId="2" borderId="40" xfId="0" applyFont="1" applyFill="1" applyBorder="1" applyAlignment="1">
      <alignment horizontal="center" vertical="center" wrapText="1"/>
    </xf>
    <xf numFmtId="0" fontId="0" fillId="0" borderId="58" xfId="0" applyBorder="1" applyAlignment="1">
      <alignment horizontal="center" vertical="center" wrapText="1"/>
    </xf>
    <xf numFmtId="0" fontId="0" fillId="0" borderId="58" xfId="0" applyBorder="1" applyAlignment="1">
      <alignment/>
    </xf>
    <xf numFmtId="0" fontId="3" fillId="2" borderId="3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15" xfId="0" applyBorder="1" applyAlignment="1">
      <alignment horizontal="center" vertical="center" wrapText="1"/>
    </xf>
    <xf numFmtId="0" fontId="3" fillId="2" borderId="24"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41" xfId="0" applyFont="1" applyFill="1" applyBorder="1" applyAlignment="1">
      <alignment horizontal="center" vertical="center"/>
    </xf>
    <xf numFmtId="3" fontId="3" fillId="0" borderId="1" xfId="0" applyNumberFormat="1" applyFont="1" applyBorder="1" applyAlignment="1">
      <alignment vertical="center"/>
    </xf>
    <xf numFmtId="3" fontId="0" fillId="0" borderId="5" xfId="0" applyNumberFormat="1" applyBorder="1" applyAlignment="1">
      <alignment/>
    </xf>
    <xf numFmtId="0" fontId="16" fillId="0" borderId="67" xfId="0" applyBorder="1" applyAlignment="1">
      <alignment/>
    </xf>
    <xf numFmtId="0" fontId="16" fillId="0" borderId="18" xfId="0" applyBorder="1" applyAlignment="1">
      <alignment/>
    </xf>
    <xf numFmtId="0" fontId="16" fillId="0" borderId="38" xfId="0" applyBorder="1" applyAlignment="1">
      <alignment/>
    </xf>
    <xf numFmtId="0" fontId="16" fillId="0" borderId="0" xfId="0" applyBorder="1" applyAlignment="1">
      <alignment/>
    </xf>
    <xf numFmtId="0" fontId="16" fillId="0" borderId="25" xfId="0" applyBorder="1" applyAlignment="1">
      <alignment/>
    </xf>
    <xf numFmtId="0" fontId="16" fillId="0" borderId="11" xfId="0" applyBorder="1" applyAlignment="1">
      <alignment/>
    </xf>
    <xf numFmtId="0" fontId="16" fillId="0" borderId="64" xfId="0" applyBorder="1" applyAlignment="1">
      <alignment/>
    </xf>
    <xf numFmtId="0" fontId="16" fillId="0" borderId="28" xfId="0" applyBorder="1" applyAlignment="1">
      <alignment/>
    </xf>
    <xf numFmtId="0" fontId="3" fillId="2" borderId="37"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0" fillId="0" borderId="12" xfId="0" applyFont="1" applyBorder="1" applyAlignment="1">
      <alignment/>
    </xf>
    <xf numFmtId="0" fontId="4" fillId="0" borderId="67" xfId="0" applyFont="1" applyBorder="1" applyAlignment="1">
      <alignment vertical="top"/>
    </xf>
    <xf numFmtId="0" fontId="4" fillId="0" borderId="18" xfId="0" applyFont="1" applyBorder="1" applyAlignment="1">
      <alignment/>
    </xf>
    <xf numFmtId="0" fontId="4" fillId="0" borderId="38" xfId="0" applyFont="1" applyBorder="1" applyAlignment="1">
      <alignment vertical="top"/>
    </xf>
    <xf numFmtId="0" fontId="4" fillId="0" borderId="0" xfId="0" applyFont="1" applyBorder="1" applyAlignment="1">
      <alignment vertical="top"/>
    </xf>
    <xf numFmtId="0" fontId="4" fillId="0" borderId="25" xfId="0" applyFont="1" applyBorder="1" applyAlignment="1">
      <alignment/>
    </xf>
    <xf numFmtId="0" fontId="4" fillId="0" borderId="11" xfId="0" applyFont="1" applyBorder="1" applyAlignment="1">
      <alignment vertical="top"/>
    </xf>
    <xf numFmtId="0" fontId="4" fillId="0" borderId="64" xfId="0" applyFont="1" applyBorder="1" applyAlignment="1">
      <alignment vertical="top"/>
    </xf>
    <xf numFmtId="0" fontId="4" fillId="0" borderId="28" xfId="0" applyFont="1" applyBorder="1" applyAlignment="1">
      <alignment/>
    </xf>
    <xf numFmtId="0" fontId="3" fillId="2" borderId="55"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2" fillId="2" borderId="41" xfId="0" applyFont="1" applyFill="1" applyBorder="1" applyAlignment="1">
      <alignment horizontal="left" vertical="center"/>
    </xf>
    <xf numFmtId="0" fontId="0" fillId="0" borderId="14" xfId="0" applyBorder="1" applyAlignment="1">
      <alignment horizontal="left" vertical="center"/>
    </xf>
    <xf numFmtId="0" fontId="16" fillId="0" borderId="11" xfId="0" applyBorder="1" applyAlignment="1">
      <alignment vertical="top" wrapText="1"/>
    </xf>
    <xf numFmtId="0" fontId="16" fillId="0" borderId="64" xfId="0" applyBorder="1" applyAlignment="1">
      <alignment vertical="top" wrapText="1"/>
    </xf>
    <xf numFmtId="0" fontId="0" fillId="0" borderId="45" xfId="0" applyFont="1" applyBorder="1" applyAlignment="1">
      <alignment horizontal="center" vertical="center" wrapText="1"/>
    </xf>
    <xf numFmtId="0" fontId="3" fillId="2" borderId="39"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38" xfId="0" applyBorder="1" applyAlignment="1">
      <alignment vertical="center" wrapText="1"/>
    </xf>
    <xf numFmtId="0" fontId="0" fillId="0" borderId="91" xfId="0" applyBorder="1" applyAlignment="1">
      <alignment vertical="center" wrapText="1"/>
    </xf>
    <xf numFmtId="3" fontId="3" fillId="0" borderId="58" xfId="0" applyNumberFormat="1" applyFont="1" applyBorder="1" applyAlignment="1">
      <alignment vertical="center"/>
    </xf>
    <xf numFmtId="3" fontId="0" fillId="0" borderId="59" xfId="0" applyNumberFormat="1" applyBorder="1" applyAlignment="1">
      <alignment/>
    </xf>
    <xf numFmtId="0" fontId="0" fillId="0" borderId="5" xfId="0" applyFont="1" applyBorder="1" applyAlignment="1">
      <alignment/>
    </xf>
    <xf numFmtId="0" fontId="0" fillId="0" borderId="1" xfId="0" applyFont="1" applyBorder="1" applyAlignment="1">
      <alignment/>
    </xf>
    <xf numFmtId="0" fontId="0" fillId="0" borderId="15" xfId="0" applyFont="1" applyBorder="1" applyAlignment="1">
      <alignment horizontal="center" vertical="center" wrapText="1"/>
    </xf>
    <xf numFmtId="0" fontId="0" fillId="0" borderId="63"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33" xfId="0" applyBorder="1" applyAlignment="1">
      <alignment vertical="center"/>
    </xf>
    <xf numFmtId="0" fontId="0" fillId="0" borderId="64" xfId="0" applyBorder="1" applyAlignment="1">
      <alignment vertical="center"/>
    </xf>
    <xf numFmtId="0" fontId="0" fillId="0" borderId="28" xfId="0" applyBorder="1" applyAlignment="1">
      <alignment vertical="center"/>
    </xf>
    <xf numFmtId="0" fontId="0" fillId="0" borderId="5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8" xfId="0" applyFont="1" applyBorder="1" applyAlignment="1">
      <alignment/>
    </xf>
    <xf numFmtId="0" fontId="0" fillId="0" borderId="59" xfId="0" applyFont="1" applyBorder="1" applyAlignment="1">
      <alignment/>
    </xf>
    <xf numFmtId="0" fontId="16" fillId="0" borderId="53" xfId="0" applyBorder="1" applyAlignment="1">
      <alignment/>
    </xf>
    <xf numFmtId="0" fontId="16" fillId="0" borderId="90" xfId="0" applyBorder="1" applyAlignment="1">
      <alignment/>
    </xf>
    <xf numFmtId="0" fontId="16" fillId="0" borderId="91" xfId="0" applyBorder="1" applyAlignment="1">
      <alignment/>
    </xf>
    <xf numFmtId="0" fontId="16" fillId="0" borderId="52" xfId="0" applyBorder="1" applyAlignment="1">
      <alignment/>
    </xf>
    <xf numFmtId="0" fontId="16" fillId="0" borderId="62" xfId="0" applyBorder="1" applyAlignment="1">
      <alignment/>
    </xf>
    <xf numFmtId="0" fontId="16" fillId="0" borderId="1" xfId="0" applyBorder="1" applyAlignment="1">
      <alignment/>
    </xf>
    <xf numFmtId="0" fontId="16" fillId="0" borderId="5" xfId="0" applyBorder="1" applyAlignment="1">
      <alignment/>
    </xf>
    <xf numFmtId="0" fontId="16" fillId="0" borderId="8" xfId="0" applyBorder="1" applyAlignment="1">
      <alignment/>
    </xf>
    <xf numFmtId="0" fontId="16" fillId="0" borderId="21" xfId="0" applyBorder="1" applyAlignment="1">
      <alignment/>
    </xf>
    <xf numFmtId="0" fontId="16" fillId="0" borderId="65" xfId="0" applyBorder="1" applyAlignment="1">
      <alignment/>
    </xf>
    <xf numFmtId="0" fontId="16" fillId="0" borderId="70" xfId="0" applyBorder="1" applyAlignment="1">
      <alignment/>
    </xf>
    <xf numFmtId="0" fontId="0" fillId="2" borderId="47" xfId="0" applyFill="1" applyBorder="1" applyAlignment="1">
      <alignment vertical="center"/>
    </xf>
    <xf numFmtId="0" fontId="0" fillId="2" borderId="65" xfId="0" applyFill="1" applyBorder="1" applyAlignment="1">
      <alignment vertical="center"/>
    </xf>
    <xf numFmtId="0" fontId="0" fillId="2" borderId="70" xfId="0" applyFill="1" applyBorder="1" applyAlignment="1">
      <alignment vertical="center"/>
    </xf>
    <xf numFmtId="0" fontId="16" fillId="0" borderId="26" xfId="0" applyBorder="1" applyAlignment="1">
      <alignment/>
    </xf>
    <xf numFmtId="0" fontId="16" fillId="0" borderId="44" xfId="0" applyBorder="1" applyAlignment="1">
      <alignment/>
    </xf>
    <xf numFmtId="0" fontId="16" fillId="0" borderId="2" xfId="0" applyBorder="1" applyAlignment="1">
      <alignment/>
    </xf>
    <xf numFmtId="0" fontId="16" fillId="0" borderId="15" xfId="0" applyBorder="1" applyAlignment="1">
      <alignment/>
    </xf>
    <xf numFmtId="0" fontId="3" fillId="0" borderId="50" xfId="0" applyFont="1" applyBorder="1" applyAlignment="1">
      <alignment vertical="center" wrapText="1"/>
    </xf>
    <xf numFmtId="0" fontId="3" fillId="0" borderId="31" xfId="0" applyFont="1" applyBorder="1" applyAlignment="1">
      <alignment vertical="center" wrapText="1"/>
    </xf>
    <xf numFmtId="0" fontId="3" fillId="2" borderId="33" xfId="0" applyFont="1" applyFill="1" applyBorder="1" applyAlignment="1">
      <alignment horizontal="center" vertical="center" wrapText="1"/>
    </xf>
    <xf numFmtId="0" fontId="16" fillId="0" borderId="64" xfId="0" applyBorder="1" applyAlignment="1">
      <alignment horizontal="center" vertical="center" wrapText="1"/>
    </xf>
    <xf numFmtId="0" fontId="16" fillId="0" borderId="71" xfId="0" applyBorder="1" applyAlignment="1">
      <alignment horizontal="center" vertical="center" wrapText="1"/>
    </xf>
    <xf numFmtId="0" fontId="0" fillId="2" borderId="47" xfId="0" applyFill="1" applyBorder="1" applyAlignment="1">
      <alignment/>
    </xf>
    <xf numFmtId="0" fontId="0" fillId="2" borderId="65" xfId="0" applyFill="1" applyBorder="1" applyAlignment="1">
      <alignment/>
    </xf>
    <xf numFmtId="0" fontId="0" fillId="2" borderId="70" xfId="0" applyFill="1" applyBorder="1" applyAlignment="1">
      <alignment/>
    </xf>
    <xf numFmtId="3" fontId="3" fillId="2" borderId="47" xfId="27" applyNumberFormat="1" applyFont="1" applyFill="1" applyBorder="1" applyAlignment="1">
      <alignment horizontal="center" vertical="center" wrapText="1"/>
      <protection/>
    </xf>
    <xf numFmtId="0" fontId="4" fillId="0" borderId="65" xfId="27" applyFont="1" applyBorder="1" applyAlignment="1">
      <alignment horizontal="center" vertical="center" wrapText="1"/>
      <protection/>
    </xf>
    <xf numFmtId="0" fontId="4" fillId="0" borderId="70" xfId="27" applyFont="1" applyBorder="1" applyAlignment="1">
      <alignment horizontal="center" vertical="center" wrapText="1"/>
      <protection/>
    </xf>
    <xf numFmtId="4" fontId="10" fillId="2" borderId="36" xfId="0" applyNumberFormat="1" applyFont="1" applyFill="1" applyBorder="1" applyAlignment="1">
      <alignment horizontal="right" vertical="center" wrapText="1"/>
    </xf>
    <xf numFmtId="4" fontId="4" fillId="0" borderId="89" xfId="0" applyNumberFormat="1" applyFont="1" applyBorder="1" applyAlignment="1">
      <alignment vertical="center" wrapText="1"/>
    </xf>
    <xf numFmtId="4" fontId="10" fillId="0" borderId="12" xfId="0" applyNumberFormat="1" applyFont="1" applyBorder="1" applyAlignment="1">
      <alignment vertical="center" wrapText="1"/>
    </xf>
    <xf numFmtId="4" fontId="10" fillId="0" borderId="73" xfId="0" applyNumberFormat="1" applyFont="1" applyBorder="1" applyAlignment="1">
      <alignment vertical="center" wrapText="1"/>
    </xf>
    <xf numFmtId="0" fontId="4" fillId="0" borderId="39" xfId="0" applyFont="1" applyBorder="1" applyAlignment="1">
      <alignment vertical="top" wrapText="1"/>
    </xf>
    <xf numFmtId="0" fontId="4" fillId="0" borderId="67" xfId="0" applyFont="1" applyBorder="1" applyAlignment="1">
      <alignment vertical="top"/>
    </xf>
    <xf numFmtId="0" fontId="4" fillId="0" borderId="18" xfId="0" applyFont="1" applyBorder="1" applyAlignment="1">
      <alignment/>
    </xf>
    <xf numFmtId="0" fontId="4" fillId="0" borderId="38" xfId="0" applyFont="1" applyBorder="1" applyAlignment="1">
      <alignment vertical="top"/>
    </xf>
    <xf numFmtId="0" fontId="4" fillId="0" borderId="0" xfId="0" applyFont="1" applyBorder="1" applyAlignment="1">
      <alignment vertical="top"/>
    </xf>
    <xf numFmtId="0" fontId="4" fillId="0" borderId="25" xfId="0" applyFont="1" applyBorder="1" applyAlignment="1">
      <alignment/>
    </xf>
    <xf numFmtId="0" fontId="4" fillId="0" borderId="11" xfId="0" applyFont="1" applyBorder="1" applyAlignment="1">
      <alignment vertical="top"/>
    </xf>
    <xf numFmtId="0" fontId="4" fillId="0" borderId="64" xfId="0" applyFont="1" applyBorder="1" applyAlignment="1">
      <alignment vertical="top"/>
    </xf>
    <xf numFmtId="0" fontId="4" fillId="0" borderId="28" xfId="0" applyFont="1" applyBorder="1" applyAlignment="1">
      <alignment/>
    </xf>
    <xf numFmtId="0" fontId="0" fillId="0" borderId="70" xfId="0" applyFont="1" applyBorder="1" applyAlignment="1">
      <alignment vertical="center" wrapText="1"/>
    </xf>
    <xf numFmtId="0" fontId="0" fillId="0" borderId="26" xfId="0" applyFont="1" applyBorder="1" applyAlignment="1">
      <alignment vertical="center"/>
    </xf>
    <xf numFmtId="4" fontId="10" fillId="0" borderId="37" xfId="0" applyNumberFormat="1" applyFont="1" applyBorder="1" applyAlignment="1">
      <alignment vertical="center" wrapText="1"/>
    </xf>
    <xf numFmtId="4" fontId="10" fillId="0" borderId="72" xfId="0" applyNumberFormat="1" applyFont="1" applyBorder="1" applyAlignment="1">
      <alignment vertical="center" wrapText="1"/>
    </xf>
    <xf numFmtId="0" fontId="10" fillId="0" borderId="14" xfId="0" applyFont="1" applyBorder="1" applyAlignment="1">
      <alignment horizontal="justify" vertical="center"/>
    </xf>
    <xf numFmtId="0" fontId="0" fillId="0" borderId="39" xfId="0" applyFont="1" applyBorder="1" applyAlignment="1">
      <alignment/>
    </xf>
    <xf numFmtId="0" fontId="10" fillId="2" borderId="69" xfId="0" applyFont="1" applyFill="1" applyBorder="1" applyAlignment="1">
      <alignment horizontal="justify" vertical="center"/>
    </xf>
    <xf numFmtId="0" fontId="0" fillId="0" borderId="51" xfId="0" applyFont="1" applyBorder="1" applyAlignment="1">
      <alignment/>
    </xf>
    <xf numFmtId="0" fontId="3" fillId="0" borderId="0" xfId="0" applyFont="1" applyBorder="1" applyAlignment="1">
      <alignment vertical="center" wrapText="1"/>
    </xf>
    <xf numFmtId="0" fontId="3" fillId="0" borderId="0" xfId="0" applyFont="1" applyBorder="1" applyAlignment="1">
      <alignment vertical="center" wrapText="1"/>
    </xf>
    <xf numFmtId="0" fontId="3" fillId="0" borderId="47" xfId="0" applyFont="1" applyFill="1" applyBorder="1" applyAlignment="1">
      <alignment vertical="center" wrapText="1"/>
    </xf>
    <xf numFmtId="0" fontId="3" fillId="0" borderId="65" xfId="0" applyFont="1" applyFill="1" applyBorder="1" applyAlignment="1">
      <alignment vertical="center" wrapText="1"/>
    </xf>
    <xf numFmtId="0" fontId="3" fillId="0" borderId="70" xfId="0" applyFont="1" applyFill="1" applyBorder="1" applyAlignment="1">
      <alignment vertical="center" wrapText="1"/>
    </xf>
    <xf numFmtId="0" fontId="2" fillId="0" borderId="47" xfId="0" applyFont="1" applyFill="1" applyBorder="1" applyAlignment="1">
      <alignment horizontal="left"/>
    </xf>
    <xf numFmtId="0" fontId="0" fillId="0" borderId="65" xfId="0" applyFill="1" applyBorder="1" applyAlignment="1">
      <alignment/>
    </xf>
    <xf numFmtId="0" fontId="10" fillId="0" borderId="16" xfId="0" applyFont="1" applyBorder="1" applyAlignment="1">
      <alignment horizontal="justify" vertical="center"/>
    </xf>
    <xf numFmtId="0" fontId="0" fillId="0" borderId="11" xfId="0" applyFont="1" applyBorder="1" applyAlignment="1">
      <alignment/>
    </xf>
    <xf numFmtId="0" fontId="0" fillId="0" borderId="37" xfId="0" applyFont="1" applyBorder="1" applyAlignment="1">
      <alignment/>
    </xf>
    <xf numFmtId="0" fontId="0" fillId="0" borderId="17" xfId="0" applyFont="1" applyBorder="1" applyAlignment="1">
      <alignment horizontal="left" vertical="center"/>
    </xf>
    <xf numFmtId="0" fontId="0" fillId="0" borderId="36" xfId="0" applyFont="1" applyBorder="1" applyAlignment="1">
      <alignment/>
    </xf>
    <xf numFmtId="0" fontId="0" fillId="0" borderId="65" xfId="0" applyFont="1" applyBorder="1" applyAlignment="1">
      <alignment/>
    </xf>
    <xf numFmtId="0" fontId="0" fillId="0" borderId="70" xfId="0" applyFont="1" applyBorder="1" applyAlignment="1">
      <alignment/>
    </xf>
    <xf numFmtId="0" fontId="0" fillId="0" borderId="72" xfId="0" applyFont="1" applyBorder="1" applyAlignment="1">
      <alignment horizontal="center" vertical="center" wrapText="1"/>
    </xf>
    <xf numFmtId="0" fontId="3" fillId="2" borderId="55"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9"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0" fillId="0" borderId="67" xfId="0" applyFont="1" applyBorder="1" applyAlignment="1">
      <alignment wrapText="1"/>
    </xf>
    <xf numFmtId="0" fontId="0" fillId="0" borderId="18" xfId="0" applyFont="1" applyBorder="1" applyAlignment="1">
      <alignment wrapText="1"/>
    </xf>
    <xf numFmtId="0" fontId="0" fillId="0" borderId="11" xfId="0" applyFont="1" applyBorder="1" applyAlignment="1">
      <alignment wrapText="1"/>
    </xf>
    <xf numFmtId="0" fontId="0" fillId="0" borderId="64" xfId="0" applyFont="1" applyBorder="1" applyAlignment="1">
      <alignment wrapText="1"/>
    </xf>
    <xf numFmtId="0" fontId="0" fillId="0" borderId="28" xfId="0" applyFont="1" applyBorder="1" applyAlignment="1">
      <alignment wrapText="1"/>
    </xf>
    <xf numFmtId="0" fontId="3" fillId="2" borderId="13" xfId="0" applyFont="1" applyFill="1" applyBorder="1" applyAlignment="1">
      <alignment horizontal="center" vertical="center"/>
    </xf>
    <xf numFmtId="0" fontId="16" fillId="0" borderId="15" xfId="0" applyBorder="1" applyAlignment="1">
      <alignment vertical="center"/>
    </xf>
    <xf numFmtId="0" fontId="3" fillId="2" borderId="13" xfId="27" applyFont="1" applyFill="1" applyBorder="1" applyAlignment="1">
      <alignment horizontal="center" vertical="center" wrapText="1"/>
      <protection/>
    </xf>
    <xf numFmtId="0" fontId="3" fillId="0" borderId="23" xfId="27" applyFont="1" applyBorder="1" applyAlignment="1">
      <alignment vertical="center" wrapText="1"/>
      <protection/>
    </xf>
    <xf numFmtId="0" fontId="3" fillId="0" borderId="15" xfId="27" applyFont="1" applyBorder="1" applyAlignment="1">
      <alignment vertical="center" wrapText="1"/>
      <protection/>
    </xf>
    <xf numFmtId="0" fontId="3" fillId="2" borderId="48" xfId="0" applyFont="1" applyFill="1" applyBorder="1" applyAlignment="1">
      <alignment horizontal="center" vertical="center" wrapText="1"/>
    </xf>
    <xf numFmtId="0" fontId="10" fillId="2" borderId="14" xfId="0" applyFont="1" applyFill="1" applyBorder="1" applyAlignment="1">
      <alignment horizontal="justify" vertical="center"/>
    </xf>
    <xf numFmtId="0" fontId="0" fillId="2" borderId="5" xfId="0" applyFill="1" applyBorder="1" applyAlignment="1">
      <alignment/>
    </xf>
    <xf numFmtId="0" fontId="10" fillId="2" borderId="20" xfId="0" applyFont="1" applyFill="1" applyBorder="1" applyAlignment="1">
      <alignment horizontal="justify" vertical="center"/>
    </xf>
    <xf numFmtId="0" fontId="0" fillId="2" borderId="21" xfId="0" applyFill="1" applyBorder="1" applyAlignment="1">
      <alignment/>
    </xf>
    <xf numFmtId="0" fontId="16" fillId="0" borderId="39" xfId="0" applyFont="1" applyBorder="1" applyAlignment="1">
      <alignment vertical="top" wrapText="1"/>
    </xf>
    <xf numFmtId="0" fontId="3" fillId="2" borderId="45" xfId="0" applyFont="1" applyFill="1" applyBorder="1" applyAlignment="1">
      <alignment horizontal="center" vertical="center"/>
    </xf>
    <xf numFmtId="0" fontId="3" fillId="2" borderId="47" xfId="26" applyFont="1" applyFill="1" applyBorder="1" applyAlignment="1">
      <alignment horizontal="center" vertical="center"/>
      <protection/>
    </xf>
    <xf numFmtId="0" fontId="3" fillId="2" borderId="65" xfId="26" applyFont="1" applyFill="1" applyBorder="1" applyAlignment="1">
      <alignment horizontal="center" vertical="center"/>
      <protection/>
    </xf>
    <xf numFmtId="0" fontId="3" fillId="2" borderId="70" xfId="26" applyFont="1" applyFill="1" applyBorder="1" applyAlignment="1">
      <alignment horizontal="center" vertical="center"/>
      <protection/>
    </xf>
    <xf numFmtId="0" fontId="8" fillId="2" borderId="40" xfId="26" applyFont="1" applyFill="1" applyBorder="1" applyAlignment="1">
      <alignment horizontal="center" vertical="center"/>
      <protection/>
    </xf>
    <xf numFmtId="0" fontId="8" fillId="2" borderId="58" xfId="26" applyFont="1" applyFill="1" applyBorder="1" applyAlignment="1">
      <alignment horizontal="center" vertical="center"/>
      <protection/>
    </xf>
    <xf numFmtId="0" fontId="2" fillId="2" borderId="58" xfId="26" applyFont="1" applyFill="1" applyBorder="1" applyAlignment="1">
      <alignment vertical="center"/>
      <protection/>
    </xf>
    <xf numFmtId="0" fontId="2" fillId="2" borderId="37" xfId="26" applyFont="1" applyFill="1" applyBorder="1" applyAlignment="1">
      <alignment vertical="center"/>
      <protection/>
    </xf>
    <xf numFmtId="0" fontId="8" fillId="2" borderId="49" xfId="26" applyFont="1" applyFill="1" applyBorder="1" applyAlignment="1">
      <alignment horizontal="center" vertical="center"/>
      <protection/>
    </xf>
    <xf numFmtId="0" fontId="8" fillId="2" borderId="26" xfId="26" applyFont="1" applyFill="1" applyBorder="1" applyAlignment="1">
      <alignment horizontal="center" vertical="center"/>
      <protection/>
    </xf>
    <xf numFmtId="0" fontId="2" fillId="2" borderId="26" xfId="26" applyFont="1" applyFill="1" applyBorder="1" applyAlignment="1">
      <alignment vertical="center"/>
      <protection/>
    </xf>
    <xf numFmtId="0" fontId="2" fillId="2" borderId="44" xfId="26" applyFont="1" applyFill="1" applyBorder="1" applyAlignment="1">
      <alignment vertical="center"/>
      <protection/>
    </xf>
    <xf numFmtId="0" fontId="3" fillId="2" borderId="57" xfId="26" applyFont="1" applyFill="1" applyBorder="1" applyAlignment="1">
      <alignment vertical="center"/>
      <protection/>
    </xf>
    <xf numFmtId="0" fontId="3" fillId="2" borderId="56" xfId="26" applyFont="1" applyFill="1" applyBorder="1" applyAlignment="1">
      <alignment vertical="center"/>
      <protection/>
    </xf>
    <xf numFmtId="0" fontId="8" fillId="2" borderId="41" xfId="26" applyFont="1" applyFill="1" applyBorder="1" applyAlignment="1">
      <alignment horizontal="center" vertical="center"/>
      <protection/>
    </xf>
    <xf numFmtId="0" fontId="2" fillId="2" borderId="59" xfId="26" applyFont="1" applyFill="1" applyBorder="1" applyAlignment="1">
      <alignment vertical="center"/>
      <protection/>
    </xf>
    <xf numFmtId="3" fontId="2" fillId="2" borderId="88" xfId="26" applyNumberFormat="1" applyFont="1" applyFill="1" applyBorder="1" applyAlignment="1">
      <alignment horizontal="left" vertical="center" wrapText="1"/>
      <protection/>
    </xf>
    <xf numFmtId="0" fontId="0" fillId="0" borderId="31" xfId="26" applyFont="1" applyBorder="1" applyAlignment="1">
      <alignment horizontal="left" wrapText="1"/>
      <protection/>
    </xf>
    <xf numFmtId="0" fontId="2" fillId="2" borderId="47" xfId="26" applyFont="1" applyFill="1" applyBorder="1" applyAlignment="1">
      <alignment horizontal="center" vertical="center"/>
      <protection/>
    </xf>
    <xf numFmtId="0" fontId="2" fillId="2" borderId="65" xfId="26" applyFont="1" applyFill="1" applyBorder="1" applyAlignment="1">
      <alignment horizontal="center" vertical="center"/>
      <protection/>
    </xf>
    <xf numFmtId="0" fontId="0" fillId="0" borderId="70" xfId="26" applyBorder="1" applyAlignment="1">
      <alignment vertical="center"/>
      <protection/>
    </xf>
    <xf numFmtId="3" fontId="3" fillId="2" borderId="47" xfId="26" applyNumberFormat="1" applyFont="1" applyFill="1" applyBorder="1" applyAlignment="1">
      <alignment horizontal="center" vertical="center"/>
      <protection/>
    </xf>
    <xf numFmtId="3" fontId="3" fillId="2" borderId="65" xfId="26" applyNumberFormat="1" applyFont="1" applyFill="1" applyBorder="1" applyAlignment="1">
      <alignment horizontal="center" vertical="center"/>
      <protection/>
    </xf>
    <xf numFmtId="3" fontId="3" fillId="2" borderId="46" xfId="26" applyNumberFormat="1" applyFont="1" applyFill="1" applyBorder="1" applyAlignment="1">
      <alignment horizontal="center" vertical="center"/>
      <protection/>
    </xf>
    <xf numFmtId="3" fontId="3" fillId="2" borderId="66" xfId="26" applyNumberFormat="1" applyFont="1" applyFill="1" applyBorder="1" applyAlignment="1">
      <alignment horizontal="center" vertical="center"/>
      <protection/>
    </xf>
    <xf numFmtId="0" fontId="0" fillId="0" borderId="66" xfId="26" applyBorder="1" applyAlignment="1">
      <alignment horizontal="center" vertical="center"/>
      <protection/>
    </xf>
    <xf numFmtId="0" fontId="0" fillId="0" borderId="70" xfId="26" applyBorder="1" applyAlignment="1">
      <alignment horizontal="center" vertical="center"/>
      <protection/>
    </xf>
    <xf numFmtId="3" fontId="2" fillId="2" borderId="55" xfId="26" applyNumberFormat="1" applyFont="1" applyFill="1" applyBorder="1" applyAlignment="1">
      <alignment horizontal="left" vertical="center" wrapText="1"/>
      <protection/>
    </xf>
    <xf numFmtId="0" fontId="0" fillId="0" borderId="45" xfId="26" applyFont="1" applyBorder="1" applyAlignment="1">
      <alignment horizontal="left" wrapText="1"/>
      <protection/>
    </xf>
    <xf numFmtId="3" fontId="3" fillId="2" borderId="55" xfId="26" applyNumberFormat="1" applyFont="1" applyFill="1" applyBorder="1" applyAlignment="1">
      <alignment horizontal="left" vertical="center" wrapText="1"/>
      <protection/>
    </xf>
    <xf numFmtId="0" fontId="4" fillId="0" borderId="45" xfId="26" applyFont="1" applyBorder="1" applyAlignment="1">
      <alignment horizontal="left" wrapText="1"/>
      <protection/>
    </xf>
    <xf numFmtId="3" fontId="2" fillId="2" borderId="55" xfId="26" applyNumberFormat="1" applyFont="1" applyFill="1" applyBorder="1" applyAlignment="1">
      <alignment horizontal="left" vertical="center"/>
      <protection/>
    </xf>
    <xf numFmtId="0" fontId="0" fillId="0" borderId="45" xfId="26" applyFont="1" applyBorder="1" applyAlignment="1">
      <alignment horizontal="left"/>
      <protection/>
    </xf>
    <xf numFmtId="0" fontId="1" fillId="0" borderId="0" xfId="26" applyFont="1" applyAlignment="1">
      <alignment horizontal="center" vertical="center"/>
      <protection/>
    </xf>
    <xf numFmtId="0" fontId="33" fillId="9" borderId="86" xfId="21" applyFill="1" applyBorder="1">
      <alignment horizontal="center" vertical="top" wrapText="1"/>
      <protection/>
    </xf>
    <xf numFmtId="0" fontId="33" fillId="9" borderId="87" xfId="21" applyFill="1" applyBorder="1">
      <alignment vertical="top" wrapText="1"/>
      <protection/>
    </xf>
    <xf numFmtId="0" fontId="33" fillId="9" borderId="86" xfId="21" applyFill="1" applyBorder="1">
      <alignment vertical="top" wrapText="1"/>
      <protection/>
    </xf>
    <xf numFmtId="0" fontId="33" fillId="9" borderId="85" xfId="21" applyFill="1" applyBorder="1">
      <alignment vertical="top" wrapText="1"/>
      <protection/>
    </xf>
    <xf numFmtId="0" fontId="34" fillId="9" borderId="86" xfId="21" applyFill="1" applyBorder="1">
      <alignment vertical="top" wrapText="1"/>
      <protection/>
    </xf>
    <xf numFmtId="0" fontId="3" fillId="2" borderId="57" xfId="23" applyFont="1" applyFill="1" applyBorder="1" applyAlignment="1">
      <alignment horizontal="center" vertical="center"/>
      <protection/>
    </xf>
    <xf numFmtId="0" fontId="3" fillId="2" borderId="72" xfId="23" applyFont="1" applyFill="1" applyBorder="1" applyAlignment="1">
      <alignment horizontal="center" vertical="center"/>
      <protection/>
    </xf>
    <xf numFmtId="0" fontId="40" fillId="2" borderId="88" xfId="23" applyFont="1" applyFill="1" applyBorder="1" applyAlignment="1">
      <alignment horizontal="center" vertical="center" wrapText="1"/>
      <protection/>
    </xf>
    <xf numFmtId="0" fontId="41" fillId="2" borderId="31" xfId="23" applyFont="1" applyFill="1" applyBorder="1" applyAlignment="1">
      <alignment horizontal="center" vertical="center" wrapText="1"/>
      <protection/>
    </xf>
    <xf numFmtId="0" fontId="3" fillId="2" borderId="47" xfId="23" applyFont="1" applyFill="1" applyBorder="1" applyAlignment="1">
      <alignment horizontal="center" vertical="center"/>
      <protection/>
    </xf>
    <xf numFmtId="0" fontId="0" fillId="0" borderId="65" xfId="23" applyBorder="1" applyAlignment="1">
      <alignment/>
      <protection/>
    </xf>
    <xf numFmtId="0" fontId="0" fillId="0" borderId="70" xfId="23" applyBorder="1" applyAlignment="1">
      <alignment/>
      <protection/>
    </xf>
    <xf numFmtId="0" fontId="2" fillId="2" borderId="55" xfId="23" applyFont="1" applyFill="1" applyBorder="1" applyAlignment="1">
      <alignment vertical="center"/>
      <protection/>
    </xf>
    <xf numFmtId="0" fontId="2" fillId="2" borderId="45" xfId="23" applyFont="1" applyFill="1" applyBorder="1" applyAlignment="1">
      <alignment vertical="center"/>
      <protection/>
    </xf>
    <xf numFmtId="3" fontId="3" fillId="2" borderId="88" xfId="23" applyNumberFormat="1" applyFont="1" applyFill="1" applyBorder="1" applyAlignment="1">
      <alignment horizontal="center" vertical="center"/>
      <protection/>
    </xf>
    <xf numFmtId="3" fontId="3" fillId="2" borderId="31" xfId="23" applyNumberFormat="1" applyFont="1" applyFill="1" applyBorder="1" applyAlignment="1">
      <alignment horizontal="center" vertical="center"/>
      <protection/>
    </xf>
    <xf numFmtId="0" fontId="3" fillId="2" borderId="88" xfId="28" applyFont="1" applyFill="1" applyBorder="1" applyAlignment="1">
      <alignment horizontal="left" vertical="center"/>
      <protection/>
    </xf>
    <xf numFmtId="0" fontId="3" fillId="0" borderId="50" xfId="28" applyFont="1" applyBorder="1" applyAlignment="1">
      <alignment horizontal="left" vertical="center"/>
      <protection/>
    </xf>
    <xf numFmtId="0" fontId="3" fillId="0" borderId="31" xfId="28" applyFont="1" applyBorder="1" applyAlignment="1">
      <alignment horizontal="left" vertical="center"/>
      <protection/>
    </xf>
    <xf numFmtId="0" fontId="4" fillId="2" borderId="53" xfId="23" applyFont="1" applyFill="1" applyBorder="1" applyAlignment="1">
      <alignment horizontal="center" vertical="center" wrapText="1"/>
      <protection/>
    </xf>
    <xf numFmtId="0" fontId="0" fillId="0" borderId="0" xfId="23" applyBorder="1" applyAlignment="1">
      <alignment vertical="center" wrapText="1"/>
      <protection/>
    </xf>
    <xf numFmtId="0" fontId="0" fillId="0" borderId="52" xfId="23" applyBorder="1" applyAlignment="1">
      <alignment vertical="center" wrapText="1"/>
      <protection/>
    </xf>
    <xf numFmtId="0" fontId="1" fillId="2" borderId="47" xfId="23" applyFont="1" applyFill="1" applyBorder="1" applyAlignment="1">
      <alignment horizontal="center" vertical="center" wrapText="1"/>
      <protection/>
    </xf>
    <xf numFmtId="0" fontId="0" fillId="0" borderId="65" xfId="0" applyBorder="1" applyAlignment="1">
      <alignment vertical="center" wrapText="1"/>
    </xf>
    <xf numFmtId="3" fontId="3" fillId="2" borderId="65" xfId="23" applyNumberFormat="1" applyFont="1" applyFill="1" applyBorder="1" applyAlignment="1">
      <alignment horizontal="center" vertical="center"/>
      <protection/>
    </xf>
    <xf numFmtId="0" fontId="0" fillId="0" borderId="65" xfId="23" applyBorder="1" applyAlignment="1">
      <alignment horizontal="center" vertical="center"/>
      <protection/>
    </xf>
    <xf numFmtId="0" fontId="0" fillId="0" borderId="70" xfId="23" applyBorder="1" applyAlignment="1">
      <alignment horizontal="center" vertical="center"/>
      <protection/>
    </xf>
    <xf numFmtId="0" fontId="4" fillId="2" borderId="88" xfId="23" applyFont="1" applyFill="1" applyBorder="1" applyAlignment="1">
      <alignment horizontal="center" vertical="center" wrapText="1"/>
      <protection/>
    </xf>
    <xf numFmtId="0" fontId="0" fillId="0" borderId="50" xfId="23" applyBorder="1" applyAlignment="1">
      <alignment vertical="center" wrapText="1"/>
      <protection/>
    </xf>
    <xf numFmtId="0" fontId="0" fillId="2" borderId="45" xfId="23" applyFill="1" applyBorder="1" applyAlignment="1">
      <alignment/>
      <protection/>
    </xf>
    <xf numFmtId="0" fontId="0" fillId="2" borderId="62" xfId="23" applyFill="1" applyBorder="1" applyAlignment="1">
      <alignment/>
      <protection/>
    </xf>
    <xf numFmtId="0" fontId="0" fillId="0" borderId="31" xfId="23" applyBorder="1" applyAlignment="1">
      <alignment vertical="center" wrapText="1"/>
      <protection/>
    </xf>
    <xf numFmtId="0" fontId="4" fillId="2" borderId="53" xfId="24" applyFont="1" applyFill="1" applyBorder="1" applyAlignment="1">
      <alignment horizontal="center" vertical="center" wrapText="1"/>
      <protection/>
    </xf>
    <xf numFmtId="0" fontId="0" fillId="0" borderId="0" xfId="24" applyBorder="1" applyAlignment="1">
      <alignment vertical="center" wrapText="1"/>
      <protection/>
    </xf>
    <xf numFmtId="0" fontId="0" fillId="0" borderId="52" xfId="24" applyBorder="1" applyAlignment="1">
      <alignment vertical="center" wrapText="1"/>
      <protection/>
    </xf>
    <xf numFmtId="0" fontId="40" fillId="2" borderId="88" xfId="24" applyFont="1" applyFill="1" applyBorder="1" applyAlignment="1">
      <alignment horizontal="center" vertical="center" wrapText="1"/>
      <protection/>
    </xf>
    <xf numFmtId="0" fontId="41" fillId="2" borderId="31" xfId="24" applyFont="1" applyFill="1" applyBorder="1" applyAlignment="1">
      <alignment horizontal="center" vertical="center" wrapText="1"/>
      <protection/>
    </xf>
    <xf numFmtId="0" fontId="3" fillId="2" borderId="47" xfId="24" applyFont="1" applyFill="1" applyBorder="1" applyAlignment="1">
      <alignment horizontal="center" vertical="center"/>
      <protection/>
    </xf>
    <xf numFmtId="0" fontId="0" fillId="0" borderId="65" xfId="24" applyBorder="1" applyAlignment="1">
      <alignment/>
      <protection/>
    </xf>
    <xf numFmtId="0" fontId="0" fillId="0" borderId="70" xfId="24" applyBorder="1" applyAlignment="1">
      <alignment/>
      <protection/>
    </xf>
    <xf numFmtId="0" fontId="40" fillId="2" borderId="55" xfId="24" applyFont="1" applyFill="1" applyBorder="1" applyAlignment="1">
      <alignment horizontal="center" vertical="center" wrapText="1"/>
      <protection/>
    </xf>
    <xf numFmtId="0" fontId="41" fillId="2" borderId="45" xfId="24" applyFont="1" applyFill="1" applyBorder="1" applyAlignment="1">
      <alignment horizontal="center" vertical="center" wrapText="1"/>
      <protection/>
    </xf>
    <xf numFmtId="0" fontId="3" fillId="2" borderId="57" xfId="24" applyFont="1" applyFill="1" applyBorder="1" applyAlignment="1">
      <alignment horizontal="center" vertical="center"/>
      <protection/>
    </xf>
    <xf numFmtId="0" fontId="3" fillId="2" borderId="72" xfId="24" applyFont="1" applyFill="1" applyBorder="1" applyAlignment="1">
      <alignment horizontal="center" vertical="center"/>
      <protection/>
    </xf>
    <xf numFmtId="0" fontId="2" fillId="2" borderId="55" xfId="24" applyFont="1" applyFill="1" applyBorder="1" applyAlignment="1">
      <alignment vertical="center"/>
      <protection/>
    </xf>
    <xf numFmtId="0" fontId="2" fillId="2" borderId="33" xfId="24" applyFont="1" applyFill="1" applyBorder="1" applyAlignment="1">
      <alignment vertical="center"/>
      <protection/>
    </xf>
    <xf numFmtId="0" fontId="4" fillId="2" borderId="88" xfId="24" applyFont="1" applyFill="1" applyBorder="1" applyAlignment="1">
      <alignment horizontal="center" vertical="center" wrapText="1"/>
      <protection/>
    </xf>
    <xf numFmtId="0" fontId="0" fillId="0" borderId="50" xfId="24" applyBorder="1" applyAlignment="1">
      <alignment vertical="center" wrapText="1"/>
      <protection/>
    </xf>
    <xf numFmtId="0" fontId="1" fillId="2" borderId="47" xfId="24" applyFont="1" applyFill="1" applyBorder="1" applyAlignment="1">
      <alignment horizontal="center" vertical="center" wrapText="1"/>
      <protection/>
    </xf>
    <xf numFmtId="3" fontId="3" fillId="2" borderId="88" xfId="24" applyNumberFormat="1" applyFont="1" applyFill="1" applyBorder="1" applyAlignment="1">
      <alignment horizontal="center" vertical="center"/>
      <protection/>
    </xf>
    <xf numFmtId="3" fontId="3" fillId="2" borderId="31" xfId="24" applyNumberFormat="1" applyFont="1" applyFill="1" applyBorder="1" applyAlignment="1">
      <alignment horizontal="center" vertical="center"/>
      <protection/>
    </xf>
    <xf numFmtId="3" fontId="3" fillId="2" borderId="65" xfId="24" applyNumberFormat="1" applyFont="1" applyFill="1" applyBorder="1" applyAlignment="1">
      <alignment horizontal="center" vertical="center"/>
      <protection/>
    </xf>
    <xf numFmtId="0" fontId="0" fillId="0" borderId="65" xfId="24" applyBorder="1" applyAlignment="1">
      <alignment horizontal="center" vertical="center"/>
      <protection/>
    </xf>
    <xf numFmtId="0" fontId="0" fillId="0" borderId="70" xfId="24" applyBorder="1" applyAlignment="1">
      <alignment horizontal="center" vertical="center"/>
      <protection/>
    </xf>
    <xf numFmtId="0" fontId="0" fillId="2" borderId="45" xfId="24" applyFill="1" applyBorder="1" applyAlignment="1">
      <alignment/>
      <protection/>
    </xf>
    <xf numFmtId="0" fontId="0" fillId="2" borderId="62" xfId="24" applyFill="1" applyBorder="1" applyAlignment="1">
      <alignment/>
      <protection/>
    </xf>
    <xf numFmtId="0" fontId="0" fillId="0" borderId="31" xfId="24" applyBorder="1" applyAlignment="1">
      <alignment vertical="center" wrapText="1"/>
      <protection/>
    </xf>
    <xf numFmtId="0" fontId="3" fillId="2" borderId="20" xfId="28" applyFont="1" applyFill="1" applyBorder="1" applyAlignment="1">
      <alignment horizontal="center" vertical="center" wrapText="1"/>
      <protection/>
    </xf>
    <xf numFmtId="0" fontId="3" fillId="2" borderId="48" xfId="28" applyFont="1" applyFill="1" applyBorder="1" applyAlignment="1">
      <alignment horizontal="center" vertical="center" wrapText="1"/>
      <protection/>
    </xf>
    <xf numFmtId="0" fontId="3" fillId="2" borderId="67" xfId="28" applyFont="1" applyFill="1" applyBorder="1" applyAlignment="1">
      <alignment horizontal="center" vertical="center" wrapText="1"/>
      <protection/>
    </xf>
    <xf numFmtId="0" fontId="3" fillId="2" borderId="52" xfId="28" applyFont="1" applyFill="1" applyBorder="1" applyAlignment="1">
      <alignment horizontal="center" vertical="center" wrapText="1"/>
      <protection/>
    </xf>
    <xf numFmtId="0" fontId="3" fillId="2" borderId="21" xfId="28" applyFont="1" applyFill="1" applyBorder="1" applyAlignment="1">
      <alignment horizontal="center" vertical="center"/>
      <protection/>
    </xf>
    <xf numFmtId="0" fontId="3" fillId="2" borderId="15" xfId="28" applyFont="1" applyFill="1" applyBorder="1" applyAlignment="1">
      <alignment horizontal="center" vertical="center"/>
      <protection/>
    </xf>
    <xf numFmtId="0" fontId="3" fillId="2" borderId="55" xfId="28" applyFont="1" applyFill="1" applyBorder="1" applyAlignment="1">
      <alignment horizontal="center" vertical="center" wrapText="1"/>
      <protection/>
    </xf>
    <xf numFmtId="0" fontId="0" fillId="0" borderId="53" xfId="0" applyBorder="1" applyAlignment="1">
      <alignment vertical="center" wrapText="1"/>
    </xf>
    <xf numFmtId="0" fontId="0" fillId="0" borderId="90" xfId="0" applyBorder="1" applyAlignment="1">
      <alignment vertical="center" wrapText="1"/>
    </xf>
    <xf numFmtId="0" fontId="0" fillId="0" borderId="63" xfId="0" applyBorder="1" applyAlignment="1">
      <alignment vertical="center" wrapText="1"/>
    </xf>
    <xf numFmtId="0" fontId="0" fillId="0" borderId="0" xfId="0" applyAlignment="1">
      <alignment vertical="center" wrapText="1"/>
    </xf>
    <xf numFmtId="0" fontId="3" fillId="2" borderId="47" xfId="28" applyFont="1" applyFill="1" applyBorder="1" applyAlignment="1">
      <alignment vertical="center"/>
      <protection/>
    </xf>
    <xf numFmtId="0" fontId="0" fillId="0" borderId="70" xfId="28" applyBorder="1" applyAlignment="1">
      <alignment vertical="center"/>
      <protection/>
    </xf>
    <xf numFmtId="0" fontId="3" fillId="2" borderId="55" xfId="28" applyFont="1" applyFill="1" applyBorder="1" applyAlignment="1">
      <alignment horizontal="center" vertical="center"/>
      <protection/>
    </xf>
    <xf numFmtId="0" fontId="0" fillId="0" borderId="90" xfId="28" applyBorder="1" applyAlignment="1">
      <alignment/>
      <protection/>
    </xf>
    <xf numFmtId="0" fontId="0" fillId="2" borderId="63" xfId="28" applyFill="1" applyBorder="1" applyAlignment="1">
      <alignment horizontal="center" vertical="center"/>
      <protection/>
    </xf>
    <xf numFmtId="0" fontId="0" fillId="0" borderId="91" xfId="28" applyBorder="1" applyAlignment="1">
      <alignment/>
      <protection/>
    </xf>
    <xf numFmtId="0" fontId="3" fillId="2" borderId="53" xfId="28" applyFont="1" applyFill="1" applyBorder="1" applyAlignment="1">
      <alignment vertical="center" wrapText="1"/>
      <protection/>
    </xf>
    <xf numFmtId="0" fontId="3" fillId="2" borderId="33" xfId="28" applyFont="1" applyFill="1" applyBorder="1" applyAlignment="1">
      <alignment vertical="center" wrapText="1"/>
      <protection/>
    </xf>
    <xf numFmtId="0" fontId="3" fillId="2" borderId="64" xfId="28" applyFont="1" applyFill="1" applyBorder="1" applyAlignment="1">
      <alignment vertical="center" wrapText="1"/>
      <protection/>
    </xf>
    <xf numFmtId="0" fontId="3" fillId="2" borderId="35" xfId="28" applyFont="1" applyFill="1" applyBorder="1" applyAlignment="1" quotePrefix="1">
      <alignment horizontal="center" vertical="center" wrapText="1"/>
      <protection/>
    </xf>
    <xf numFmtId="0" fontId="3" fillId="2" borderId="45" xfId="28" applyFont="1" applyFill="1" applyBorder="1" applyAlignment="1">
      <alignment horizontal="center" vertical="center" wrapText="1"/>
      <protection/>
    </xf>
    <xf numFmtId="0" fontId="3" fillId="2" borderId="21" xfId="28" applyFont="1" applyFill="1" applyBorder="1" applyAlignment="1">
      <alignment horizontal="center" vertical="center" wrapText="1"/>
      <protection/>
    </xf>
    <xf numFmtId="0" fontId="3" fillId="2" borderId="15" xfId="28" applyFont="1" applyFill="1" applyBorder="1" applyAlignment="1">
      <alignment horizontal="center" vertical="center" wrapText="1"/>
      <protection/>
    </xf>
  </cellXfs>
  <cellStyles count="20">
    <cellStyle name="Normal" xfId="0"/>
    <cellStyle name="Currency [0]" xfId="15"/>
    <cellStyle name="Comma" xfId="16"/>
    <cellStyle name="Comma [0]" xfId="17"/>
    <cellStyle name="Hyperlink" xfId="18"/>
    <cellStyle name="Currency" xfId="19"/>
    <cellStyle name="Normal 2" xfId="20"/>
    <cellStyle name="normální_%5FPO%5Fstruktura%5Fmezd%5Fkrajskych%5Forganizaci(1)" xfId="21"/>
    <cellStyle name="normální_Finanční plán 2006_kraj" xfId="22"/>
    <cellStyle name="normální_fp_2007_DC" xfId="23"/>
    <cellStyle name="normální_fp_2007_DD" xfId="24"/>
    <cellStyle name="normální_likvidita 2006" xfId="25"/>
    <cellStyle name="normální_mzdy" xfId="26"/>
    <cellStyle name="normální_RK-10-2006-xx,př1 FP po 105%" xfId="27"/>
    <cellStyle name="normální_RK-14-2006-xxpr3 ZZS" xfId="28"/>
    <cellStyle name="normální_RK-26-2006 př 1 hospodaření" xfId="29"/>
    <cellStyle name="nový" xfId="30"/>
    <cellStyle name="osobní" xfId="31"/>
    <cellStyle name="Percent" xfId="32"/>
    <cellStyle name="Followed 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CE"/>
                <a:ea typeface="Arial CE"/>
                <a:cs typeface="Arial CE"/>
              </a:rPr>
              <a:t>Nemocnice celkem - složení průměrné mzdy</a:t>
            </a:r>
          </a:p>
        </c:rich>
      </c:tx>
      <c:layout/>
      <c:spPr>
        <a:noFill/>
        <a:ln>
          <a:noFill/>
        </a:ln>
      </c:spPr>
    </c:title>
    <c:plotArea>
      <c:layout>
        <c:manualLayout>
          <c:xMode val="edge"/>
          <c:yMode val="edge"/>
          <c:x val="0"/>
          <c:y val="0.07525"/>
          <c:w val="1"/>
          <c:h val="0.92475"/>
        </c:manualLayout>
      </c:layout>
      <c:barChart>
        <c:barDir val="col"/>
        <c:grouping val="clustered"/>
        <c:varyColors val="0"/>
        <c:ser>
          <c:idx val="0"/>
          <c:order val="0"/>
          <c:tx>
            <c:strRef>
              <c:f>'Rozklad mezd nem'!$B$231:$C$231</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 nem'!$A$232:$A$240</c:f>
              <c:strCache/>
            </c:strRef>
          </c:cat>
          <c:val>
            <c:numRef>
              <c:f>'Rozklad mezd nem'!$B$232:$B$240</c:f>
              <c:numCache>
                <c:ptCount val="9"/>
                <c:pt idx="0">
                  <c:v>0</c:v>
                </c:pt>
                <c:pt idx="1">
                  <c:v>0</c:v>
                </c:pt>
                <c:pt idx="2">
                  <c:v>0</c:v>
                </c:pt>
                <c:pt idx="3">
                  <c:v>0</c:v>
                </c:pt>
                <c:pt idx="4">
                  <c:v>0</c:v>
                </c:pt>
                <c:pt idx="5">
                  <c:v>0</c:v>
                </c:pt>
                <c:pt idx="6">
                  <c:v>0</c:v>
                </c:pt>
                <c:pt idx="7">
                  <c:v>0</c:v>
                </c:pt>
                <c:pt idx="8">
                  <c:v>0</c:v>
                </c:pt>
              </c:numCache>
            </c:numRef>
          </c:val>
        </c:ser>
        <c:ser>
          <c:idx val="1"/>
          <c:order val="1"/>
          <c:tx>
            <c:strRef>
              <c:f>'Rozklad mezd nem'!$D$231:$E$231</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 nem'!$A$232:$A$240</c:f>
              <c:strCache/>
            </c:strRef>
          </c:cat>
          <c:val>
            <c:numRef>
              <c:f>'Rozklad mezd nem'!$D$232:$D$240</c:f>
              <c:numCache>
                <c:ptCount val="9"/>
                <c:pt idx="0">
                  <c:v>0</c:v>
                </c:pt>
                <c:pt idx="1">
                  <c:v>0</c:v>
                </c:pt>
                <c:pt idx="2">
                  <c:v>0</c:v>
                </c:pt>
                <c:pt idx="3">
                  <c:v>0</c:v>
                </c:pt>
                <c:pt idx="4">
                  <c:v>0</c:v>
                </c:pt>
                <c:pt idx="5">
                  <c:v>0</c:v>
                </c:pt>
                <c:pt idx="6">
                  <c:v>0</c:v>
                </c:pt>
                <c:pt idx="7">
                  <c:v>0</c:v>
                </c:pt>
                <c:pt idx="8">
                  <c:v>0</c:v>
                </c:pt>
              </c:numCache>
            </c:numRef>
          </c:val>
        </c:ser>
        <c:ser>
          <c:idx val="2"/>
          <c:order val="2"/>
          <c:tx>
            <c:strRef>
              <c:f>'Rozklad mezd nem'!$F$231:$G$231</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 nem'!$A$232:$A$240</c:f>
              <c:strCache/>
            </c:strRef>
          </c:cat>
          <c:val>
            <c:numRef>
              <c:f>'Rozklad mezd nem'!$F$232:$F$240</c:f>
              <c:numCache>
                <c:ptCount val="9"/>
                <c:pt idx="0">
                  <c:v>0</c:v>
                </c:pt>
                <c:pt idx="1">
                  <c:v>0</c:v>
                </c:pt>
                <c:pt idx="2">
                  <c:v>0</c:v>
                </c:pt>
                <c:pt idx="3">
                  <c:v>0</c:v>
                </c:pt>
                <c:pt idx="4">
                  <c:v>0</c:v>
                </c:pt>
                <c:pt idx="5">
                  <c:v>0</c:v>
                </c:pt>
                <c:pt idx="6">
                  <c:v>0</c:v>
                </c:pt>
                <c:pt idx="7">
                  <c:v>0</c:v>
                </c:pt>
                <c:pt idx="8">
                  <c:v>0</c:v>
                </c:pt>
              </c:numCache>
            </c:numRef>
          </c:val>
        </c:ser>
        <c:ser>
          <c:idx val="3"/>
          <c:order val="3"/>
          <c:tx>
            <c:strRef>
              <c:f>'Rozklad mezd nem'!$H$231:$I$231</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 nem'!$A$232:$A$240</c:f>
              <c:strCache/>
            </c:strRef>
          </c:cat>
          <c:val>
            <c:numRef>
              <c:f>'Rozklad mezd nem'!$H$232:$H$240</c:f>
              <c:numCache>
                <c:ptCount val="9"/>
                <c:pt idx="0">
                  <c:v>0</c:v>
                </c:pt>
                <c:pt idx="1">
                  <c:v>0</c:v>
                </c:pt>
                <c:pt idx="2">
                  <c:v>0</c:v>
                </c:pt>
                <c:pt idx="3">
                  <c:v>0</c:v>
                </c:pt>
                <c:pt idx="4">
                  <c:v>0</c:v>
                </c:pt>
                <c:pt idx="5">
                  <c:v>0</c:v>
                </c:pt>
                <c:pt idx="6">
                  <c:v>0</c:v>
                </c:pt>
                <c:pt idx="7">
                  <c:v>0</c:v>
                </c:pt>
                <c:pt idx="8">
                  <c:v>0</c:v>
                </c:pt>
              </c:numCache>
            </c:numRef>
          </c:val>
        </c:ser>
        <c:ser>
          <c:idx val="4"/>
          <c:order val="4"/>
          <c:tx>
            <c:strRef>
              <c:f>'Rozklad mezd nem'!$J$231:$K$231</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 nem'!$A$232:$A$240</c:f>
              <c:strCache/>
            </c:strRef>
          </c:cat>
          <c:val>
            <c:numRef>
              <c:f>'Rozklad mezd nem'!$J$232:$J$240</c:f>
              <c:numCache>
                <c:ptCount val="9"/>
                <c:pt idx="0">
                  <c:v>0</c:v>
                </c:pt>
                <c:pt idx="1">
                  <c:v>0</c:v>
                </c:pt>
                <c:pt idx="2">
                  <c:v>0</c:v>
                </c:pt>
                <c:pt idx="3">
                  <c:v>0</c:v>
                </c:pt>
                <c:pt idx="4">
                  <c:v>0</c:v>
                </c:pt>
                <c:pt idx="5">
                  <c:v>0</c:v>
                </c:pt>
                <c:pt idx="6">
                  <c:v>0</c:v>
                </c:pt>
                <c:pt idx="7">
                  <c:v>0</c:v>
                </c:pt>
                <c:pt idx="8">
                  <c:v>0</c:v>
                </c:pt>
              </c:numCache>
            </c:numRef>
          </c:val>
        </c:ser>
        <c:axId val="48831825"/>
        <c:axId val="36833242"/>
      </c:barChart>
      <c:catAx>
        <c:axId val="48831825"/>
        <c:scaling>
          <c:orientation val="minMax"/>
        </c:scaling>
        <c:axPos val="b"/>
        <c:delete val="0"/>
        <c:numFmt formatCode="General" sourceLinked="1"/>
        <c:majorTickMark val="out"/>
        <c:minorTickMark val="none"/>
        <c:tickLblPos val="nextTo"/>
        <c:crossAx val="36833242"/>
        <c:crosses val="autoZero"/>
        <c:auto val="1"/>
        <c:lblOffset val="100"/>
        <c:noMultiLvlLbl val="0"/>
      </c:catAx>
      <c:valAx>
        <c:axId val="36833242"/>
        <c:scaling>
          <c:orientation val="minMax"/>
        </c:scaling>
        <c:axPos val="l"/>
        <c:majorGridlines/>
        <c:delete val="0"/>
        <c:numFmt formatCode="General" sourceLinked="1"/>
        <c:majorTickMark val="out"/>
        <c:minorTickMark val="none"/>
        <c:tickLblPos val="nextTo"/>
        <c:txPr>
          <a:bodyPr/>
          <a:lstStyle/>
          <a:p>
            <a:pPr>
              <a:defRPr lang="en-US" cap="none" sz="625" b="1" i="0" u="none" baseline="0">
                <a:latin typeface="Arial CE"/>
                <a:ea typeface="Arial CE"/>
                <a:cs typeface="Arial CE"/>
              </a:defRPr>
            </a:pPr>
          </a:p>
        </c:txPr>
        <c:crossAx val="48831825"/>
        <c:crossesAt val="1"/>
        <c:crossBetween val="between"/>
        <c:dispUnits/>
      </c:valAx>
      <c:dTable>
        <c:showHorzBorder val="1"/>
        <c:showVertBorder val="1"/>
        <c:showOutline val="1"/>
        <c:showKeys val="1"/>
        <c:txPr>
          <a:bodyPr vert="horz" rot="0"/>
          <a:lstStyle/>
          <a:p>
            <a:pPr>
              <a:defRPr lang="en-US" cap="none" sz="625"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075" b="0" i="0" u="none" baseline="0">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CE"/>
                <a:ea typeface="Arial CE"/>
                <a:cs typeface="Arial CE"/>
              </a:rPr>
              <a:t>Nemocnice celkem - procentuální složení průměrné mzdy</a:t>
            </a:r>
          </a:p>
        </c:rich>
      </c:tx>
      <c:layout/>
      <c:spPr>
        <a:noFill/>
        <a:ln>
          <a:noFill/>
        </a:ln>
      </c:spPr>
    </c:title>
    <c:plotArea>
      <c:layout>
        <c:manualLayout>
          <c:xMode val="edge"/>
          <c:yMode val="edge"/>
          <c:x val="0"/>
          <c:y val="0.118"/>
          <c:w val="1"/>
          <c:h val="0.882"/>
        </c:manualLayout>
      </c:layout>
      <c:barChart>
        <c:barDir val="col"/>
        <c:grouping val="clustered"/>
        <c:varyColors val="0"/>
        <c:ser>
          <c:idx val="0"/>
          <c:order val="0"/>
          <c:tx>
            <c:strRef>
              <c:f>'Rozklad mezd nem'!$B$231:$C$231</c:f>
              <c:strCache>
                <c:ptCount val="1"/>
                <c:pt idx="0">
                  <c:v>H.Brod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 nem'!$A$233:$A$240</c:f>
              <c:strCache/>
            </c:strRef>
          </c:cat>
          <c:val>
            <c:numRef>
              <c:f>'Rozklad mezd nem'!$C$233:$C$240</c:f>
              <c:numCache>
                <c:ptCount val="8"/>
                <c:pt idx="0">
                  <c:v>0</c:v>
                </c:pt>
                <c:pt idx="1">
                  <c:v>0</c:v>
                </c:pt>
                <c:pt idx="2">
                  <c:v>0</c:v>
                </c:pt>
                <c:pt idx="3">
                  <c:v>0</c:v>
                </c:pt>
                <c:pt idx="4">
                  <c:v>0</c:v>
                </c:pt>
                <c:pt idx="5">
                  <c:v>0</c:v>
                </c:pt>
                <c:pt idx="6">
                  <c:v>0</c:v>
                </c:pt>
                <c:pt idx="7">
                  <c:v>0</c:v>
                </c:pt>
              </c:numCache>
            </c:numRef>
          </c:val>
        </c:ser>
        <c:ser>
          <c:idx val="1"/>
          <c:order val="1"/>
          <c:tx>
            <c:strRef>
              <c:f>'Rozklad mezd nem'!$D$231:$E$231</c:f>
              <c:strCache>
                <c:ptCount val="1"/>
                <c:pt idx="0">
                  <c:v>Jihlava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 nem'!$A$233:$A$240</c:f>
              <c:strCache/>
            </c:strRef>
          </c:cat>
          <c:val>
            <c:numRef>
              <c:f>'Rozklad mezd nem'!$E$233:$E$240</c:f>
              <c:numCache>
                <c:ptCount val="8"/>
                <c:pt idx="0">
                  <c:v>0</c:v>
                </c:pt>
                <c:pt idx="1">
                  <c:v>0</c:v>
                </c:pt>
                <c:pt idx="2">
                  <c:v>0</c:v>
                </c:pt>
                <c:pt idx="3">
                  <c:v>0</c:v>
                </c:pt>
                <c:pt idx="4">
                  <c:v>0</c:v>
                </c:pt>
                <c:pt idx="5">
                  <c:v>0</c:v>
                </c:pt>
                <c:pt idx="6">
                  <c:v>0</c:v>
                </c:pt>
                <c:pt idx="7">
                  <c:v>0</c:v>
                </c:pt>
              </c:numCache>
            </c:numRef>
          </c:val>
        </c:ser>
        <c:ser>
          <c:idx val="2"/>
          <c:order val="2"/>
          <c:tx>
            <c:strRef>
              <c:f>'Rozklad mezd nem'!$F$231:$G$231</c:f>
              <c:strCache>
                <c:ptCount val="1"/>
                <c:pt idx="0">
                  <c:v>Pelhřimov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 nem'!$A$233:$A$240</c:f>
              <c:strCache/>
            </c:strRef>
          </c:cat>
          <c:val>
            <c:numRef>
              <c:f>'Rozklad mezd nem'!$G$233:$G$240</c:f>
              <c:numCache>
                <c:ptCount val="8"/>
                <c:pt idx="0">
                  <c:v>0</c:v>
                </c:pt>
                <c:pt idx="1">
                  <c:v>0</c:v>
                </c:pt>
                <c:pt idx="2">
                  <c:v>0</c:v>
                </c:pt>
                <c:pt idx="3">
                  <c:v>0</c:v>
                </c:pt>
                <c:pt idx="4">
                  <c:v>0</c:v>
                </c:pt>
                <c:pt idx="5">
                  <c:v>0</c:v>
                </c:pt>
                <c:pt idx="6">
                  <c:v>0</c:v>
                </c:pt>
                <c:pt idx="7">
                  <c:v>0</c:v>
                </c:pt>
              </c:numCache>
            </c:numRef>
          </c:val>
        </c:ser>
        <c:ser>
          <c:idx val="3"/>
          <c:order val="3"/>
          <c:tx>
            <c:strRef>
              <c:f>'Rozklad mezd nem'!$H$231:$I$231</c:f>
              <c:strCache>
                <c:ptCount val="1"/>
                <c:pt idx="0">
                  <c:v>Třebíč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 nem'!$A$233:$A$240</c:f>
              <c:strCache/>
            </c:strRef>
          </c:cat>
          <c:val>
            <c:numRef>
              <c:f>'Rozklad mezd nem'!$I$233:$I$240</c:f>
              <c:numCache>
                <c:ptCount val="8"/>
                <c:pt idx="0">
                  <c:v>0</c:v>
                </c:pt>
                <c:pt idx="1">
                  <c:v>0</c:v>
                </c:pt>
                <c:pt idx="2">
                  <c:v>0</c:v>
                </c:pt>
                <c:pt idx="3">
                  <c:v>0</c:v>
                </c:pt>
                <c:pt idx="4">
                  <c:v>0</c:v>
                </c:pt>
                <c:pt idx="5">
                  <c:v>0</c:v>
                </c:pt>
                <c:pt idx="6">
                  <c:v>0</c:v>
                </c:pt>
                <c:pt idx="7">
                  <c:v>0</c:v>
                </c:pt>
              </c:numCache>
            </c:numRef>
          </c:val>
        </c:ser>
        <c:ser>
          <c:idx val="4"/>
          <c:order val="4"/>
          <c:tx>
            <c:strRef>
              <c:f>'Rozklad mezd nem'!$J$231:$K$231</c:f>
              <c:strCache>
                <c:ptCount val="1"/>
                <c:pt idx="0">
                  <c:v>N.Město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'Rozklad mezd nem'!$A$233:$A$240</c:f>
              <c:strCache/>
            </c:strRef>
          </c:cat>
          <c:val>
            <c:numRef>
              <c:f>'Rozklad mezd nem'!$K$233:$K$240</c:f>
              <c:numCache>
                <c:ptCount val="8"/>
                <c:pt idx="0">
                  <c:v>0</c:v>
                </c:pt>
                <c:pt idx="1">
                  <c:v>0</c:v>
                </c:pt>
                <c:pt idx="2">
                  <c:v>0</c:v>
                </c:pt>
                <c:pt idx="3">
                  <c:v>0</c:v>
                </c:pt>
                <c:pt idx="4">
                  <c:v>0</c:v>
                </c:pt>
                <c:pt idx="5">
                  <c:v>0</c:v>
                </c:pt>
                <c:pt idx="6">
                  <c:v>0</c:v>
                </c:pt>
                <c:pt idx="7">
                  <c:v>0</c:v>
                </c:pt>
              </c:numCache>
            </c:numRef>
          </c:val>
        </c:ser>
        <c:axId val="63063723"/>
        <c:axId val="30702596"/>
      </c:barChart>
      <c:catAx>
        <c:axId val="63063723"/>
        <c:scaling>
          <c:orientation val="minMax"/>
        </c:scaling>
        <c:axPos val="b"/>
        <c:delete val="0"/>
        <c:numFmt formatCode="General" sourceLinked="1"/>
        <c:majorTickMark val="out"/>
        <c:minorTickMark val="none"/>
        <c:tickLblPos val="nextTo"/>
        <c:crossAx val="30702596"/>
        <c:crosses val="autoZero"/>
        <c:auto val="1"/>
        <c:lblOffset val="100"/>
        <c:noMultiLvlLbl val="0"/>
      </c:catAx>
      <c:valAx>
        <c:axId val="30702596"/>
        <c:scaling>
          <c:orientation val="minMax"/>
        </c:scaling>
        <c:axPos val="l"/>
        <c:majorGridlines/>
        <c:delete val="0"/>
        <c:numFmt formatCode="General" sourceLinked="1"/>
        <c:majorTickMark val="out"/>
        <c:minorTickMark val="none"/>
        <c:tickLblPos val="nextTo"/>
        <c:txPr>
          <a:bodyPr/>
          <a:lstStyle/>
          <a:p>
            <a:pPr>
              <a:defRPr lang="en-US" cap="none" sz="650" b="1" i="0" u="none" baseline="0">
                <a:latin typeface="Arial CE"/>
                <a:ea typeface="Arial CE"/>
                <a:cs typeface="Arial CE"/>
              </a:defRPr>
            </a:pPr>
          </a:p>
        </c:txPr>
        <c:crossAx val="63063723"/>
        <c:crossesAt val="1"/>
        <c:crossBetween val="between"/>
        <c:dispUnits/>
      </c:valAx>
      <c:dTable>
        <c:showHorzBorder val="1"/>
        <c:showVertBorder val="1"/>
        <c:showOutline val="1"/>
        <c:showKeys val="1"/>
        <c:txPr>
          <a:bodyPr vert="horz" rot="0"/>
          <a:lstStyle/>
          <a:p>
            <a:pPr>
              <a:defRPr lang="en-US" cap="none" sz="65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CE"/>
          <a:ea typeface="Arial CE"/>
          <a:cs typeface="Arial CE"/>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12</xdr:col>
      <xdr:colOff>0</xdr:colOff>
      <xdr:row>132</xdr:row>
      <xdr:rowOff>0</xdr:rowOff>
    </xdr:to>
    <xdr:sp>
      <xdr:nvSpPr>
        <xdr:cNvPr id="1" name="TextBox 1"/>
        <xdr:cNvSpPr txBox="1">
          <a:spLocks noChangeArrowheads="1"/>
        </xdr:cNvSpPr>
      </xdr:nvSpPr>
      <xdr:spPr>
        <a:xfrm>
          <a:off x="28575" y="25117425"/>
          <a:ext cx="9582150" cy="0"/>
        </a:xfrm>
        <a:prstGeom prst="rect">
          <a:avLst/>
        </a:prstGeom>
        <a:solidFill>
          <a:srgbClr val="FFFFFF"/>
        </a:solidFill>
        <a:ln w="9525" cmpd="sng">
          <a:noFill/>
        </a:ln>
      </xdr:spPr>
      <xdr:txBody>
        <a:bodyPr vertOverflow="clip" wrap="square"/>
        <a:p>
          <a:pPr algn="l">
            <a:defRPr/>
          </a:pPr>
          <a:r>
            <a:rPr lang="en-US" cap="none" sz="1000" b="0" i="0" u="none" baseline="0">
              <a:latin typeface="Arial CE"/>
              <a:ea typeface="Arial CE"/>
              <a:cs typeface="Arial CE"/>
            </a:rPr>
            <a:t>Management:
 Nemocnice Jihlava v roce 2005 provedla o 2 146 (7,6 %) více hospitalizačních příjmů, u ošetření ambulatních pacientů byl nárůst dokoncence 8 171 (o 15,8 %) ve srovnání s rokem 2004; průměrná ošetřovací doba hospitalizovaných pacientů poklesla o 0,7 dne (9,9 %) na 6,19 dne
 Nemocnice Jihlava již několik let sleduje spokojenost pacientů s pobytem na jednotlivých odděleních pomocí dotazníků, které jsou každý měsíc vyhodnocovány a podle připomínek prováděna nápravná opatření. Otázky jsou zaměřeny především na kvalitu poskytované péče, na vystupování a jednání pracovníků nemocnice, ale i na spokojenost se stravou, čistotou v nemocnici, na srozumitelnost, poskytovaných informací a podobně. Pacienti mají možnost upozornit i na jiný problém, se kterým se v nemocnici setkali. Podrobnější výsledky zjišťovanání spokojenosti budou uvedeny ve Výroční zprávě.
 Nemocnice se neustále snaží o rozšiřování poskytovaného spekra služeb a to tak, aby byly zajištěny kvalifikovanými vstřícnými odborníky ve vyhovujících podmínkách:
  - významným počinem roku 2005 bylo přiznání statutu Komplexního onkologického centra pro region Vysočina, garantovaného onkologickou společností - dobrá zpráva pro všechny
    nemocné s nádory v kraji Vysočina 
  - od července 2005 byla obnovena činnost pracoviště provádějící mamografický screening v Nemocnici Jihlava, což byl první a nezbytný krok k vytvoření mamologického centra 
  - na oddělení dlouhodobě nemocných jsme v roce 2005 zavedli novou metodu v práci s  pacienty s Alzheimerovou  nemocí - trénování paměti
  - došlo rozšíření nabídky služeb kožního oddělení o možnost chemického peelingu, který je poměrně často klienty využíván
   - v součinnosti infekčního a chirurgického oddělení se podařilo zřídit tzv. MRSA  ambulanci v rámci infekčního oddělení, která se stará o všechny pacienty s touto závažnou infekcí 
     nevyžadující intenzívní péči
 Naši klienti mohou k získání informací využít nemocniční internetové stránky
 Nemocnice pravidelně vydává nemocniční občasník nazvaný "Háčko", ve kterém informuje spolupracovníky i klienty o významných událostech.
 NMR - umístění přístroje v Nemocnici Jihlava bylo schváleno přístrojovou komisí MZČR a jeho nákup bude nutné realizovat do poloviny roku 2006, jinak tento souhlas pozbyde
   platnosti. 
 Management Nemocnice Jihlava měl v rámci procesního řízení stanoveny jasné cíle a hodnotící kriteria na rok 2005. Jejich plnění bude zpracováno a projednáno ve strategickém
   vedení. Hodnocení bude součástí Výroční zprávy nemocnice.
</a:t>
          </a:r>
        </a:p>
      </xdr:txBody>
    </xdr:sp>
    <xdr:clientData/>
  </xdr:twoCellAnchor>
  <xdr:twoCellAnchor>
    <xdr:from>
      <xdr:col>0</xdr:col>
      <xdr:colOff>9525</xdr:colOff>
      <xdr:row>132</xdr:row>
      <xdr:rowOff>0</xdr:rowOff>
    </xdr:from>
    <xdr:to>
      <xdr:col>12</xdr:col>
      <xdr:colOff>0</xdr:colOff>
      <xdr:row>132</xdr:row>
      <xdr:rowOff>0</xdr:rowOff>
    </xdr:to>
    <xdr:sp>
      <xdr:nvSpPr>
        <xdr:cNvPr id="2" name="TextBox 2"/>
        <xdr:cNvSpPr txBox="1">
          <a:spLocks noChangeArrowheads="1"/>
        </xdr:cNvSpPr>
      </xdr:nvSpPr>
      <xdr:spPr>
        <a:xfrm>
          <a:off x="9525" y="25117425"/>
          <a:ext cx="9601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E"/>
              <a:ea typeface="Arial CE"/>
              <a:cs typeface="Arial CE"/>
            </a:rPr>
            <a:t>Komentář: Komentář: Plán výnosů se dařilo plnit díky růstu tržeb od zdravotních pojišťoven, kde se pozitivně projevilo vydání úhradové vyhlášky pro 1. pololetí 2005 prolongované také na druhé pololetí. Nemocnice Jihlava navýšila proti roku 2003, kdy byl příjem od ZP ve výši 484 mil. Kč, během dvou let příjem o 127 mil. Kč (ročně okolo 63 mil. Kč) na hodnotu 611 mil. Kč v roce 2005. Tento nárůst je dán od 2. pololetí 2004 naším typem smlouvy na URČ a využití posledních možností získat úhradu nad rámec paušálu. Na nárůstu ostatních tržeb se také podílí prominutí penále za porušení rozpočtové kázně 4,0 mil. Kč (Dostavba) a užití fondu reprodukce majetku na opravy nemovitého majetku. Nárůst provozních dotací je dán především provozní dotací na oddlužení ze SR ve výši 16,8 mil. Kč, použitím dotace z nájemného placeného kraji na úhradu provozních nákladů ve výši 15,5 mil. Kč a dále dotací na splátky lineárního urychlovače (v roce 2004 splácen jen 4 měsíce), které však ve stejné výši odpovídá nárůst nákladů (nájemné movitých věcí). V důsledku růstu výkonů vzrostla proti plánu spotřeba materiálů a díky růstu cen také spotřeba energií. Nejvýznamnějším činitelem ovlivňujícím náklady byly opět osobní náklady, které plošným navýšením platů zdravotníků díky nařízením vlády od 1.9.2005 vzostly bez jednoznačné vazby na zvýšení produktivity práce. Na překročení plánu nákladů se podílí také prodlužované předání areálu "staré nemocnice", na jejichž pokrytí však kraj poskytl provozní dotaci ve výši 1 mil. Kč. Růstu nákladů na prodané zboží odpovídá nárůst tržeb z jeho prodeje. Náklady negativně ovlivnila dvojí oprava havárie rtg přístroje 4,4 mil. Kč a také nárůst nájemného hrazeného kraji Vysočina ve výši 12,3 mil. Kč.</a:t>
          </a:r>
        </a:p>
      </xdr:txBody>
    </xdr:sp>
    <xdr:clientData/>
  </xdr:twoCellAnchor>
  <xdr:twoCellAnchor>
    <xdr:from>
      <xdr:col>0</xdr:col>
      <xdr:colOff>0</xdr:colOff>
      <xdr:row>62</xdr:row>
      <xdr:rowOff>38100</xdr:rowOff>
    </xdr:from>
    <xdr:to>
      <xdr:col>12</xdr:col>
      <xdr:colOff>0</xdr:colOff>
      <xdr:row>68</xdr:row>
      <xdr:rowOff>0</xdr:rowOff>
    </xdr:to>
    <xdr:sp>
      <xdr:nvSpPr>
        <xdr:cNvPr id="3" name="TextBox 3"/>
        <xdr:cNvSpPr txBox="1">
          <a:spLocks noChangeArrowheads="1"/>
        </xdr:cNvSpPr>
      </xdr:nvSpPr>
      <xdr:spPr>
        <a:xfrm>
          <a:off x="0" y="11753850"/>
          <a:ext cx="961072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CE"/>
              <a:ea typeface="Arial CE"/>
              <a:cs typeface="Arial CE"/>
            </a:rPr>
            <a:t>Komentář: Vývoj závazků probíhal se snižující se tendencí. Od ledna do prosince 2006 je vidět pokles účtu dodavatelé o 80 mil. Kč. Podařila se snížit i doba splatnosti u dodavatelských faktur až na 180 dní po splatnosti. Na snížení doby splatnosti měl významný podíl finanční dar od KÚ. Závazky starší více jak 1 rok byly pouze v lednu a dubnu.
Dlouhodobé závazky se snížily o 27 194 tis. Kč. Byl splacen závazek vůči firmě Phoenix.
Pohledávky byly nižší než v roce 2005 o 34 202 tis. Kč. Odepsáním nejstarších pohledávek (po odsouhlasení KÚ)  byla snížena výše nejstarších pohledávek na 37 tis. Kč.
Úpravou platební morálky VZP byly pohledávky po lhůtě splatnosti do 90 dnů sníženy na pohledávky po lhůtě splatnosti do 30 dnů.
 </a:t>
          </a:r>
        </a:p>
      </xdr:txBody>
    </xdr:sp>
    <xdr:clientData/>
  </xdr:twoCellAnchor>
  <xdr:twoCellAnchor>
    <xdr:from>
      <xdr:col>0</xdr:col>
      <xdr:colOff>0</xdr:colOff>
      <xdr:row>18</xdr:row>
      <xdr:rowOff>104775</xdr:rowOff>
    </xdr:from>
    <xdr:to>
      <xdr:col>12</xdr:col>
      <xdr:colOff>0</xdr:colOff>
      <xdr:row>24</xdr:row>
      <xdr:rowOff>247650</xdr:rowOff>
    </xdr:to>
    <xdr:sp>
      <xdr:nvSpPr>
        <xdr:cNvPr id="4" name="TextBox 4"/>
        <xdr:cNvSpPr txBox="1">
          <a:spLocks noChangeArrowheads="1"/>
        </xdr:cNvSpPr>
      </xdr:nvSpPr>
      <xdr:spPr>
        <a:xfrm>
          <a:off x="0" y="3238500"/>
          <a:ext cx="9610725" cy="1981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CE"/>
              <a:ea typeface="Arial CE"/>
              <a:cs typeface="Arial CE"/>
            </a:rPr>
            <a:t>Komentář: Komentář: 
Náklady vzrostly v roce 2006 o 34 776 tis. Kč a to zejména:
nárůstem mzdových nákladů o 38 150 tis. Kč způsobených navýšením tarifních mezd. Nárůst spotřeby léků byl o 4 650 tis. Kč vlivem změny Úhradové vyhlášky - biologická léčba. K navýšení došlo i u nájemného majetku od KÚ - o 5 600 tis. Kč. Vzhledem k dlouhé a tuhé zimě vzrostly i náklady na spotřebu energií o 4 186 tis. Kč. Naopak významný  pokles nákladů byl u spotřebovaných transfuzních výrobků o 3 570 tis. Kč, dále u oprav o 4 400 tis. Kč (nebyla v minulé roce žádná větší havárie). Vzhledem k lepší platební morálce nedošlo k nárokování úroků z prodlení od dodavatelů - náklady sníženy o 4 500 tis. Kč. Ke snížení nákladů došlo i u úroků o 1 400 tis. Kč - v roce 2005 spláceny firmě Phoenix úroky (za pozdní platby úroky z prodlení + úroky).  V roce 2005 byly odepsány nepotřebné zásloby ze skladů - rozdíl v roce 2006 byl - snížení nákladů o 3 800 tis. Kč.
Výnosy v roce 2006 vzrostly o 32 550 tis. Kč. 
Významně se podílely tržby za výkony od VZP nárůstem o 20 mil. Kč. Vzrostly tržby za zpracování klinických studií o 1 500 tis. Kč. Nejvyšší nárůst tržeb byl způsoben finančním darem od KÚ ve výši 28 mil. Kč. Vyúčtováním od zdravotních pojišťoven za minulá období (2004, 2005) byly navýšeny ostatní výnosy o 19 mil. Kč. 
Ke snížení tržeb došlo u pokut o 3 600 tis. Kč ( v roce 2005 bylo účtováno prominutí penále od Finančního úřadu). U příspěvků a dotací došlo ke snížení o 26 671 tis. Kč. Výnosy jsou sníženy o 3 500 tis. Kč o zaúčtování fondu reprodukce majetku na opravy. 
Hospodářský výsledek byl o 2 186 tis. Kč nižší než v roce 2005. Největší podíl na výši hospodářského výsledku měl finanční dar od KÚ ve výši 28 mil. Kč.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169</xdr:row>
      <xdr:rowOff>0</xdr:rowOff>
    </xdr:from>
    <xdr:to>
      <xdr:col>11</xdr:col>
      <xdr:colOff>666750</xdr:colOff>
      <xdr:row>192</xdr:row>
      <xdr:rowOff>133350</xdr:rowOff>
    </xdr:to>
    <xdr:sp>
      <xdr:nvSpPr>
        <xdr:cNvPr id="1" name="TextBox 2"/>
        <xdr:cNvSpPr txBox="1">
          <a:spLocks noChangeArrowheads="1"/>
        </xdr:cNvSpPr>
      </xdr:nvSpPr>
      <xdr:spPr>
        <a:xfrm>
          <a:off x="0" y="30861000"/>
          <a:ext cx="9620250" cy="385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CE"/>
              <a:ea typeface="Arial CE"/>
              <a:cs typeface="Arial CE"/>
            </a:rPr>
            <a:t>
Rok 2006 byl určován ve zdravotnictví, podobně jako v létech minulých, hledáním celospolečenského konceptu nad podobou koncepce systému českého zdravotnictví. Koncept českého zdravotnictví se tak stal jedním z ústředních témat politické soutěže ve volebním roce 2006 do Parlamentu ČR a do městských zastupitelstev.
Pro občany, pacienty, ale i lékaře a další zdravotníky je asi nejtěžší si přiznat pravdu, že problematika zdravotnictví nemá žádné definitivní řešení, nějakou zázračnou koncepci, která ho zbaví chronických obtíží . Systém zdravotnictví trpí nedostatkem peněz, a to nejen náš, ale i například německý, britský, francouzský atd. Boj o peníze ve zdravotnictví připomíná nelítostný zápas, který se každoročně opakuje a všichni ho podstupujeme samozřejmě ve jménu a pro blaho pacienta.
Naše nemocnice v roce 2006 věnovala velkou pozornost, stejně jako v létech minulých, zvyšování kvality, bezpečnosti pacientů a finanční stabilizaci. Díky dobrému hospodaření jsme byli schopni investovat do oprav, rekonstrukcí stávajících objektů a zakoupení přístrojové techniky celkem 40 miliónů Kč. Od svého zřizovatele Kraje Vysočina jsme obdrželi 21,106.000,- Kč. V roce 2006 jsme dokončili rekonstrukci jednoho patra na gynekologii a též ambulantního traktu v pavilonu, kde sídlí oddělení neurologie. V tomto pavilonu jsme začali rekonstrukci stávajících prostor po očním oddělení ve prospěch plicních ambulancí a též jsme započali rekonstrukci vstupního pavilonu se záměrem začlenit do tohoto pavilonu mikrobiologickou laboratoř. Otevřením druhé lékárny při vstupu do nemocnice jsme zvýšili tržby a též nabídku pro naše klienty.
Provedením stavebních úprav na dětském oddělení se nám podařilo spojit dvě stanice v jednu v důsledku ekonomizace provozu. Finanční prostředky ve výši 11 mil. Kč, které jsme nestihli proinvestovat v roce 2006, jsme převedli do rozpočtu roku 2007, a to na gamakameru a dokončení některých stavebních prací. Stále se nám však nedaří získat finanční prostředky za účelem generální rekonstrukce interního pavilonu, který je v havarijním stavu. Stav interního pavilonu je zcela zásadní problém, který nejsme schopni bez svého zřizovatele řešit.
V oblasti zvyšování kvality a bezpečnosti pacientů jsme úspěšně absolvovali druhý dohledový certifikační audit dle normy EN ISO 9001. Oddělení klinické biochemie prošlo též úspěšně akreditací dle normy EN ISO 15189. Jsem přesvědčen, že si postupně budujeme vhodný základ k akreditaci celé nemocnice, která je našim společným cílem.
Produktivita práce oproti roku 2005 opět stoupla, vyrovnané hospodářství navazuje na léta předchozí, zvyšování průměrných platů u jednotlivých skupin zaměstnanců jsou výsledky, které nám dávají perspektivní podklad k naplnění našeho cíle, a to vize nemocnice:
„Být moderní nemocnicí, která se těší důvěře pacientů a zaměstnanců“.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241</xdr:row>
      <xdr:rowOff>66675</xdr:rowOff>
    </xdr:from>
    <xdr:to>
      <xdr:col>4</xdr:col>
      <xdr:colOff>723900</xdr:colOff>
      <xdr:row>260</xdr:row>
      <xdr:rowOff>19050</xdr:rowOff>
    </xdr:to>
    <xdr:graphicFrame>
      <xdr:nvGraphicFramePr>
        <xdr:cNvPr id="1" name="Chart 1"/>
        <xdr:cNvGraphicFramePr/>
      </xdr:nvGraphicFramePr>
      <xdr:xfrm>
        <a:off x="28575" y="25669875"/>
        <a:ext cx="4467225" cy="3028950"/>
      </xdr:xfrm>
      <a:graphic>
        <a:graphicData uri="http://schemas.openxmlformats.org/drawingml/2006/chart">
          <c:chart xmlns:c="http://schemas.openxmlformats.org/drawingml/2006/chart" r:id="rId1"/>
        </a:graphicData>
      </a:graphic>
    </xdr:graphicFrame>
    <xdr:clientData/>
  </xdr:twoCellAnchor>
  <xdr:twoCellAnchor>
    <xdr:from>
      <xdr:col>4</xdr:col>
      <xdr:colOff>723900</xdr:colOff>
      <xdr:row>241</xdr:row>
      <xdr:rowOff>66675</xdr:rowOff>
    </xdr:from>
    <xdr:to>
      <xdr:col>10</xdr:col>
      <xdr:colOff>742950</xdr:colOff>
      <xdr:row>260</xdr:row>
      <xdr:rowOff>19050</xdr:rowOff>
    </xdr:to>
    <xdr:graphicFrame>
      <xdr:nvGraphicFramePr>
        <xdr:cNvPr id="2" name="Chart 2"/>
        <xdr:cNvGraphicFramePr/>
      </xdr:nvGraphicFramePr>
      <xdr:xfrm>
        <a:off x="4495800" y="25669875"/>
        <a:ext cx="4648200" cy="30289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akoubkova\dokumenty\Documents%20and%20Settings\buricova\Local%20Settings\Temporary%20Internet%20Files\Content.IE5\CHIF0LEZ\%5FPO%5Fstruktura%5Fmezd%5Fkrajskych%5Forganizaci[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Sheet1"/>
      <sheetName val=".xls].xls].xls].xls]Sheet2"/>
      <sheetName val=".xls].xls].xls].xls]Sheet3"/>
      <sheetName val=".xls].xls].xls].xls]Sheet4"/>
      <sheetName val=".xls].xls].xls].xls]Sheet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88"/>
  <sheetViews>
    <sheetView tabSelected="1" workbookViewId="0" topLeftCell="A1">
      <selection activeCell="J8" sqref="J8"/>
    </sheetView>
  </sheetViews>
  <sheetFormatPr defaultColWidth="9.00390625" defaultRowHeight="12.75"/>
  <cols>
    <col min="1" max="1" width="10.00390625" style="0" customWidth="1"/>
    <col min="2" max="2" width="4.875" style="23" customWidth="1"/>
    <col min="3" max="3" width="8.375" style="0" customWidth="1"/>
    <col min="8" max="9" width="9.625" style="0" customWidth="1"/>
    <col min="10" max="11" width="9.75390625" style="0" customWidth="1"/>
    <col min="12" max="15" width="9.625" style="0" customWidth="1"/>
  </cols>
  <sheetData>
    <row r="1" ht="10.5" customHeight="1">
      <c r="M1" s="228" t="s">
        <v>426</v>
      </c>
    </row>
    <row r="2" spans="13:14" ht="12" customHeight="1">
      <c r="M2" s="228" t="s">
        <v>425</v>
      </c>
      <c r="N2" s="136"/>
    </row>
    <row r="3" spans="1:14" ht="18" customHeight="1">
      <c r="A3" s="1254" t="s">
        <v>246</v>
      </c>
      <c r="B3" s="1255"/>
      <c r="C3" s="1255"/>
      <c r="D3" s="1255"/>
      <c r="E3" s="1255"/>
      <c r="F3" s="1255"/>
      <c r="G3" s="1255"/>
      <c r="H3" s="1255"/>
      <c r="I3" s="1255"/>
      <c r="J3" s="1255"/>
      <c r="K3" s="1255"/>
      <c r="L3" s="1255"/>
      <c r="M3" s="1255"/>
      <c r="N3" s="1255"/>
    </row>
    <row r="4" spans="1:14" ht="1.5" customHeight="1" thickBot="1">
      <c r="A4" s="20"/>
      <c r="B4" s="22"/>
      <c r="C4" s="21"/>
      <c r="D4" s="21"/>
      <c r="E4" s="21"/>
      <c r="F4" s="21"/>
      <c r="G4" s="21"/>
      <c r="H4" s="21"/>
      <c r="I4" s="21"/>
      <c r="J4" s="21"/>
      <c r="K4" s="21"/>
      <c r="L4" s="21"/>
      <c r="M4" s="21"/>
      <c r="N4" s="19"/>
    </row>
    <row r="5" spans="1:14" ht="9.75" customHeight="1">
      <c r="A5" s="1250" t="s">
        <v>17</v>
      </c>
      <c r="B5" s="1247" t="s">
        <v>32</v>
      </c>
      <c r="C5" s="1256" t="s">
        <v>18</v>
      </c>
      <c r="D5" s="1257"/>
      <c r="E5" s="1257"/>
      <c r="F5" s="1258"/>
      <c r="G5" s="1257" t="s">
        <v>19</v>
      </c>
      <c r="H5" s="1257"/>
      <c r="I5" s="1257"/>
      <c r="J5" s="1259"/>
      <c r="K5" s="1256" t="s">
        <v>26</v>
      </c>
      <c r="L5" s="1257"/>
      <c r="M5" s="1257"/>
      <c r="N5" s="1258"/>
    </row>
    <row r="6" spans="1:14" ht="9.75" customHeight="1" thickBot="1">
      <c r="A6" s="1251"/>
      <c r="B6" s="1248"/>
      <c r="C6" s="65">
        <v>2003</v>
      </c>
      <c r="D6" s="58">
        <v>2004</v>
      </c>
      <c r="E6" s="58">
        <v>2005</v>
      </c>
      <c r="F6" s="66">
        <v>2006</v>
      </c>
      <c r="G6" s="65">
        <v>2003</v>
      </c>
      <c r="H6" s="58">
        <v>2004</v>
      </c>
      <c r="I6" s="58">
        <v>2005</v>
      </c>
      <c r="J6" s="66">
        <v>2006</v>
      </c>
      <c r="K6" s="65">
        <v>2003</v>
      </c>
      <c r="L6" s="58">
        <v>2004</v>
      </c>
      <c r="M6" s="58">
        <v>2005</v>
      </c>
      <c r="N6" s="53">
        <v>2006</v>
      </c>
    </row>
    <row r="7" spans="1:14" ht="12.75" customHeight="1">
      <c r="A7" s="1260" t="s">
        <v>23</v>
      </c>
      <c r="B7" s="37" t="s">
        <v>33</v>
      </c>
      <c r="C7" s="67">
        <v>47428</v>
      </c>
      <c r="D7" s="59">
        <v>41134</v>
      </c>
      <c r="E7" s="170">
        <v>45713</v>
      </c>
      <c r="F7" s="13">
        <f>+'H.Brod '!C8</f>
        <v>44575</v>
      </c>
      <c r="G7" s="63">
        <v>44590</v>
      </c>
      <c r="H7" s="59">
        <v>43548</v>
      </c>
      <c r="I7" s="170">
        <v>45247</v>
      </c>
      <c r="J7" s="13">
        <f>+'H.Brod '!F8</f>
        <v>47437</v>
      </c>
      <c r="K7" s="67">
        <f aca="true" t="shared" si="0" ref="K7:K38">+G7-C7</f>
        <v>-2838</v>
      </c>
      <c r="L7" s="59">
        <f aca="true" t="shared" si="1" ref="L7:L38">+H7-D7</f>
        <v>2414</v>
      </c>
      <c r="M7" s="170">
        <f aca="true" t="shared" si="2" ref="M7:M38">+I7-E7</f>
        <v>-466</v>
      </c>
      <c r="N7" s="240">
        <f>+J7-F7</f>
        <v>2862</v>
      </c>
    </row>
    <row r="8" spans="1:14" ht="12.75">
      <c r="A8" s="1253"/>
      <c r="B8" s="39" t="s">
        <v>34</v>
      </c>
      <c r="C8" s="14">
        <v>93409</v>
      </c>
      <c r="D8" s="12">
        <v>87280</v>
      </c>
      <c r="E8" s="12">
        <v>89563</v>
      </c>
      <c r="F8" s="5">
        <f>+'H.Brod '!C9</f>
        <v>89441</v>
      </c>
      <c r="G8" s="31">
        <v>87899</v>
      </c>
      <c r="H8" s="12">
        <v>90146</v>
      </c>
      <c r="I8" s="12">
        <v>91213</v>
      </c>
      <c r="J8" s="5">
        <f>+'H.Brod '!F9</f>
        <v>94550</v>
      </c>
      <c r="K8" s="17">
        <f t="shared" si="0"/>
        <v>-5510</v>
      </c>
      <c r="L8" s="11">
        <f t="shared" si="1"/>
        <v>2866</v>
      </c>
      <c r="M8" s="12">
        <f t="shared" si="2"/>
        <v>1650</v>
      </c>
      <c r="N8" s="5">
        <f aca="true" t="shared" si="3" ref="N8:N66">+J8-F8</f>
        <v>5109</v>
      </c>
    </row>
    <row r="9" spans="1:14" ht="12.75">
      <c r="A9" s="1253"/>
      <c r="B9" s="39" t="s">
        <v>35</v>
      </c>
      <c r="C9" s="14">
        <v>140501</v>
      </c>
      <c r="D9" s="12">
        <v>134643</v>
      </c>
      <c r="E9" s="12">
        <v>130839</v>
      </c>
      <c r="F9" s="5">
        <v>144532</v>
      </c>
      <c r="G9" s="31">
        <v>132763</v>
      </c>
      <c r="H9" s="12">
        <v>136024</v>
      </c>
      <c r="I9" s="12">
        <v>134917</v>
      </c>
      <c r="J9" s="5">
        <v>147491</v>
      </c>
      <c r="K9" s="17">
        <f t="shared" si="0"/>
        <v>-7738</v>
      </c>
      <c r="L9" s="11">
        <f t="shared" si="1"/>
        <v>1381</v>
      </c>
      <c r="M9" s="12">
        <f t="shared" si="2"/>
        <v>4078</v>
      </c>
      <c r="N9" s="5">
        <f t="shared" si="3"/>
        <v>2959</v>
      </c>
    </row>
    <row r="10" spans="1:14" ht="12.75">
      <c r="A10" s="1253"/>
      <c r="B10" s="39" t="s">
        <v>36</v>
      </c>
      <c r="C10" s="14">
        <v>187980</v>
      </c>
      <c r="D10" s="12">
        <v>179311</v>
      </c>
      <c r="E10" s="12">
        <v>178565</v>
      </c>
      <c r="F10" s="5">
        <v>195662</v>
      </c>
      <c r="G10" s="31">
        <v>177729</v>
      </c>
      <c r="H10" s="12">
        <v>182890</v>
      </c>
      <c r="I10" s="12">
        <v>188893</v>
      </c>
      <c r="J10" s="5">
        <v>196577</v>
      </c>
      <c r="K10" s="17">
        <f t="shared" si="0"/>
        <v>-10251</v>
      </c>
      <c r="L10" s="11">
        <f t="shared" si="1"/>
        <v>3579</v>
      </c>
      <c r="M10" s="12">
        <f t="shared" si="2"/>
        <v>10328</v>
      </c>
      <c r="N10" s="5">
        <f t="shared" si="3"/>
        <v>915</v>
      </c>
    </row>
    <row r="11" spans="1:14" ht="12.75">
      <c r="A11" s="1253"/>
      <c r="B11" s="39" t="s">
        <v>37</v>
      </c>
      <c r="C11" s="14">
        <v>238559</v>
      </c>
      <c r="D11" s="12">
        <v>225771</v>
      </c>
      <c r="E11" s="12">
        <v>225803</v>
      </c>
      <c r="F11" s="5">
        <v>245855</v>
      </c>
      <c r="G11" s="31">
        <v>221120</v>
      </c>
      <c r="H11" s="12">
        <v>230426</v>
      </c>
      <c r="I11" s="12">
        <v>237124</v>
      </c>
      <c r="J11" s="5">
        <v>246885</v>
      </c>
      <c r="K11" s="17">
        <f t="shared" si="0"/>
        <v>-17439</v>
      </c>
      <c r="L11" s="11">
        <f t="shared" si="1"/>
        <v>4655</v>
      </c>
      <c r="M11" s="12">
        <f t="shared" si="2"/>
        <v>11321</v>
      </c>
      <c r="N11" s="5">
        <f t="shared" si="3"/>
        <v>1030</v>
      </c>
    </row>
    <row r="12" spans="1:14" ht="12.75">
      <c r="A12" s="1253"/>
      <c r="B12" s="39" t="s">
        <v>38</v>
      </c>
      <c r="C12" s="29">
        <v>284063</v>
      </c>
      <c r="D12" s="60">
        <v>273103</v>
      </c>
      <c r="E12" s="60">
        <v>274775</v>
      </c>
      <c r="F12" s="5">
        <v>300770</v>
      </c>
      <c r="G12" s="32">
        <v>273203</v>
      </c>
      <c r="H12" s="60">
        <v>281114</v>
      </c>
      <c r="I12" s="60">
        <v>286101</v>
      </c>
      <c r="J12" s="5">
        <v>301123</v>
      </c>
      <c r="K12" s="17">
        <f t="shared" si="0"/>
        <v>-10860</v>
      </c>
      <c r="L12" s="11">
        <f t="shared" si="1"/>
        <v>8011</v>
      </c>
      <c r="M12" s="60">
        <f t="shared" si="2"/>
        <v>11326</v>
      </c>
      <c r="N12" s="5">
        <f t="shared" si="3"/>
        <v>353</v>
      </c>
    </row>
    <row r="13" spans="1:14" ht="12.75">
      <c r="A13" s="1253"/>
      <c r="B13" s="39" t="s">
        <v>39</v>
      </c>
      <c r="C13" s="27">
        <v>330280</v>
      </c>
      <c r="D13" s="61">
        <v>318225</v>
      </c>
      <c r="E13" s="61">
        <v>321044</v>
      </c>
      <c r="F13" s="5">
        <v>353406</v>
      </c>
      <c r="G13" s="25">
        <v>307701</v>
      </c>
      <c r="H13" s="61">
        <v>323281</v>
      </c>
      <c r="I13" s="61">
        <v>332146</v>
      </c>
      <c r="J13" s="5">
        <v>351603</v>
      </c>
      <c r="K13" s="17">
        <f t="shared" si="0"/>
        <v>-22579</v>
      </c>
      <c r="L13" s="11">
        <f t="shared" si="1"/>
        <v>5056</v>
      </c>
      <c r="M13" s="61">
        <f t="shared" si="2"/>
        <v>11102</v>
      </c>
      <c r="N13" s="5">
        <f t="shared" si="3"/>
        <v>-1803</v>
      </c>
    </row>
    <row r="14" spans="1:14" ht="12.75">
      <c r="A14" s="1253"/>
      <c r="B14" s="39" t="s">
        <v>40</v>
      </c>
      <c r="C14" s="27">
        <v>371959</v>
      </c>
      <c r="D14" s="61">
        <v>358519</v>
      </c>
      <c r="E14" s="61">
        <v>366254</v>
      </c>
      <c r="F14" s="5">
        <v>402965</v>
      </c>
      <c r="G14" s="25">
        <v>344955</v>
      </c>
      <c r="H14" s="61">
        <v>365867</v>
      </c>
      <c r="I14" s="61">
        <v>380110</v>
      </c>
      <c r="J14" s="5">
        <v>401296</v>
      </c>
      <c r="K14" s="14">
        <f t="shared" si="0"/>
        <v>-27004</v>
      </c>
      <c r="L14" s="12">
        <f t="shared" si="1"/>
        <v>7348</v>
      </c>
      <c r="M14" s="61">
        <f t="shared" si="2"/>
        <v>13856</v>
      </c>
      <c r="N14" s="5">
        <f t="shared" si="3"/>
        <v>-1669</v>
      </c>
    </row>
    <row r="15" spans="1:14" ht="12.75">
      <c r="A15" s="1253"/>
      <c r="B15" s="39" t="s">
        <v>41</v>
      </c>
      <c r="C15" s="27">
        <v>423398</v>
      </c>
      <c r="D15" s="61">
        <v>401865</v>
      </c>
      <c r="E15" s="61">
        <v>413097</v>
      </c>
      <c r="F15" s="5">
        <v>453339</v>
      </c>
      <c r="G15" s="25">
        <v>386549</v>
      </c>
      <c r="H15" s="61">
        <v>410677</v>
      </c>
      <c r="I15" s="61">
        <v>427436</v>
      </c>
      <c r="J15" s="5">
        <v>452360</v>
      </c>
      <c r="K15" s="17">
        <f t="shared" si="0"/>
        <v>-36849</v>
      </c>
      <c r="L15" s="11">
        <f t="shared" si="1"/>
        <v>8812</v>
      </c>
      <c r="M15" s="61">
        <f t="shared" si="2"/>
        <v>14339</v>
      </c>
      <c r="N15" s="5">
        <f t="shared" si="3"/>
        <v>-979</v>
      </c>
    </row>
    <row r="16" spans="1:14" ht="12.75">
      <c r="A16" s="1253"/>
      <c r="B16" s="41" t="s">
        <v>42</v>
      </c>
      <c r="C16" s="27">
        <v>470421</v>
      </c>
      <c r="D16" s="61">
        <v>448070</v>
      </c>
      <c r="E16" s="61">
        <v>463507</v>
      </c>
      <c r="F16" s="5">
        <v>508847</v>
      </c>
      <c r="G16" s="25">
        <v>428424</v>
      </c>
      <c r="H16" s="61">
        <v>452664</v>
      </c>
      <c r="I16" s="61">
        <v>475706</v>
      </c>
      <c r="J16" s="5">
        <v>504931</v>
      </c>
      <c r="K16" s="14">
        <f t="shared" si="0"/>
        <v>-41997</v>
      </c>
      <c r="L16" s="12">
        <f t="shared" si="1"/>
        <v>4594</v>
      </c>
      <c r="M16" s="61">
        <f t="shared" si="2"/>
        <v>12199</v>
      </c>
      <c r="N16" s="5">
        <f t="shared" si="3"/>
        <v>-3916</v>
      </c>
    </row>
    <row r="17" spans="1:14" ht="12.75">
      <c r="A17" s="1253"/>
      <c r="B17" s="39" t="s">
        <v>43</v>
      </c>
      <c r="C17" s="27">
        <v>518198</v>
      </c>
      <c r="D17" s="61">
        <v>499946</v>
      </c>
      <c r="E17" s="61">
        <v>514741</v>
      </c>
      <c r="F17" s="5">
        <v>559419</v>
      </c>
      <c r="G17" s="25">
        <v>469007</v>
      </c>
      <c r="H17" s="61">
        <v>495990</v>
      </c>
      <c r="I17" s="61">
        <v>521104</v>
      </c>
      <c r="J17" s="5">
        <v>559252</v>
      </c>
      <c r="K17" s="14">
        <f t="shared" si="0"/>
        <v>-49191</v>
      </c>
      <c r="L17" s="12">
        <f t="shared" si="1"/>
        <v>-3956</v>
      </c>
      <c r="M17" s="61">
        <f t="shared" si="2"/>
        <v>6363</v>
      </c>
      <c r="N17" s="5">
        <f t="shared" si="3"/>
        <v>-167</v>
      </c>
    </row>
    <row r="18" spans="1:14" ht="13.5" thickBot="1">
      <c r="A18" s="1252"/>
      <c r="B18" s="43" t="s">
        <v>44</v>
      </c>
      <c r="C18" s="18">
        <v>567589</v>
      </c>
      <c r="D18" s="62">
        <f>492158.17+55288.46+749.76</f>
        <v>548196.39</v>
      </c>
      <c r="E18" s="62">
        <f>520441.64+48262.97</f>
        <v>568704.61</v>
      </c>
      <c r="F18" s="7">
        <v>618523</v>
      </c>
      <c r="G18" s="25">
        <v>516805</v>
      </c>
      <c r="H18" s="61">
        <f>488322.64+59382.41</f>
        <v>547705.05</v>
      </c>
      <c r="I18" s="6">
        <f>516752.61+52137.16</f>
        <v>568889.77</v>
      </c>
      <c r="J18" s="5">
        <v>623639</v>
      </c>
      <c r="K18" s="27">
        <f t="shared" si="0"/>
        <v>-50784</v>
      </c>
      <c r="L18" s="12">
        <f t="shared" si="1"/>
        <v>-491.3399999999674</v>
      </c>
      <c r="M18" s="61">
        <f t="shared" si="2"/>
        <v>185.1600000000326</v>
      </c>
      <c r="N18" s="7">
        <f t="shared" si="3"/>
        <v>5116</v>
      </c>
    </row>
    <row r="19" spans="1:14" ht="12.75" customHeight="1">
      <c r="A19" s="1260" t="s">
        <v>22</v>
      </c>
      <c r="B19" s="37" t="s">
        <v>33</v>
      </c>
      <c r="C19" s="67">
        <v>56582</v>
      </c>
      <c r="D19" s="59">
        <v>55522</v>
      </c>
      <c r="E19" s="59">
        <v>60955</v>
      </c>
      <c r="F19" s="240">
        <v>66398</v>
      </c>
      <c r="G19" s="63">
        <v>49865</v>
      </c>
      <c r="H19" s="59">
        <v>49017</v>
      </c>
      <c r="I19" s="59">
        <v>59346</v>
      </c>
      <c r="J19" s="240">
        <v>63230</v>
      </c>
      <c r="K19" s="67">
        <f t="shared" si="0"/>
        <v>-6717</v>
      </c>
      <c r="L19" s="59">
        <f t="shared" si="1"/>
        <v>-6505</v>
      </c>
      <c r="M19" s="59">
        <f t="shared" si="2"/>
        <v>-1609</v>
      </c>
      <c r="N19" s="240">
        <f t="shared" si="3"/>
        <v>-3168</v>
      </c>
    </row>
    <row r="20" spans="1:14" ht="12.75">
      <c r="A20" s="1253"/>
      <c r="B20" s="39" t="s">
        <v>34</v>
      </c>
      <c r="C20" s="14">
        <v>112059</v>
      </c>
      <c r="D20" s="12">
        <v>109531</v>
      </c>
      <c r="E20" s="12">
        <v>119838</v>
      </c>
      <c r="F20" s="5">
        <v>131600</v>
      </c>
      <c r="G20" s="31">
        <v>98638</v>
      </c>
      <c r="H20" s="12">
        <v>106535</v>
      </c>
      <c r="I20" s="12">
        <v>121220</v>
      </c>
      <c r="J20" s="5">
        <v>129930</v>
      </c>
      <c r="K20" s="17">
        <f t="shared" si="0"/>
        <v>-13421</v>
      </c>
      <c r="L20" s="11">
        <f t="shared" si="1"/>
        <v>-2996</v>
      </c>
      <c r="M20" s="12">
        <f t="shared" si="2"/>
        <v>1382</v>
      </c>
      <c r="N20" s="5">
        <f t="shared" si="3"/>
        <v>-1670</v>
      </c>
    </row>
    <row r="21" spans="1:14" ht="12.75">
      <c r="A21" s="1253"/>
      <c r="B21" s="39" t="s">
        <v>35</v>
      </c>
      <c r="C21" s="14">
        <v>169918</v>
      </c>
      <c r="D21" s="12">
        <v>167335</v>
      </c>
      <c r="E21" s="12">
        <v>182479</v>
      </c>
      <c r="F21" s="5">
        <v>199871</v>
      </c>
      <c r="G21" s="31">
        <v>147502</v>
      </c>
      <c r="H21" s="12">
        <v>163803</v>
      </c>
      <c r="I21" s="12">
        <v>186319</v>
      </c>
      <c r="J21" s="5">
        <v>203121</v>
      </c>
      <c r="K21" s="17">
        <f t="shared" si="0"/>
        <v>-22416</v>
      </c>
      <c r="L21" s="11">
        <f t="shared" si="1"/>
        <v>-3532</v>
      </c>
      <c r="M21" s="12">
        <f t="shared" si="2"/>
        <v>3840</v>
      </c>
      <c r="N21" s="5">
        <f t="shared" si="3"/>
        <v>3250</v>
      </c>
    </row>
    <row r="22" spans="1:14" ht="12.75">
      <c r="A22" s="1253"/>
      <c r="B22" s="39" t="s">
        <v>36</v>
      </c>
      <c r="C22" s="14">
        <v>226081</v>
      </c>
      <c r="D22" s="12">
        <v>223622</v>
      </c>
      <c r="E22" s="12">
        <v>244713</v>
      </c>
      <c r="F22" s="5">
        <v>265490</v>
      </c>
      <c r="G22" s="31">
        <v>196366</v>
      </c>
      <c r="H22" s="12">
        <v>219969</v>
      </c>
      <c r="I22" s="12">
        <v>246206</v>
      </c>
      <c r="J22" s="5">
        <v>269780</v>
      </c>
      <c r="K22" s="17">
        <f t="shared" si="0"/>
        <v>-29715</v>
      </c>
      <c r="L22" s="11">
        <f t="shared" si="1"/>
        <v>-3653</v>
      </c>
      <c r="M22" s="12">
        <f t="shared" si="2"/>
        <v>1493</v>
      </c>
      <c r="N22" s="5">
        <f t="shared" si="3"/>
        <v>4290</v>
      </c>
    </row>
    <row r="23" spans="1:14" ht="12.75">
      <c r="A23" s="1253"/>
      <c r="B23" s="39" t="s">
        <v>37</v>
      </c>
      <c r="C23" s="14">
        <v>296216</v>
      </c>
      <c r="D23" s="12">
        <v>285049</v>
      </c>
      <c r="E23" s="12">
        <v>310115</v>
      </c>
      <c r="F23" s="5">
        <v>332929</v>
      </c>
      <c r="G23" s="31">
        <v>246698</v>
      </c>
      <c r="H23" s="12">
        <v>276252</v>
      </c>
      <c r="I23" s="12">
        <v>307262</v>
      </c>
      <c r="J23" s="5">
        <v>337049</v>
      </c>
      <c r="K23" s="17">
        <f t="shared" si="0"/>
        <v>-49518</v>
      </c>
      <c r="L23" s="11">
        <f t="shared" si="1"/>
        <v>-8797</v>
      </c>
      <c r="M23" s="12">
        <f t="shared" si="2"/>
        <v>-2853</v>
      </c>
      <c r="N23" s="5">
        <f t="shared" si="3"/>
        <v>4120</v>
      </c>
    </row>
    <row r="24" spans="1:14" ht="12.75">
      <c r="A24" s="1253"/>
      <c r="B24" s="39" t="s">
        <v>38</v>
      </c>
      <c r="C24" s="29">
        <v>354105</v>
      </c>
      <c r="D24" s="60">
        <v>342881</v>
      </c>
      <c r="E24" s="60">
        <v>376685</v>
      </c>
      <c r="F24" s="5">
        <v>400949</v>
      </c>
      <c r="G24" s="32">
        <v>279910</v>
      </c>
      <c r="H24" s="60">
        <v>332464</v>
      </c>
      <c r="I24" s="60">
        <v>372154</v>
      </c>
      <c r="J24" s="5">
        <v>420248</v>
      </c>
      <c r="K24" s="17">
        <f t="shared" si="0"/>
        <v>-74195</v>
      </c>
      <c r="L24" s="11">
        <f t="shared" si="1"/>
        <v>-10417</v>
      </c>
      <c r="M24" s="60">
        <f t="shared" si="2"/>
        <v>-4531</v>
      </c>
      <c r="N24" s="5">
        <f t="shared" si="3"/>
        <v>19299</v>
      </c>
    </row>
    <row r="25" spans="1:14" ht="12.75">
      <c r="A25" s="1253"/>
      <c r="B25" s="39" t="s">
        <v>39</v>
      </c>
      <c r="C25" s="27">
        <v>412177</v>
      </c>
      <c r="D25" s="61">
        <v>401189</v>
      </c>
      <c r="E25" s="61">
        <v>441074</v>
      </c>
      <c r="F25" s="30">
        <v>468988</v>
      </c>
      <c r="G25" s="25">
        <v>327600</v>
      </c>
      <c r="H25" s="61">
        <v>383066</v>
      </c>
      <c r="I25" s="61">
        <v>429547</v>
      </c>
      <c r="J25" s="60">
        <v>490452</v>
      </c>
      <c r="K25" s="17">
        <f t="shared" si="0"/>
        <v>-84577</v>
      </c>
      <c r="L25" s="11">
        <f t="shared" si="1"/>
        <v>-18123</v>
      </c>
      <c r="M25" s="61">
        <f t="shared" si="2"/>
        <v>-11527</v>
      </c>
      <c r="N25" s="5">
        <f t="shared" si="3"/>
        <v>21464</v>
      </c>
    </row>
    <row r="26" spans="1:14" ht="12.75">
      <c r="A26" s="1253"/>
      <c r="B26" s="39" t="s">
        <v>40</v>
      </c>
      <c r="C26" s="14">
        <v>465848</v>
      </c>
      <c r="D26" s="12">
        <v>455752</v>
      </c>
      <c r="E26" s="12">
        <v>502246</v>
      </c>
      <c r="F26" s="5">
        <v>533584</v>
      </c>
      <c r="G26" s="31">
        <v>379575</v>
      </c>
      <c r="H26" s="12">
        <v>431591</v>
      </c>
      <c r="I26" s="12">
        <v>499232</v>
      </c>
      <c r="J26" s="12">
        <v>556900</v>
      </c>
      <c r="K26" s="14">
        <f t="shared" si="0"/>
        <v>-86273</v>
      </c>
      <c r="L26" s="12">
        <f t="shared" si="1"/>
        <v>-24161</v>
      </c>
      <c r="M26" s="12">
        <f t="shared" si="2"/>
        <v>-3014</v>
      </c>
      <c r="N26" s="5">
        <f t="shared" si="3"/>
        <v>23316</v>
      </c>
    </row>
    <row r="27" spans="1:14" ht="12.75">
      <c r="A27" s="1253"/>
      <c r="B27" s="39" t="s">
        <v>41</v>
      </c>
      <c r="C27" s="17">
        <v>528045</v>
      </c>
      <c r="D27" s="11">
        <v>515578</v>
      </c>
      <c r="E27" s="11">
        <v>569311</v>
      </c>
      <c r="F27" s="3">
        <v>599997</v>
      </c>
      <c r="G27" s="64">
        <v>422485</v>
      </c>
      <c r="H27" s="11">
        <v>506983</v>
      </c>
      <c r="I27" s="11">
        <v>559067</v>
      </c>
      <c r="J27" s="11">
        <v>613747</v>
      </c>
      <c r="K27" s="17">
        <f t="shared" si="0"/>
        <v>-105560</v>
      </c>
      <c r="L27" s="12">
        <f t="shared" si="1"/>
        <v>-8595</v>
      </c>
      <c r="M27" s="11">
        <f t="shared" si="2"/>
        <v>-10244</v>
      </c>
      <c r="N27" s="5">
        <f t="shared" si="3"/>
        <v>13750</v>
      </c>
    </row>
    <row r="28" spans="1:14" ht="12.75">
      <c r="A28" s="1253"/>
      <c r="B28" s="41" t="s">
        <v>42</v>
      </c>
      <c r="C28" s="27">
        <v>584702</v>
      </c>
      <c r="D28" s="61">
        <v>574702</v>
      </c>
      <c r="E28" s="61">
        <v>634612</v>
      </c>
      <c r="F28" s="5">
        <v>671121</v>
      </c>
      <c r="G28" s="25">
        <v>477606</v>
      </c>
      <c r="H28" s="61">
        <v>556726</v>
      </c>
      <c r="I28" s="61">
        <v>621656</v>
      </c>
      <c r="J28" s="5">
        <v>679970</v>
      </c>
      <c r="K28" s="14">
        <f t="shared" si="0"/>
        <v>-107096</v>
      </c>
      <c r="L28" s="12">
        <f t="shared" si="1"/>
        <v>-17976</v>
      </c>
      <c r="M28" s="61">
        <f t="shared" si="2"/>
        <v>-12956</v>
      </c>
      <c r="N28" s="5">
        <f t="shared" si="3"/>
        <v>8849</v>
      </c>
    </row>
    <row r="29" spans="1:14" ht="12.75">
      <c r="A29" s="1253"/>
      <c r="B29" s="39" t="s">
        <v>43</v>
      </c>
      <c r="C29" s="27">
        <v>645215</v>
      </c>
      <c r="D29" s="61">
        <v>638781</v>
      </c>
      <c r="E29" s="61">
        <v>699748</v>
      </c>
      <c r="F29" s="5">
        <v>740708</v>
      </c>
      <c r="G29" s="25">
        <v>528555</v>
      </c>
      <c r="H29" s="61">
        <v>619388</v>
      </c>
      <c r="I29" s="61">
        <v>687532</v>
      </c>
      <c r="J29" s="5">
        <v>745477</v>
      </c>
      <c r="K29" s="14">
        <f t="shared" si="0"/>
        <v>-116660</v>
      </c>
      <c r="L29" s="12">
        <f t="shared" si="1"/>
        <v>-19393</v>
      </c>
      <c r="M29" s="61">
        <f t="shared" si="2"/>
        <v>-12216</v>
      </c>
      <c r="N29" s="5">
        <f t="shared" si="3"/>
        <v>4769</v>
      </c>
    </row>
    <row r="30" spans="1:14" ht="13.5" thickBot="1">
      <c r="A30" s="1252"/>
      <c r="B30" s="43" t="s">
        <v>44</v>
      </c>
      <c r="C30" s="18">
        <v>730286</v>
      </c>
      <c r="D30" s="62">
        <f>699019.56+3283.37</f>
        <v>702302.93</v>
      </c>
      <c r="E30" s="62">
        <f>686283.35+89349.01+2971.54</f>
        <v>778603.9</v>
      </c>
      <c r="F30" s="5">
        <v>813380</v>
      </c>
      <c r="G30" s="25">
        <v>587012</v>
      </c>
      <c r="H30" s="160">
        <v>697713</v>
      </c>
      <c r="I30" s="202">
        <f>703503.09+101089.84</f>
        <v>804592.9299999999</v>
      </c>
      <c r="J30" s="7">
        <v>837183</v>
      </c>
      <c r="K30" s="27">
        <f t="shared" si="0"/>
        <v>-143274</v>
      </c>
      <c r="L30" s="12">
        <f t="shared" si="1"/>
        <v>-4589.930000000051</v>
      </c>
      <c r="M30" s="160">
        <f t="shared" si="2"/>
        <v>25989.02999999991</v>
      </c>
      <c r="N30" s="7">
        <f t="shared" si="3"/>
        <v>23803</v>
      </c>
    </row>
    <row r="31" spans="1:14" ht="12.75" customHeight="1">
      <c r="A31" s="1260" t="s">
        <v>21</v>
      </c>
      <c r="B31" s="37" t="s">
        <v>33</v>
      </c>
      <c r="C31" s="67">
        <v>36875</v>
      </c>
      <c r="D31" s="59">
        <v>36335</v>
      </c>
      <c r="E31" s="59">
        <v>38866</v>
      </c>
      <c r="F31" s="240">
        <v>42821</v>
      </c>
      <c r="G31" s="63">
        <v>30351</v>
      </c>
      <c r="H31" s="59">
        <v>30338</v>
      </c>
      <c r="I31" s="59">
        <v>31044</v>
      </c>
      <c r="J31" s="240">
        <v>38260</v>
      </c>
      <c r="K31" s="67">
        <f t="shared" si="0"/>
        <v>-6524</v>
      </c>
      <c r="L31" s="59">
        <f t="shared" si="1"/>
        <v>-5997</v>
      </c>
      <c r="M31" s="59">
        <f t="shared" si="2"/>
        <v>-7822</v>
      </c>
      <c r="N31" s="240">
        <f t="shared" si="3"/>
        <v>-4561</v>
      </c>
    </row>
    <row r="32" spans="1:14" ht="12.75">
      <c r="A32" s="1253"/>
      <c r="B32" s="39" t="s">
        <v>34</v>
      </c>
      <c r="C32" s="14">
        <v>67009</v>
      </c>
      <c r="D32" s="12">
        <v>68293</v>
      </c>
      <c r="E32" s="12">
        <v>71146</v>
      </c>
      <c r="F32" s="5">
        <v>78081</v>
      </c>
      <c r="G32" s="31">
        <v>62564</v>
      </c>
      <c r="H32" s="12">
        <v>62719</v>
      </c>
      <c r="I32" s="12">
        <v>61643</v>
      </c>
      <c r="J32" s="5">
        <v>74038</v>
      </c>
      <c r="K32" s="17">
        <f t="shared" si="0"/>
        <v>-4445</v>
      </c>
      <c r="L32" s="11">
        <f t="shared" si="1"/>
        <v>-5574</v>
      </c>
      <c r="M32" s="12">
        <f t="shared" si="2"/>
        <v>-9503</v>
      </c>
      <c r="N32" s="5">
        <f t="shared" si="3"/>
        <v>-4043</v>
      </c>
    </row>
    <row r="33" spans="1:14" ht="12.75">
      <c r="A33" s="1253"/>
      <c r="B33" s="39" t="s">
        <v>35</v>
      </c>
      <c r="C33" s="14">
        <v>99151</v>
      </c>
      <c r="D33" s="12">
        <v>101120</v>
      </c>
      <c r="E33" s="12">
        <v>104231</v>
      </c>
      <c r="F33" s="5">
        <v>115622</v>
      </c>
      <c r="G33" s="31">
        <v>94805</v>
      </c>
      <c r="H33" s="12">
        <v>99867</v>
      </c>
      <c r="I33" s="12">
        <v>94177</v>
      </c>
      <c r="J33" s="5">
        <v>109602</v>
      </c>
      <c r="K33" s="17">
        <f t="shared" si="0"/>
        <v>-4346</v>
      </c>
      <c r="L33" s="11">
        <f t="shared" si="1"/>
        <v>-1253</v>
      </c>
      <c r="M33" s="12">
        <f t="shared" si="2"/>
        <v>-10054</v>
      </c>
      <c r="N33" s="5">
        <f t="shared" si="3"/>
        <v>-6020</v>
      </c>
    </row>
    <row r="34" spans="1:14" ht="12.75">
      <c r="A34" s="1253"/>
      <c r="B34" s="39" t="s">
        <v>36</v>
      </c>
      <c r="C34" s="14">
        <v>131362</v>
      </c>
      <c r="D34" s="12">
        <v>135283</v>
      </c>
      <c r="E34" s="12">
        <v>141564</v>
      </c>
      <c r="F34" s="5">
        <v>153656</v>
      </c>
      <c r="G34" s="31">
        <v>124775</v>
      </c>
      <c r="H34" s="12">
        <v>134936</v>
      </c>
      <c r="I34" s="12">
        <v>130301</v>
      </c>
      <c r="J34" s="5">
        <v>144023</v>
      </c>
      <c r="K34" s="17">
        <f t="shared" si="0"/>
        <v>-6587</v>
      </c>
      <c r="L34" s="11">
        <f t="shared" si="1"/>
        <v>-347</v>
      </c>
      <c r="M34" s="12">
        <f t="shared" si="2"/>
        <v>-11263</v>
      </c>
      <c r="N34" s="5">
        <f t="shared" si="3"/>
        <v>-9633</v>
      </c>
    </row>
    <row r="35" spans="1:14" ht="12.75">
      <c r="A35" s="1253"/>
      <c r="B35" s="39" t="s">
        <v>37</v>
      </c>
      <c r="C35" s="14">
        <v>169542</v>
      </c>
      <c r="D35" s="12">
        <v>167812</v>
      </c>
      <c r="E35" s="12">
        <v>173539</v>
      </c>
      <c r="F35" s="5">
        <v>191049</v>
      </c>
      <c r="G35" s="31">
        <v>157858</v>
      </c>
      <c r="H35" s="12">
        <v>169510</v>
      </c>
      <c r="I35" s="12">
        <v>164264</v>
      </c>
      <c r="J35" s="5">
        <v>180343</v>
      </c>
      <c r="K35" s="14">
        <f t="shared" si="0"/>
        <v>-11684</v>
      </c>
      <c r="L35" s="11">
        <f t="shared" si="1"/>
        <v>1698</v>
      </c>
      <c r="M35" s="12">
        <f t="shared" si="2"/>
        <v>-9275</v>
      </c>
      <c r="N35" s="5">
        <f t="shared" si="3"/>
        <v>-10706</v>
      </c>
    </row>
    <row r="36" spans="1:14" ht="12.75">
      <c r="A36" s="1253"/>
      <c r="B36" s="39" t="s">
        <v>38</v>
      </c>
      <c r="C36" s="29">
        <v>200786</v>
      </c>
      <c r="D36" s="60">
        <v>200842</v>
      </c>
      <c r="E36" s="60">
        <v>206906</v>
      </c>
      <c r="F36" s="5">
        <v>227779</v>
      </c>
      <c r="G36" s="32">
        <v>191550</v>
      </c>
      <c r="H36" s="60">
        <v>210749</v>
      </c>
      <c r="I36" s="60">
        <v>201042</v>
      </c>
      <c r="J36" s="5">
        <v>217415</v>
      </c>
      <c r="K36" s="17">
        <f t="shared" si="0"/>
        <v>-9236</v>
      </c>
      <c r="L36" s="11">
        <f t="shared" si="1"/>
        <v>9907</v>
      </c>
      <c r="M36" s="60">
        <f t="shared" si="2"/>
        <v>-5864</v>
      </c>
      <c r="N36" s="5">
        <f t="shared" si="3"/>
        <v>-10364</v>
      </c>
    </row>
    <row r="37" spans="1:14" ht="12.75">
      <c r="A37" s="1253"/>
      <c r="B37" s="39" t="s">
        <v>39</v>
      </c>
      <c r="C37" s="27">
        <v>230948</v>
      </c>
      <c r="D37" s="61">
        <v>232448</v>
      </c>
      <c r="E37" s="61">
        <v>239310</v>
      </c>
      <c r="F37" s="5">
        <v>264363</v>
      </c>
      <c r="G37" s="25">
        <v>221507</v>
      </c>
      <c r="H37" s="61">
        <v>238381</v>
      </c>
      <c r="I37" s="61">
        <v>232845</v>
      </c>
      <c r="J37" s="5">
        <v>251859</v>
      </c>
      <c r="K37" s="17">
        <f t="shared" si="0"/>
        <v>-9441</v>
      </c>
      <c r="L37" s="11">
        <f t="shared" si="1"/>
        <v>5933</v>
      </c>
      <c r="M37" s="61">
        <f t="shared" si="2"/>
        <v>-6465</v>
      </c>
      <c r="N37" s="5">
        <f t="shared" si="3"/>
        <v>-12504</v>
      </c>
    </row>
    <row r="38" spans="1:14" ht="12.75">
      <c r="A38" s="1253"/>
      <c r="B38" s="39" t="s">
        <v>40</v>
      </c>
      <c r="C38" s="27">
        <v>258229</v>
      </c>
      <c r="D38" s="61">
        <v>261948</v>
      </c>
      <c r="E38" s="61">
        <v>271406</v>
      </c>
      <c r="F38" s="5">
        <v>298273</v>
      </c>
      <c r="G38" s="25">
        <v>247782</v>
      </c>
      <c r="H38" s="61">
        <v>265712</v>
      </c>
      <c r="I38" s="61">
        <v>265452</v>
      </c>
      <c r="J38" s="5">
        <v>285922</v>
      </c>
      <c r="K38" s="17">
        <f t="shared" si="0"/>
        <v>-10447</v>
      </c>
      <c r="L38" s="11">
        <f t="shared" si="1"/>
        <v>3764</v>
      </c>
      <c r="M38" s="61">
        <f t="shared" si="2"/>
        <v>-5954</v>
      </c>
      <c r="N38" s="5">
        <f t="shared" si="3"/>
        <v>-12351</v>
      </c>
    </row>
    <row r="39" spans="1:14" ht="12.75">
      <c r="A39" s="1253"/>
      <c r="B39" s="39" t="s">
        <v>41</v>
      </c>
      <c r="C39" s="14">
        <v>288576</v>
      </c>
      <c r="D39" s="12">
        <v>293234</v>
      </c>
      <c r="E39" s="12">
        <v>305069</v>
      </c>
      <c r="F39" s="5">
        <v>334132</v>
      </c>
      <c r="G39" s="31">
        <v>278409</v>
      </c>
      <c r="H39" s="12">
        <v>295292</v>
      </c>
      <c r="I39" s="12">
        <v>300683</v>
      </c>
      <c r="J39" s="5">
        <v>329565</v>
      </c>
      <c r="K39" s="14">
        <f aca="true" t="shared" si="4" ref="K39:K66">+G39-C39</f>
        <v>-10167</v>
      </c>
      <c r="L39" s="12">
        <f aca="true" t="shared" si="5" ref="L39:L66">+H39-D39</f>
        <v>2058</v>
      </c>
      <c r="M39" s="12">
        <f aca="true" t="shared" si="6" ref="M39:M66">+I39-E39</f>
        <v>-4386</v>
      </c>
      <c r="N39" s="5">
        <f t="shared" si="3"/>
        <v>-4567</v>
      </c>
    </row>
    <row r="40" spans="1:14" ht="12.75">
      <c r="A40" s="1253"/>
      <c r="B40" s="41" t="s">
        <v>42</v>
      </c>
      <c r="C40" s="27">
        <v>318925</v>
      </c>
      <c r="D40" s="61">
        <v>327243</v>
      </c>
      <c r="E40" s="61">
        <v>342978</v>
      </c>
      <c r="F40" s="5">
        <v>372762</v>
      </c>
      <c r="G40" s="25">
        <v>311285</v>
      </c>
      <c r="H40" s="61">
        <v>323544</v>
      </c>
      <c r="I40" s="61">
        <v>334203</v>
      </c>
      <c r="J40" s="5">
        <v>368718</v>
      </c>
      <c r="K40" s="14">
        <f t="shared" si="4"/>
        <v>-7640</v>
      </c>
      <c r="L40" s="12">
        <f t="shared" si="5"/>
        <v>-3699</v>
      </c>
      <c r="M40" s="61">
        <f t="shared" si="6"/>
        <v>-8775</v>
      </c>
      <c r="N40" s="5">
        <f t="shared" si="3"/>
        <v>-4044</v>
      </c>
    </row>
    <row r="41" spans="1:14" ht="12.75">
      <c r="A41" s="1253"/>
      <c r="B41" s="39" t="s">
        <v>43</v>
      </c>
      <c r="C41" s="27">
        <v>352774</v>
      </c>
      <c r="D41" s="61">
        <v>362794</v>
      </c>
      <c r="E41" s="61">
        <v>379850</v>
      </c>
      <c r="F41" s="5">
        <v>410932</v>
      </c>
      <c r="G41" s="25">
        <v>339922</v>
      </c>
      <c r="H41" s="61">
        <v>356646</v>
      </c>
      <c r="I41" s="61">
        <v>371148</v>
      </c>
      <c r="J41" s="5">
        <v>403696</v>
      </c>
      <c r="K41" s="14">
        <f t="shared" si="4"/>
        <v>-12852</v>
      </c>
      <c r="L41" s="12">
        <f t="shared" si="5"/>
        <v>-6148</v>
      </c>
      <c r="M41" s="61">
        <f t="shared" si="6"/>
        <v>-8702</v>
      </c>
      <c r="N41" s="5">
        <f t="shared" si="3"/>
        <v>-7236</v>
      </c>
    </row>
    <row r="42" spans="1:14" ht="13.5" thickBot="1">
      <c r="A42" s="1252"/>
      <c r="B42" s="43" t="s">
        <v>44</v>
      </c>
      <c r="C42" s="18">
        <f>383925+6040.01+46.28-1493.35</f>
        <v>388517.94000000006</v>
      </c>
      <c r="D42" s="62">
        <f>388000.91+1881.02+88.84</f>
        <v>389970.77</v>
      </c>
      <c r="E42" s="62">
        <v>415021</v>
      </c>
      <c r="F42" s="5">
        <v>445948</v>
      </c>
      <c r="G42" s="26">
        <f>387589.48+1330.58</f>
        <v>388920.06</v>
      </c>
      <c r="H42" s="62">
        <f>389069.53+972.23</f>
        <v>390041.76</v>
      </c>
      <c r="I42" s="62">
        <v>415166</v>
      </c>
      <c r="J42" s="5">
        <v>446129</v>
      </c>
      <c r="K42" s="18">
        <f t="shared" si="4"/>
        <v>402.11999999993714</v>
      </c>
      <c r="L42" s="62">
        <f t="shared" si="5"/>
        <v>70.98999999999069</v>
      </c>
      <c r="M42" s="62">
        <f t="shared" si="6"/>
        <v>145</v>
      </c>
      <c r="N42" s="7">
        <f t="shared" si="3"/>
        <v>181</v>
      </c>
    </row>
    <row r="43" spans="1:14" ht="12.75">
      <c r="A43" s="1260" t="s">
        <v>20</v>
      </c>
      <c r="B43" s="37" t="s">
        <v>33</v>
      </c>
      <c r="C43" s="67">
        <v>41452</v>
      </c>
      <c r="D43" s="59">
        <v>39207</v>
      </c>
      <c r="E43" s="59">
        <v>40489</v>
      </c>
      <c r="F43" s="240">
        <v>47017.28</v>
      </c>
      <c r="G43" s="64">
        <v>36042</v>
      </c>
      <c r="H43" s="11">
        <v>38842</v>
      </c>
      <c r="I43" s="11">
        <v>42258</v>
      </c>
      <c r="J43" s="240">
        <v>44449.8</v>
      </c>
      <c r="K43" s="17">
        <f t="shared" si="4"/>
        <v>-5410</v>
      </c>
      <c r="L43" s="11">
        <f t="shared" si="5"/>
        <v>-365</v>
      </c>
      <c r="M43" s="11">
        <f t="shared" si="6"/>
        <v>1769</v>
      </c>
      <c r="N43" s="240">
        <f t="shared" si="3"/>
        <v>-2567.479999999996</v>
      </c>
    </row>
    <row r="44" spans="1:14" ht="13.5" customHeight="1">
      <c r="A44" s="1253"/>
      <c r="B44" s="39" t="s">
        <v>34</v>
      </c>
      <c r="C44" s="14">
        <v>79125</v>
      </c>
      <c r="D44" s="12">
        <v>78893</v>
      </c>
      <c r="E44" s="12">
        <v>82040</v>
      </c>
      <c r="F44" s="5">
        <v>93067.31</v>
      </c>
      <c r="G44" s="31">
        <v>72671</v>
      </c>
      <c r="H44" s="12">
        <v>79388</v>
      </c>
      <c r="I44" s="12">
        <v>84060</v>
      </c>
      <c r="J44" s="5">
        <v>89382.5</v>
      </c>
      <c r="K44" s="17">
        <f t="shared" si="4"/>
        <v>-6454</v>
      </c>
      <c r="L44" s="11">
        <f t="shared" si="5"/>
        <v>495</v>
      </c>
      <c r="M44" s="12">
        <f t="shared" si="6"/>
        <v>2020</v>
      </c>
      <c r="N44" s="5">
        <f t="shared" si="3"/>
        <v>-3684.8099999999977</v>
      </c>
    </row>
    <row r="45" spans="1:14" ht="12.75">
      <c r="A45" s="1253"/>
      <c r="B45" s="39" t="s">
        <v>35</v>
      </c>
      <c r="C45" s="14">
        <v>117959</v>
      </c>
      <c r="D45" s="12">
        <v>120364</v>
      </c>
      <c r="E45" s="12">
        <v>123851</v>
      </c>
      <c r="F45" s="5">
        <v>137950.28</v>
      </c>
      <c r="G45" s="31">
        <v>114577</v>
      </c>
      <c r="H45" s="12">
        <v>124813</v>
      </c>
      <c r="I45" s="12">
        <v>128123</v>
      </c>
      <c r="J45" s="5">
        <v>138143.92</v>
      </c>
      <c r="K45" s="17">
        <f t="shared" si="4"/>
        <v>-3382</v>
      </c>
      <c r="L45" s="11">
        <f t="shared" si="5"/>
        <v>4449</v>
      </c>
      <c r="M45" s="12">
        <f t="shared" si="6"/>
        <v>4272</v>
      </c>
      <c r="N45" s="5">
        <f t="shared" si="3"/>
        <v>193.64000000001397</v>
      </c>
    </row>
    <row r="46" spans="1:14" ht="12.75">
      <c r="A46" s="1253"/>
      <c r="B46" s="39" t="s">
        <v>36</v>
      </c>
      <c r="C46" s="14">
        <v>158028</v>
      </c>
      <c r="D46" s="12">
        <v>160939</v>
      </c>
      <c r="E46" s="12">
        <v>165020</v>
      </c>
      <c r="F46" s="5">
        <v>187641.12</v>
      </c>
      <c r="G46" s="31">
        <v>152045</v>
      </c>
      <c r="H46" s="12">
        <v>165311</v>
      </c>
      <c r="I46" s="12">
        <v>167842</v>
      </c>
      <c r="J46" s="5">
        <v>184964.03</v>
      </c>
      <c r="K46" s="17">
        <f t="shared" si="4"/>
        <v>-5983</v>
      </c>
      <c r="L46" s="11">
        <f t="shared" si="5"/>
        <v>4372</v>
      </c>
      <c r="M46" s="12">
        <f t="shared" si="6"/>
        <v>2822</v>
      </c>
      <c r="N46" s="5">
        <f t="shared" si="3"/>
        <v>-2677.0899999999965</v>
      </c>
    </row>
    <row r="47" spans="1:14" ht="12.75">
      <c r="A47" s="1253"/>
      <c r="B47" s="39" t="s">
        <v>37</v>
      </c>
      <c r="C47" s="14">
        <v>204999</v>
      </c>
      <c r="D47" s="12">
        <v>206115</v>
      </c>
      <c r="E47" s="12">
        <v>208574</v>
      </c>
      <c r="F47" s="5">
        <v>232755</v>
      </c>
      <c r="G47" s="31">
        <v>195828</v>
      </c>
      <c r="H47" s="12">
        <v>211973</v>
      </c>
      <c r="I47" s="12">
        <v>211626</v>
      </c>
      <c r="J47" s="5">
        <v>231314</v>
      </c>
      <c r="K47" s="14">
        <f t="shared" si="4"/>
        <v>-9171</v>
      </c>
      <c r="L47" s="12">
        <f t="shared" si="5"/>
        <v>5858</v>
      </c>
      <c r="M47" s="12">
        <f t="shared" si="6"/>
        <v>3052</v>
      </c>
      <c r="N47" s="5">
        <f t="shared" si="3"/>
        <v>-1441</v>
      </c>
    </row>
    <row r="48" spans="1:14" ht="12.75">
      <c r="A48" s="1253"/>
      <c r="B48" s="39" t="s">
        <v>38</v>
      </c>
      <c r="C48" s="29">
        <v>242473</v>
      </c>
      <c r="D48" s="60">
        <v>246744</v>
      </c>
      <c r="E48" s="60">
        <v>246574</v>
      </c>
      <c r="F48" s="5">
        <v>275888</v>
      </c>
      <c r="G48" s="32">
        <v>241979</v>
      </c>
      <c r="H48" s="60">
        <v>262350</v>
      </c>
      <c r="I48" s="60">
        <v>256078</v>
      </c>
      <c r="J48" s="5">
        <v>280246</v>
      </c>
      <c r="K48" s="17">
        <f t="shared" si="4"/>
        <v>-494</v>
      </c>
      <c r="L48" s="11">
        <f t="shared" si="5"/>
        <v>15606</v>
      </c>
      <c r="M48" s="60">
        <f t="shared" si="6"/>
        <v>9504</v>
      </c>
      <c r="N48" s="5">
        <f t="shared" si="3"/>
        <v>4358</v>
      </c>
    </row>
    <row r="49" spans="1:14" ht="12.75">
      <c r="A49" s="1253"/>
      <c r="B49" s="39" t="s">
        <v>39</v>
      </c>
      <c r="C49" s="27">
        <v>281545</v>
      </c>
      <c r="D49" s="61">
        <v>287114</v>
      </c>
      <c r="E49" s="61">
        <v>289938</v>
      </c>
      <c r="F49" s="5">
        <v>325467</v>
      </c>
      <c r="G49" s="25">
        <v>275508</v>
      </c>
      <c r="H49" s="61">
        <v>300536</v>
      </c>
      <c r="I49" s="61">
        <v>299311</v>
      </c>
      <c r="J49" s="5">
        <v>330705</v>
      </c>
      <c r="K49" s="17">
        <f t="shared" si="4"/>
        <v>-6037</v>
      </c>
      <c r="L49" s="11">
        <f t="shared" si="5"/>
        <v>13422</v>
      </c>
      <c r="M49" s="61">
        <f t="shared" si="6"/>
        <v>9373</v>
      </c>
      <c r="N49" s="5">
        <f t="shared" si="3"/>
        <v>5238</v>
      </c>
    </row>
    <row r="50" spans="1:14" ht="12.75">
      <c r="A50" s="1253"/>
      <c r="B50" s="39" t="s">
        <v>40</v>
      </c>
      <c r="C50" s="27">
        <v>317724</v>
      </c>
      <c r="D50" s="61">
        <v>326561</v>
      </c>
      <c r="E50" s="61">
        <v>331967</v>
      </c>
      <c r="F50" s="5">
        <v>372543</v>
      </c>
      <c r="G50" s="25">
        <v>310246</v>
      </c>
      <c r="H50" s="61">
        <v>339201</v>
      </c>
      <c r="I50" s="61">
        <v>342465</v>
      </c>
      <c r="J50" s="5">
        <v>378597</v>
      </c>
      <c r="K50" s="17">
        <f t="shared" si="4"/>
        <v>-7478</v>
      </c>
      <c r="L50" s="11">
        <f t="shared" si="5"/>
        <v>12640</v>
      </c>
      <c r="M50" s="61">
        <f t="shared" si="6"/>
        <v>10498</v>
      </c>
      <c r="N50" s="5">
        <f t="shared" si="3"/>
        <v>6054</v>
      </c>
    </row>
    <row r="51" spans="1:14" ht="12.75">
      <c r="A51" s="1253"/>
      <c r="B51" s="39" t="s">
        <v>41</v>
      </c>
      <c r="C51" s="27">
        <v>358074</v>
      </c>
      <c r="D51" s="61">
        <v>366739</v>
      </c>
      <c r="E51" s="61">
        <v>381726</v>
      </c>
      <c r="F51" s="5">
        <v>418998</v>
      </c>
      <c r="G51" s="25">
        <v>348921</v>
      </c>
      <c r="H51" s="61">
        <v>382284</v>
      </c>
      <c r="I51" s="61">
        <v>383990</v>
      </c>
      <c r="J51" s="5">
        <v>424659</v>
      </c>
      <c r="K51" s="17">
        <f t="shared" si="4"/>
        <v>-9153</v>
      </c>
      <c r="L51" s="11">
        <f t="shared" si="5"/>
        <v>15545</v>
      </c>
      <c r="M51" s="61">
        <f t="shared" si="6"/>
        <v>2264</v>
      </c>
      <c r="N51" s="5">
        <f t="shared" si="3"/>
        <v>5661</v>
      </c>
    </row>
    <row r="52" spans="1:14" ht="12.75">
      <c r="A52" s="1253"/>
      <c r="B52" s="41" t="s">
        <v>42</v>
      </c>
      <c r="C52" s="27">
        <v>393910</v>
      </c>
      <c r="D52" s="61">
        <v>409919</v>
      </c>
      <c r="E52" s="61">
        <v>430828</v>
      </c>
      <c r="F52" s="5">
        <v>469489</v>
      </c>
      <c r="G52" s="25">
        <v>391183</v>
      </c>
      <c r="H52" s="61">
        <v>418906</v>
      </c>
      <c r="I52" s="61">
        <v>427657</v>
      </c>
      <c r="J52" s="5">
        <v>470601</v>
      </c>
      <c r="K52" s="14">
        <f t="shared" si="4"/>
        <v>-2727</v>
      </c>
      <c r="L52" s="12">
        <f t="shared" si="5"/>
        <v>8987</v>
      </c>
      <c r="M52" s="61">
        <f t="shared" si="6"/>
        <v>-3171</v>
      </c>
      <c r="N52" s="5">
        <f t="shared" si="3"/>
        <v>1112</v>
      </c>
    </row>
    <row r="53" spans="1:14" ht="12.75">
      <c r="A53" s="1253"/>
      <c r="B53" s="39" t="s">
        <v>43</v>
      </c>
      <c r="C53" s="27">
        <v>444455</v>
      </c>
      <c r="D53" s="61">
        <v>454034</v>
      </c>
      <c r="E53" s="61">
        <v>475219</v>
      </c>
      <c r="F53" s="5">
        <v>517769</v>
      </c>
      <c r="G53" s="25">
        <v>429259</v>
      </c>
      <c r="H53" s="61">
        <v>458511</v>
      </c>
      <c r="I53" s="61">
        <v>478398</v>
      </c>
      <c r="J53" s="5">
        <v>520292</v>
      </c>
      <c r="K53" s="14">
        <f t="shared" si="4"/>
        <v>-15196</v>
      </c>
      <c r="L53" s="12">
        <f t="shared" si="5"/>
        <v>4477</v>
      </c>
      <c r="M53" s="61">
        <f t="shared" si="6"/>
        <v>3179</v>
      </c>
      <c r="N53" s="5">
        <f t="shared" si="3"/>
        <v>2523</v>
      </c>
    </row>
    <row r="54" spans="1:14" ht="13.5" thickBot="1">
      <c r="A54" s="1252"/>
      <c r="B54" s="43" t="s">
        <v>44</v>
      </c>
      <c r="C54" s="18">
        <v>489954</v>
      </c>
      <c r="D54" s="62">
        <f>497519.6+3239.28+1304.4-62.32</f>
        <v>502000.96</v>
      </c>
      <c r="E54" s="62">
        <v>526005</v>
      </c>
      <c r="F54" s="5">
        <v>569937.76</v>
      </c>
      <c r="G54" s="25">
        <v>483959</v>
      </c>
      <c r="H54" s="61">
        <f>497878.41+4391.86</f>
        <v>502270.26999999996</v>
      </c>
      <c r="I54" s="61">
        <v>526009</v>
      </c>
      <c r="J54" s="5">
        <v>569939.37</v>
      </c>
      <c r="K54" s="27">
        <f t="shared" si="4"/>
        <v>-5995</v>
      </c>
      <c r="L54" s="12">
        <f t="shared" si="5"/>
        <v>269.30999999993946</v>
      </c>
      <c r="M54" s="61">
        <f t="shared" si="6"/>
        <v>4</v>
      </c>
      <c r="N54" s="7">
        <f t="shared" si="3"/>
        <v>1.6099999999860302</v>
      </c>
    </row>
    <row r="55" spans="1:14" ht="12.75" customHeight="1">
      <c r="A55" s="1260" t="s">
        <v>99</v>
      </c>
      <c r="B55" s="37" t="s">
        <v>33</v>
      </c>
      <c r="C55" s="67">
        <v>40837</v>
      </c>
      <c r="D55" s="59">
        <v>43732</v>
      </c>
      <c r="E55" s="59">
        <v>45733</v>
      </c>
      <c r="F55" s="240">
        <v>48203</v>
      </c>
      <c r="G55" s="63">
        <v>40961</v>
      </c>
      <c r="H55" s="59">
        <v>40263</v>
      </c>
      <c r="I55" s="59">
        <v>44183</v>
      </c>
      <c r="J55" s="240">
        <v>44237</v>
      </c>
      <c r="K55" s="67">
        <f t="shared" si="4"/>
        <v>124</v>
      </c>
      <c r="L55" s="59">
        <f t="shared" si="5"/>
        <v>-3469</v>
      </c>
      <c r="M55" s="59">
        <f t="shared" si="6"/>
        <v>-1550</v>
      </c>
      <c r="N55" s="240">
        <f t="shared" si="3"/>
        <v>-3966</v>
      </c>
    </row>
    <row r="56" spans="1:14" ht="12.75">
      <c r="A56" s="1253"/>
      <c r="B56" s="39" t="s">
        <v>34</v>
      </c>
      <c r="C56" s="14">
        <v>79152</v>
      </c>
      <c r="D56" s="12">
        <v>85818</v>
      </c>
      <c r="E56" s="12">
        <v>88910</v>
      </c>
      <c r="F56" s="5">
        <v>96946</v>
      </c>
      <c r="G56" s="31">
        <v>82378</v>
      </c>
      <c r="H56" s="12">
        <v>80802</v>
      </c>
      <c r="I56" s="12">
        <v>88947</v>
      </c>
      <c r="J56" s="5">
        <v>91060</v>
      </c>
      <c r="K56" s="17">
        <f t="shared" si="4"/>
        <v>3226</v>
      </c>
      <c r="L56" s="11">
        <f t="shared" si="5"/>
        <v>-5016</v>
      </c>
      <c r="M56" s="12">
        <f t="shared" si="6"/>
        <v>37</v>
      </c>
      <c r="N56" s="5">
        <f t="shared" si="3"/>
        <v>-5886</v>
      </c>
    </row>
    <row r="57" spans="1:14" ht="12.75">
      <c r="A57" s="1253"/>
      <c r="B57" s="39" t="s">
        <v>35</v>
      </c>
      <c r="C57" s="14">
        <v>117441</v>
      </c>
      <c r="D57" s="12">
        <v>130527</v>
      </c>
      <c r="E57" s="12">
        <v>132135</v>
      </c>
      <c r="F57" s="5">
        <v>145205</v>
      </c>
      <c r="G57" s="31">
        <v>127709</v>
      </c>
      <c r="H57" s="12">
        <v>130281</v>
      </c>
      <c r="I57" s="12">
        <v>133715</v>
      </c>
      <c r="J57" s="5">
        <v>139292</v>
      </c>
      <c r="K57" s="17">
        <f t="shared" si="4"/>
        <v>10268</v>
      </c>
      <c r="L57" s="11">
        <f t="shared" si="5"/>
        <v>-246</v>
      </c>
      <c r="M57" s="12">
        <f t="shared" si="6"/>
        <v>1580</v>
      </c>
      <c r="N57" s="5">
        <f t="shared" si="3"/>
        <v>-5913</v>
      </c>
    </row>
    <row r="58" spans="1:14" ht="12.75">
      <c r="A58" s="1253"/>
      <c r="B58" s="39" t="s">
        <v>36</v>
      </c>
      <c r="C58" s="14">
        <v>156824</v>
      </c>
      <c r="D58" s="12">
        <v>176136</v>
      </c>
      <c r="E58" s="12">
        <v>180885</v>
      </c>
      <c r="F58" s="5">
        <v>194764</v>
      </c>
      <c r="G58" s="31">
        <v>171611</v>
      </c>
      <c r="H58" s="12">
        <v>174194</v>
      </c>
      <c r="I58" s="12">
        <v>184923</v>
      </c>
      <c r="J58" s="5">
        <v>185695</v>
      </c>
      <c r="K58" s="17">
        <f t="shared" si="4"/>
        <v>14787</v>
      </c>
      <c r="L58" s="11">
        <f t="shared" si="5"/>
        <v>-1942</v>
      </c>
      <c r="M58" s="12">
        <f t="shared" si="6"/>
        <v>4038</v>
      </c>
      <c r="N58" s="5">
        <f t="shared" si="3"/>
        <v>-9069</v>
      </c>
    </row>
    <row r="59" spans="1:14" ht="12.75">
      <c r="A59" s="1253"/>
      <c r="B59" s="39" t="s">
        <v>37</v>
      </c>
      <c r="C59" s="14">
        <v>206229</v>
      </c>
      <c r="D59" s="12">
        <v>221733</v>
      </c>
      <c r="E59" s="12">
        <v>225141</v>
      </c>
      <c r="F59" s="5">
        <v>243089</v>
      </c>
      <c r="G59" s="31">
        <v>200846</v>
      </c>
      <c r="H59" s="12">
        <v>216049</v>
      </c>
      <c r="I59" s="12">
        <v>230179</v>
      </c>
      <c r="J59" s="5">
        <v>233310</v>
      </c>
      <c r="K59" s="17">
        <f t="shared" si="4"/>
        <v>-5383</v>
      </c>
      <c r="L59" s="11">
        <f t="shared" si="5"/>
        <v>-5684</v>
      </c>
      <c r="M59" s="12">
        <f t="shared" si="6"/>
        <v>5038</v>
      </c>
      <c r="N59" s="5">
        <f t="shared" si="3"/>
        <v>-9779</v>
      </c>
    </row>
    <row r="60" spans="1:14" ht="12.75">
      <c r="A60" s="1253"/>
      <c r="B60" s="39" t="s">
        <v>38</v>
      </c>
      <c r="C60" s="29">
        <v>261063</v>
      </c>
      <c r="D60" s="60">
        <v>263778</v>
      </c>
      <c r="E60" s="60">
        <v>269611</v>
      </c>
      <c r="F60" s="5">
        <v>290003</v>
      </c>
      <c r="G60" s="32">
        <v>249471</v>
      </c>
      <c r="H60" s="60">
        <v>267629</v>
      </c>
      <c r="I60" s="60">
        <v>274427</v>
      </c>
      <c r="J60" s="5">
        <v>290060</v>
      </c>
      <c r="K60" s="17">
        <f t="shared" si="4"/>
        <v>-11592</v>
      </c>
      <c r="L60" s="11">
        <f t="shared" si="5"/>
        <v>3851</v>
      </c>
      <c r="M60" s="60">
        <f t="shared" si="6"/>
        <v>4816</v>
      </c>
      <c r="N60" s="5">
        <f t="shared" si="3"/>
        <v>57</v>
      </c>
    </row>
    <row r="61" spans="1:14" ht="12.75">
      <c r="A61" s="1253"/>
      <c r="B61" s="39" t="s">
        <v>39</v>
      </c>
      <c r="C61" s="27">
        <v>304342</v>
      </c>
      <c r="D61" s="61">
        <v>308724</v>
      </c>
      <c r="E61" s="61">
        <v>315678</v>
      </c>
      <c r="F61" s="5">
        <v>337637</v>
      </c>
      <c r="G61" s="25">
        <v>294372</v>
      </c>
      <c r="H61" s="61">
        <v>309252</v>
      </c>
      <c r="I61" s="61">
        <v>319816</v>
      </c>
      <c r="J61" s="5">
        <v>337255</v>
      </c>
      <c r="K61" s="17">
        <f t="shared" si="4"/>
        <v>-9970</v>
      </c>
      <c r="L61" s="11">
        <f t="shared" si="5"/>
        <v>528</v>
      </c>
      <c r="M61" s="61">
        <f t="shared" si="6"/>
        <v>4138</v>
      </c>
      <c r="N61" s="5">
        <f t="shared" si="3"/>
        <v>-382</v>
      </c>
    </row>
    <row r="62" spans="1:14" ht="12.75">
      <c r="A62" s="1253"/>
      <c r="B62" s="39" t="s">
        <v>40</v>
      </c>
      <c r="C62" s="27">
        <v>344752</v>
      </c>
      <c r="D62" s="61">
        <v>351939</v>
      </c>
      <c r="E62" s="61">
        <v>360623</v>
      </c>
      <c r="F62" s="5">
        <v>384700</v>
      </c>
      <c r="G62" s="25">
        <v>334551</v>
      </c>
      <c r="H62" s="61">
        <v>351787</v>
      </c>
      <c r="I62" s="61">
        <v>366611</v>
      </c>
      <c r="J62" s="5">
        <v>384434</v>
      </c>
      <c r="K62" s="17">
        <f t="shared" si="4"/>
        <v>-10201</v>
      </c>
      <c r="L62" s="11">
        <f t="shared" si="5"/>
        <v>-152</v>
      </c>
      <c r="M62" s="61">
        <f t="shared" si="6"/>
        <v>5988</v>
      </c>
      <c r="N62" s="5">
        <f t="shared" si="3"/>
        <v>-266</v>
      </c>
    </row>
    <row r="63" spans="1:14" ht="14.25" customHeight="1">
      <c r="A63" s="1253"/>
      <c r="B63" s="39" t="s">
        <v>41</v>
      </c>
      <c r="C63" s="27">
        <v>386788</v>
      </c>
      <c r="D63" s="61">
        <v>395914</v>
      </c>
      <c r="E63" s="61">
        <v>406245</v>
      </c>
      <c r="F63" s="5">
        <v>432981</v>
      </c>
      <c r="G63" s="25">
        <v>376467</v>
      </c>
      <c r="H63" s="61">
        <v>401026</v>
      </c>
      <c r="I63" s="61">
        <v>416566</v>
      </c>
      <c r="J63" s="5">
        <v>433360</v>
      </c>
      <c r="K63" s="17">
        <f t="shared" si="4"/>
        <v>-10321</v>
      </c>
      <c r="L63" s="11">
        <f t="shared" si="5"/>
        <v>5112</v>
      </c>
      <c r="M63" s="61">
        <f t="shared" si="6"/>
        <v>10321</v>
      </c>
      <c r="N63" s="5">
        <f t="shared" si="3"/>
        <v>379</v>
      </c>
    </row>
    <row r="64" spans="1:14" ht="12.75">
      <c r="A64" s="1249"/>
      <c r="B64" s="41" t="s">
        <v>42</v>
      </c>
      <c r="C64" s="27">
        <v>429180</v>
      </c>
      <c r="D64" s="61">
        <v>439054</v>
      </c>
      <c r="E64" s="61">
        <v>456527</v>
      </c>
      <c r="F64" s="5">
        <v>482433</v>
      </c>
      <c r="G64" s="25">
        <v>416902</v>
      </c>
      <c r="H64" s="61">
        <v>443150</v>
      </c>
      <c r="I64" s="61">
        <v>461279</v>
      </c>
      <c r="J64" s="5">
        <v>484037</v>
      </c>
      <c r="K64" s="14">
        <f t="shared" si="4"/>
        <v>-12278</v>
      </c>
      <c r="L64" s="12">
        <f t="shared" si="5"/>
        <v>4096</v>
      </c>
      <c r="M64" s="61">
        <f t="shared" si="6"/>
        <v>4752</v>
      </c>
      <c r="N64" s="5">
        <f t="shared" si="3"/>
        <v>1604</v>
      </c>
    </row>
    <row r="65" spans="1:14" ht="12.75">
      <c r="A65" s="1249"/>
      <c r="B65" s="39" t="s">
        <v>43</v>
      </c>
      <c r="C65" s="27">
        <v>480243</v>
      </c>
      <c r="D65" s="61">
        <v>487967</v>
      </c>
      <c r="E65" s="61">
        <v>507557</v>
      </c>
      <c r="F65" s="5">
        <v>532902</v>
      </c>
      <c r="G65" s="25">
        <v>455909</v>
      </c>
      <c r="H65" s="61">
        <v>490192</v>
      </c>
      <c r="I65" s="61">
        <v>512680</v>
      </c>
      <c r="J65" s="5">
        <v>532321</v>
      </c>
      <c r="K65" s="14">
        <f t="shared" si="4"/>
        <v>-24334</v>
      </c>
      <c r="L65" s="12">
        <f t="shared" si="5"/>
        <v>2225</v>
      </c>
      <c r="M65" s="61">
        <f t="shared" si="6"/>
        <v>5123</v>
      </c>
      <c r="N65" s="5">
        <f t="shared" si="3"/>
        <v>-581</v>
      </c>
    </row>
    <row r="66" spans="1:14" ht="13.5" thickBot="1">
      <c r="A66" s="1249"/>
      <c r="B66" s="161" t="s">
        <v>44</v>
      </c>
      <c r="C66" s="27">
        <v>524740</v>
      </c>
      <c r="D66" s="61">
        <f>531790.23+2228.9</f>
        <v>534019.13</v>
      </c>
      <c r="E66" s="61">
        <v>556831</v>
      </c>
      <c r="F66" s="5">
        <v>582992</v>
      </c>
      <c r="G66" s="25">
        <v>522437</v>
      </c>
      <c r="H66" s="61">
        <f>531176.27+2975.21</f>
        <v>534151.48</v>
      </c>
      <c r="I66" s="61">
        <v>556912</v>
      </c>
      <c r="J66" s="5">
        <v>583041</v>
      </c>
      <c r="K66" s="27">
        <f t="shared" si="4"/>
        <v>-2303</v>
      </c>
      <c r="L66" s="61">
        <f t="shared" si="5"/>
        <v>132.34999999997672</v>
      </c>
      <c r="M66" s="61">
        <f t="shared" si="6"/>
        <v>81</v>
      </c>
      <c r="N66" s="7">
        <f t="shared" si="3"/>
        <v>49</v>
      </c>
    </row>
    <row r="67" spans="1:14" ht="13.5" thickBot="1">
      <c r="A67" s="162" t="s">
        <v>24</v>
      </c>
      <c r="B67" s="163" t="s">
        <v>44</v>
      </c>
      <c r="C67" s="164">
        <f>+C66+C54+C42+C30+C18</f>
        <v>2701086.94</v>
      </c>
      <c r="D67" s="165">
        <f>+D66+D54+D42+D30+D18</f>
        <v>2676490.18</v>
      </c>
      <c r="E67" s="165">
        <f>+E66+E54+E42+E30+E18</f>
        <v>2845165.51</v>
      </c>
      <c r="F67" s="165">
        <f>+F66+F54+F42+F30+F18</f>
        <v>3030780.76</v>
      </c>
      <c r="G67" s="164">
        <f aca="true" t="shared" si="7" ref="G67:N67">+G66+G54+G42+G30+G18</f>
        <v>2499133.06</v>
      </c>
      <c r="H67" s="165">
        <f t="shared" si="7"/>
        <v>2671881.5599999996</v>
      </c>
      <c r="I67" s="165">
        <f t="shared" si="7"/>
        <v>2871569.6999999997</v>
      </c>
      <c r="J67" s="165">
        <f t="shared" si="7"/>
        <v>3059931.37</v>
      </c>
      <c r="K67" s="164">
        <f t="shared" si="7"/>
        <v>-201953.88000000006</v>
      </c>
      <c r="L67" s="165">
        <f t="shared" si="7"/>
        <v>-4608.620000000112</v>
      </c>
      <c r="M67" s="165">
        <f t="shared" si="7"/>
        <v>26404.189999999944</v>
      </c>
      <c r="N67" s="166">
        <f t="shared" si="7"/>
        <v>29150.609999999986</v>
      </c>
    </row>
    <row r="68" ht="5.25" customHeight="1">
      <c r="B68"/>
    </row>
    <row r="69" ht="16.5" customHeight="1" thickBot="1">
      <c r="A69" s="16" t="s">
        <v>117</v>
      </c>
    </row>
    <row r="70" spans="1:14" ht="13.5" thickBot="1">
      <c r="A70" s="1240" t="s">
        <v>17</v>
      </c>
      <c r="B70" s="1237"/>
      <c r="C70" s="1235" t="s">
        <v>120</v>
      </c>
      <c r="D70" s="1236"/>
      <c r="E70" s="1233"/>
      <c r="F70" s="1235">
        <v>2003</v>
      </c>
      <c r="G70" s="1236"/>
      <c r="H70" s="1233"/>
      <c r="I70" s="1235" t="s">
        <v>122</v>
      </c>
      <c r="J70" s="1236"/>
      <c r="K70" s="1236"/>
      <c r="L70" s="1235" t="s">
        <v>142</v>
      </c>
      <c r="M70" s="1236"/>
      <c r="N70" s="1233"/>
    </row>
    <row r="71" spans="1:14" ht="12.75">
      <c r="A71" s="1238"/>
      <c r="B71" s="1239"/>
      <c r="C71" s="1234" t="s">
        <v>118</v>
      </c>
      <c r="D71" s="1242" t="s">
        <v>119</v>
      </c>
      <c r="E71" s="1261" t="s">
        <v>121</v>
      </c>
      <c r="F71" s="1234" t="s">
        <v>118</v>
      </c>
      <c r="G71" s="1242" t="s">
        <v>119</v>
      </c>
      <c r="H71" s="1261" t="s">
        <v>121</v>
      </c>
      <c r="I71" s="1234" t="s">
        <v>118</v>
      </c>
      <c r="J71" s="1242" t="s">
        <v>119</v>
      </c>
      <c r="K71" s="1244" t="s">
        <v>121</v>
      </c>
      <c r="L71" s="1246" t="s">
        <v>118</v>
      </c>
      <c r="M71" s="1242" t="s">
        <v>119</v>
      </c>
      <c r="N71" s="1261" t="s">
        <v>146</v>
      </c>
    </row>
    <row r="72" spans="1:14" ht="23.25" customHeight="1" thickBot="1">
      <c r="A72" s="1238"/>
      <c r="B72" s="1239"/>
      <c r="C72" s="1232"/>
      <c r="D72" s="1243"/>
      <c r="E72" s="1262"/>
      <c r="F72" s="1232"/>
      <c r="G72" s="1243"/>
      <c r="H72" s="1262"/>
      <c r="I72" s="1232"/>
      <c r="J72" s="1243"/>
      <c r="K72" s="1245"/>
      <c r="L72" s="1241"/>
      <c r="M72" s="1243"/>
      <c r="N72" s="1262"/>
    </row>
    <row r="73" spans="1:14" ht="12.75">
      <c r="A73" s="1263" t="s">
        <v>23</v>
      </c>
      <c r="B73" s="1264"/>
      <c r="C73" s="173">
        <v>-287268.93</v>
      </c>
      <c r="D73" s="170">
        <v>-29882.5</v>
      </c>
      <c r="E73" s="5">
        <f>SUM(C73:D73)</f>
        <v>-317151.43</v>
      </c>
      <c r="F73" s="173">
        <v>-285584</v>
      </c>
      <c r="G73" s="170">
        <v>-50784</v>
      </c>
      <c r="H73" s="5">
        <f>+F73+G73</f>
        <v>-336368</v>
      </c>
      <c r="I73" s="173">
        <v>-325173</v>
      </c>
      <c r="J73" s="170">
        <v>-491</v>
      </c>
      <c r="K73" s="12">
        <f>+I73+J73</f>
        <v>-325664</v>
      </c>
      <c r="L73" s="180">
        <v>-44271.79</v>
      </c>
      <c r="M73" s="170">
        <f>+M18</f>
        <v>185.1600000000326</v>
      </c>
      <c r="N73" s="5">
        <f>+L73+M73</f>
        <v>-44086.62999999997</v>
      </c>
    </row>
    <row r="74" spans="1:14" ht="12.75">
      <c r="A74" s="1263" t="s">
        <v>22</v>
      </c>
      <c r="B74" s="1264"/>
      <c r="C74" s="174">
        <v>-86309.42</v>
      </c>
      <c r="D74" s="12">
        <v>-62706.14</v>
      </c>
      <c r="E74" s="5">
        <f>SUM(C74:D74)</f>
        <v>-149015.56</v>
      </c>
      <c r="F74" s="174">
        <v>-104523</v>
      </c>
      <c r="G74" s="12">
        <v>-143274</v>
      </c>
      <c r="H74" s="5">
        <f>+F74+G74</f>
        <v>-247797</v>
      </c>
      <c r="I74" s="174">
        <v>-224395</v>
      </c>
      <c r="J74" s="12">
        <v>-4590</v>
      </c>
      <c r="K74" s="12">
        <f>+I74+J74</f>
        <v>-228985</v>
      </c>
      <c r="L74" s="14">
        <v>-119329.51</v>
      </c>
      <c r="M74" s="12">
        <f>+M30</f>
        <v>25989.02999999991</v>
      </c>
      <c r="N74" s="5">
        <f>+L74+M74</f>
        <v>-93340.48000000008</v>
      </c>
    </row>
    <row r="75" spans="1:14" ht="12.75">
      <c r="A75" s="1263" t="s">
        <v>21</v>
      </c>
      <c r="B75" s="1264"/>
      <c r="C75" s="174">
        <v>-819.03</v>
      </c>
      <c r="D75" s="12">
        <v>416.39</v>
      </c>
      <c r="E75" s="5">
        <f>SUM(C75:D75)</f>
        <v>-402.64</v>
      </c>
      <c r="F75" s="174">
        <v>0</v>
      </c>
      <c r="G75" s="12">
        <v>402</v>
      </c>
      <c r="H75" s="5">
        <f>+F75+G75</f>
        <v>402</v>
      </c>
      <c r="I75" s="174">
        <v>0</v>
      </c>
      <c r="J75" s="12">
        <v>71</v>
      </c>
      <c r="K75" s="12">
        <f>+I75+J75</f>
        <v>71</v>
      </c>
      <c r="L75" s="14">
        <v>0</v>
      </c>
      <c r="M75" s="12">
        <f>+M42</f>
        <v>145</v>
      </c>
      <c r="N75" s="5">
        <v>0</v>
      </c>
    </row>
    <row r="76" spans="1:14" ht="12.75">
      <c r="A76" s="1263" t="s">
        <v>20</v>
      </c>
      <c r="B76" s="1264"/>
      <c r="C76" s="174">
        <v>-246270.12</v>
      </c>
      <c r="D76" s="12">
        <v>163480.24</v>
      </c>
      <c r="E76" s="5">
        <f>SUM(C76:D76)</f>
        <v>-82789.88</v>
      </c>
      <c r="F76" s="174">
        <v>-54950</v>
      </c>
      <c r="G76" s="12">
        <v>-5995</v>
      </c>
      <c r="H76" s="5">
        <f>+F76+G76</f>
        <v>-60945</v>
      </c>
      <c r="I76" s="174">
        <v>-52908</v>
      </c>
      <c r="J76" s="12">
        <v>269</v>
      </c>
      <c r="K76" s="12">
        <f>+I76+J76</f>
        <v>-52639</v>
      </c>
      <c r="L76" s="14">
        <v>-18880.2</v>
      </c>
      <c r="M76" s="12">
        <f>+M54</f>
        <v>4</v>
      </c>
      <c r="N76" s="5">
        <f>+L76+M76</f>
        <v>-18876.2</v>
      </c>
    </row>
    <row r="77" spans="1:14" ht="12.75">
      <c r="A77" s="1263" t="s">
        <v>25</v>
      </c>
      <c r="B77" s="1264"/>
      <c r="C77" s="174">
        <v>-23942.43</v>
      </c>
      <c r="D77" s="12">
        <v>-23034.76</v>
      </c>
      <c r="E77" s="5">
        <f>SUM(C77:D77)</f>
        <v>-46977.19</v>
      </c>
      <c r="F77" s="174">
        <v>-16728</v>
      </c>
      <c r="G77" s="12">
        <v>-2303</v>
      </c>
      <c r="H77" s="5">
        <f>+F77+G77</f>
        <v>-19031</v>
      </c>
      <c r="I77" s="174">
        <v>-19031</v>
      </c>
      <c r="J77" s="12">
        <v>132</v>
      </c>
      <c r="K77" s="12">
        <f>+I77+J77</f>
        <v>-18899</v>
      </c>
      <c r="L77" s="14">
        <v>0</v>
      </c>
      <c r="M77" s="12">
        <f>+M66</f>
        <v>81</v>
      </c>
      <c r="N77" s="5">
        <v>0</v>
      </c>
    </row>
    <row r="78" spans="1:14" ht="13.5" thickBot="1">
      <c r="A78" s="1265" t="s">
        <v>24</v>
      </c>
      <c r="B78" s="1266"/>
      <c r="C78" s="171">
        <f aca="true" t="shared" si="8" ref="C78:N78">SUM(C73:C77)</f>
        <v>-644609.93</v>
      </c>
      <c r="D78" s="172">
        <f t="shared" si="8"/>
        <v>48273.229999999996</v>
      </c>
      <c r="E78" s="15">
        <f t="shared" si="8"/>
        <v>-596336.7</v>
      </c>
      <c r="F78" s="171">
        <f t="shared" si="8"/>
        <v>-461785</v>
      </c>
      <c r="G78" s="172">
        <f t="shared" si="8"/>
        <v>-201954</v>
      </c>
      <c r="H78" s="15">
        <f t="shared" si="8"/>
        <v>-663739</v>
      </c>
      <c r="I78" s="171">
        <f t="shared" si="8"/>
        <v>-621507</v>
      </c>
      <c r="J78" s="172">
        <f t="shared" si="8"/>
        <v>-4609</v>
      </c>
      <c r="K78" s="172">
        <f t="shared" si="8"/>
        <v>-626116</v>
      </c>
      <c r="L78" s="181">
        <f t="shared" si="8"/>
        <v>-182481.5</v>
      </c>
      <c r="M78" s="172">
        <f>SUM(M73:M77)</f>
        <v>26404.189999999944</v>
      </c>
      <c r="N78" s="15">
        <f t="shared" si="8"/>
        <v>-156303.31000000006</v>
      </c>
    </row>
    <row r="79" ht="6.75" customHeight="1" thickBot="1">
      <c r="B79"/>
    </row>
    <row r="80" spans="1:10" ht="11.25" customHeight="1" thickBot="1">
      <c r="A80" s="1240" t="s">
        <v>17</v>
      </c>
      <c r="B80" s="1237"/>
      <c r="C80" s="1235" t="s">
        <v>245</v>
      </c>
      <c r="D80" s="1236"/>
      <c r="E80" s="1233"/>
      <c r="J80" s="153"/>
    </row>
    <row r="81" spans="1:10" ht="12.75">
      <c r="A81" s="1238"/>
      <c r="B81" s="1239"/>
      <c r="C81" s="1234" t="s">
        <v>118</v>
      </c>
      <c r="D81" s="1242" t="s">
        <v>119</v>
      </c>
      <c r="E81" s="1261" t="s">
        <v>121</v>
      </c>
      <c r="J81" s="153"/>
    </row>
    <row r="82" spans="1:10" ht="18" customHeight="1" thickBot="1">
      <c r="A82" s="1238"/>
      <c r="B82" s="1239"/>
      <c r="C82" s="1232"/>
      <c r="D82" s="1243"/>
      <c r="E82" s="1262"/>
      <c r="J82" s="153"/>
    </row>
    <row r="83" spans="1:10" ht="12.75">
      <c r="A83" s="1263" t="s">
        <v>23</v>
      </c>
      <c r="B83" s="1264"/>
      <c r="C83" s="173">
        <v>-44086.64</v>
      </c>
      <c r="D83" s="170">
        <f>+N18</f>
        <v>5116</v>
      </c>
      <c r="E83" s="5">
        <f>SUM(C83:D83)</f>
        <v>-38970.64</v>
      </c>
      <c r="J83" s="153"/>
    </row>
    <row r="84" spans="1:10" ht="12.75">
      <c r="A84" s="1263" t="s">
        <v>22</v>
      </c>
      <c r="B84" s="1264"/>
      <c r="C84" s="174">
        <v>-93340.48</v>
      </c>
      <c r="D84" s="12">
        <f>+N30</f>
        <v>23803</v>
      </c>
      <c r="E84" s="5">
        <f>SUM(C84:D84)</f>
        <v>-69537.48</v>
      </c>
      <c r="J84" s="153"/>
    </row>
    <row r="85" spans="1:10" ht="12.75">
      <c r="A85" s="1263" t="s">
        <v>21</v>
      </c>
      <c r="B85" s="1264"/>
      <c r="C85" s="174">
        <v>0</v>
      </c>
      <c r="D85" s="12">
        <f>+N42</f>
        <v>181</v>
      </c>
      <c r="E85" s="5">
        <f>SUM(C85:D85)</f>
        <v>181</v>
      </c>
      <c r="J85" s="153"/>
    </row>
    <row r="86" spans="1:10" ht="12.75">
      <c r="A86" s="1263" t="s">
        <v>20</v>
      </c>
      <c r="B86" s="1264"/>
      <c r="C86" s="174">
        <v>-18876.04</v>
      </c>
      <c r="D86" s="12">
        <f>+N54</f>
        <v>1.6099999999860302</v>
      </c>
      <c r="E86" s="5">
        <f>SUM(C86:D86)</f>
        <v>-18874.430000000015</v>
      </c>
      <c r="J86" s="153"/>
    </row>
    <row r="87" spans="1:5" ht="12.75">
      <c r="A87" s="1263" t="s">
        <v>25</v>
      </c>
      <c r="B87" s="1264"/>
      <c r="C87" s="174">
        <v>0</v>
      </c>
      <c r="D87" s="12">
        <f>+N66</f>
        <v>49</v>
      </c>
      <c r="E87" s="5">
        <f>SUM(C87:D87)</f>
        <v>49</v>
      </c>
    </row>
    <row r="88" spans="1:5" ht="13.5" thickBot="1">
      <c r="A88" s="1265" t="s">
        <v>24</v>
      </c>
      <c r="B88" s="1266"/>
      <c r="C88" s="171">
        <f>SUM(C83:C87)</f>
        <v>-156303.16</v>
      </c>
      <c r="D88" s="172">
        <f>SUM(D83:D87)</f>
        <v>29150.609999999986</v>
      </c>
      <c r="E88" s="15">
        <f>SUM(E83:E87)</f>
        <v>-127152.55000000002</v>
      </c>
    </row>
    <row r="143" ht="15.75" customHeight="1"/>
    <row r="144" ht="15.75" customHeight="1"/>
  </sheetData>
  <mergeCells count="45">
    <mergeCell ref="A87:B87"/>
    <mergeCell ref="A88:B88"/>
    <mergeCell ref="A83:B83"/>
    <mergeCell ref="A84:B84"/>
    <mergeCell ref="A85:B85"/>
    <mergeCell ref="A86:B86"/>
    <mergeCell ref="A80:B82"/>
    <mergeCell ref="C80:E80"/>
    <mergeCell ref="C81:C82"/>
    <mergeCell ref="D81:D82"/>
    <mergeCell ref="E81:E82"/>
    <mergeCell ref="A75:B75"/>
    <mergeCell ref="A78:B78"/>
    <mergeCell ref="D71:D72"/>
    <mergeCell ref="E71:E72"/>
    <mergeCell ref="A73:B73"/>
    <mergeCell ref="A74:B74"/>
    <mergeCell ref="N71:N72"/>
    <mergeCell ref="A76:B76"/>
    <mergeCell ref="A77:B77"/>
    <mergeCell ref="F70:H70"/>
    <mergeCell ref="I70:K70"/>
    <mergeCell ref="L70:N70"/>
    <mergeCell ref="F71:F72"/>
    <mergeCell ref="G71:G72"/>
    <mergeCell ref="H71:H72"/>
    <mergeCell ref="I71:I72"/>
    <mergeCell ref="A55:A66"/>
    <mergeCell ref="A7:A18"/>
    <mergeCell ref="A19:A30"/>
    <mergeCell ref="M71:M72"/>
    <mergeCell ref="J71:J72"/>
    <mergeCell ref="K71:K72"/>
    <mergeCell ref="L71:L72"/>
    <mergeCell ref="A70:B72"/>
    <mergeCell ref="C70:E70"/>
    <mergeCell ref="C71:C72"/>
    <mergeCell ref="A31:A42"/>
    <mergeCell ref="A43:A54"/>
    <mergeCell ref="A5:A6"/>
    <mergeCell ref="B5:B6"/>
    <mergeCell ref="A3:N3"/>
    <mergeCell ref="K5:N5"/>
    <mergeCell ref="G5:J5"/>
    <mergeCell ref="C5:F5"/>
  </mergeCells>
  <printOptions horizontalCentered="1"/>
  <pageMargins left="0.2" right="0.1968503937007874" top="0.36" bottom="0.3" header="0.2755905511811024" footer="0.2"/>
  <pageSetup horizontalDpi="600" verticalDpi="600" orientation="portrait" paperSize="9" scale="70" r:id="rId1"/>
  <headerFooter alignWithMargins="0">
    <oddFooter xml:space="preserve">&amp;C&amp;"Arial CE,tučné"&amp;8&amp;P </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P15"/>
  <sheetViews>
    <sheetView showGridLines="0" workbookViewId="0" topLeftCell="A1">
      <selection activeCell="G24" sqref="G24"/>
    </sheetView>
  </sheetViews>
  <sheetFormatPr defaultColWidth="9.00390625" defaultRowHeight="12.75"/>
  <cols>
    <col min="1" max="1" width="2.75390625" style="1216" customWidth="1"/>
    <col min="2" max="2" width="28.00390625" style="1216" customWidth="1"/>
    <col min="3" max="3" width="1.25" style="1216" customWidth="1"/>
    <col min="4" max="4" width="3.625" style="1216" customWidth="1"/>
    <col min="5" max="5" width="11.875" style="1216" hidden="1" customWidth="1"/>
    <col min="6" max="6" width="10.125" style="1216" customWidth="1"/>
    <col min="7" max="7" width="11.00390625" style="1216" customWidth="1"/>
    <col min="8" max="8" width="11.125" style="1216" customWidth="1"/>
    <col min="9" max="11" width="10.75390625" style="1216" customWidth="1"/>
    <col min="12" max="12" width="11.375" style="1216" customWidth="1"/>
    <col min="13" max="13" width="11.125" style="1216" customWidth="1"/>
    <col min="14" max="15" width="10.75390625" style="1216" customWidth="1"/>
    <col min="16" max="16" width="1.25" style="1216" customWidth="1"/>
    <col min="17" max="16384" width="9.125" style="1216" customWidth="1"/>
  </cols>
  <sheetData>
    <row r="1" spans="1:16" ht="0.75" customHeight="1">
      <c r="A1" s="1213"/>
      <c r="B1" s="1214"/>
      <c r="C1" s="1214"/>
      <c r="D1" s="1214"/>
      <c r="E1" s="1214"/>
      <c r="F1" s="1214"/>
      <c r="G1" s="1214"/>
      <c r="H1" s="1214"/>
      <c r="I1" s="1214"/>
      <c r="J1" s="1214"/>
      <c r="K1" s="1214"/>
      <c r="L1" s="1214"/>
      <c r="M1" s="1214"/>
      <c r="N1" s="1214"/>
      <c r="O1" s="1214"/>
      <c r="P1" s="1215"/>
    </row>
    <row r="2" spans="1:16" ht="25.5">
      <c r="A2" s="1217"/>
      <c r="B2" s="1218" t="s">
        <v>420</v>
      </c>
      <c r="C2" s="1219"/>
      <c r="D2" s="1218" t="s">
        <v>245</v>
      </c>
      <c r="E2" s="1219"/>
      <c r="F2" s="1219"/>
      <c r="G2" s="1219"/>
      <c r="H2" s="1219"/>
      <c r="I2" s="1219"/>
      <c r="J2" s="1219"/>
      <c r="K2" s="1219"/>
      <c r="L2" s="1219"/>
      <c r="M2" s="1219"/>
      <c r="N2" s="1219"/>
      <c r="O2" s="1219"/>
      <c r="P2" s="1220"/>
    </row>
    <row r="3" spans="1:16" ht="9.75" customHeight="1">
      <c r="A3" s="1217"/>
      <c r="B3" s="1219"/>
      <c r="C3" s="1219"/>
      <c r="D3" s="1219"/>
      <c r="E3" s="1219"/>
      <c r="F3" s="1219"/>
      <c r="G3" s="1219"/>
      <c r="H3" s="1219"/>
      <c r="I3" s="1219"/>
      <c r="J3" s="1219"/>
      <c r="K3" s="1219"/>
      <c r="L3" s="1219"/>
      <c r="M3" s="1219"/>
      <c r="N3" s="1219"/>
      <c r="O3" s="1219"/>
      <c r="P3" s="1220"/>
    </row>
    <row r="4" spans="1:16" ht="45">
      <c r="A4" s="1217"/>
      <c r="B4" s="1770" t="s">
        <v>342</v>
      </c>
      <c r="C4" s="1770"/>
      <c r="D4" s="1770"/>
      <c r="E4" s="1770"/>
      <c r="F4" s="1221" t="s">
        <v>421</v>
      </c>
      <c r="G4" s="1221" t="s">
        <v>213</v>
      </c>
      <c r="H4" s="1767" t="s">
        <v>216</v>
      </c>
      <c r="I4" s="1767"/>
      <c r="J4" s="1767" t="s">
        <v>226</v>
      </c>
      <c r="K4" s="1767"/>
      <c r="L4" s="1767" t="s">
        <v>228</v>
      </c>
      <c r="M4" s="1767"/>
      <c r="N4" s="1767" t="s">
        <v>422</v>
      </c>
      <c r="O4" s="1767"/>
      <c r="P4" s="1220"/>
    </row>
    <row r="5" spans="1:16" ht="12.75">
      <c r="A5" s="1217"/>
      <c r="B5" s="1768"/>
      <c r="C5" s="1768"/>
      <c r="D5" s="1768"/>
      <c r="E5" s="1768"/>
      <c r="F5" s="1223"/>
      <c r="G5" s="1223"/>
      <c r="H5" s="1222" t="s">
        <v>423</v>
      </c>
      <c r="I5" s="1222" t="s">
        <v>424</v>
      </c>
      <c r="J5" s="1222" t="s">
        <v>423</v>
      </c>
      <c r="K5" s="1222" t="s">
        <v>424</v>
      </c>
      <c r="L5" s="1222" t="s">
        <v>423</v>
      </c>
      <c r="M5" s="1222" t="s">
        <v>424</v>
      </c>
      <c r="N5" s="1222" t="s">
        <v>423</v>
      </c>
      <c r="O5" s="1222" t="s">
        <v>424</v>
      </c>
      <c r="P5" s="1220"/>
    </row>
    <row r="6" spans="1:16" ht="12.75">
      <c r="A6" s="1217"/>
      <c r="B6" s="1769" t="s">
        <v>343</v>
      </c>
      <c r="C6" s="1769"/>
      <c r="D6" s="1769"/>
      <c r="E6" s="1769"/>
      <c r="F6" s="1224">
        <v>39.09</v>
      </c>
      <c r="G6" s="1224">
        <v>18555.470282254624</v>
      </c>
      <c r="H6" s="1225">
        <v>12883.96435576021</v>
      </c>
      <c r="I6" s="1226">
        <f>_702/_701</f>
        <v>0.694348575367647</v>
      </c>
      <c r="J6" s="1225">
        <v>916.1315767033342</v>
      </c>
      <c r="K6" s="1226">
        <f>_704/_701</f>
        <v>0.049372587316176476</v>
      </c>
      <c r="L6" s="1225">
        <v>833.4548477871577</v>
      </c>
      <c r="M6" s="1226">
        <f>_706/_701</f>
        <v>0.04491693474264706</v>
      </c>
      <c r="N6" s="1225">
        <f>_701-_702-_704-_706</f>
        <v>3921.9195020039224</v>
      </c>
      <c r="O6" s="1226">
        <f>_708/_701</f>
        <v>0.21136190257352944</v>
      </c>
      <c r="P6" s="1220"/>
    </row>
    <row r="7" spans="1:16" ht="12.75">
      <c r="A7" s="1217"/>
      <c r="B7" s="1769" t="s">
        <v>344</v>
      </c>
      <c r="C7" s="1769"/>
      <c r="D7" s="1769"/>
      <c r="E7" s="1769"/>
      <c r="F7" s="1224">
        <v>25.88</v>
      </c>
      <c r="G7" s="1224">
        <v>16917.423364245235</v>
      </c>
      <c r="H7" s="1225">
        <v>12248.18392581144</v>
      </c>
      <c r="I7" s="1226">
        <f>_715/_714</f>
        <v>0.7239981918108064</v>
      </c>
      <c r="J7" s="1225">
        <v>925.6053580628542</v>
      </c>
      <c r="K7" s="1226">
        <f>_717/_714</f>
        <v>0.05471314030120625</v>
      </c>
      <c r="L7" s="1225">
        <v>383.72295208655333</v>
      </c>
      <c r="M7" s="1226">
        <f>_719/_714</f>
        <v>0.02268211558135662</v>
      </c>
      <c r="N7" s="1225">
        <f>_714-_715-_717-_719</f>
        <v>3359.9111282843874</v>
      </c>
      <c r="O7" s="1226">
        <f>_721/_714</f>
        <v>0.19860655230663068</v>
      </c>
      <c r="P7" s="1220"/>
    </row>
    <row r="8" spans="1:16" ht="12.75">
      <c r="A8" s="1217"/>
      <c r="B8" s="1769" t="s">
        <v>57</v>
      </c>
      <c r="C8" s="1769"/>
      <c r="D8" s="1769"/>
      <c r="E8" s="1769"/>
      <c r="F8" s="1224">
        <v>982.19</v>
      </c>
      <c r="G8" s="1224">
        <v>19266.749050591025</v>
      </c>
      <c r="H8" s="1225">
        <v>12872.202340348269</v>
      </c>
      <c r="I8" s="1226">
        <f>_728/_727</f>
        <v>0.6681045311042447</v>
      </c>
      <c r="J8" s="1225">
        <v>873.8957499736981</v>
      </c>
      <c r="K8" s="1226">
        <f>_730/_727</f>
        <v>0.04535771694949702</v>
      </c>
      <c r="L8" s="1225">
        <v>560.3046084090994</v>
      </c>
      <c r="M8" s="1226">
        <f>_732/_727</f>
        <v>0.02908142971799965</v>
      </c>
      <c r="N8" s="1225">
        <f>_727-_728-_730-_732</f>
        <v>4960.346351859958</v>
      </c>
      <c r="O8" s="1226">
        <f>_734/_727</f>
        <v>0.2574563222282586</v>
      </c>
      <c r="P8" s="1220"/>
    </row>
    <row r="9" spans="1:16" ht="12.75">
      <c r="A9" s="1217"/>
      <c r="B9" s="1769" t="s">
        <v>190</v>
      </c>
      <c r="C9" s="1769"/>
      <c r="D9" s="1769"/>
      <c r="E9" s="1769"/>
      <c r="F9" s="1224">
        <v>1115.03</v>
      </c>
      <c r="G9" s="1224">
        <v>20468.62229416847</v>
      </c>
      <c r="H9" s="1225">
        <v>13523.026062079049</v>
      </c>
      <c r="I9" s="1226">
        <f>_741/_740</f>
        <v>0.6606710440854523</v>
      </c>
      <c r="J9" s="1225">
        <v>407.43388070276137</v>
      </c>
      <c r="K9" s="1226">
        <f>_743/_740</f>
        <v>0.019905290881196226</v>
      </c>
      <c r="L9" s="1225">
        <v>964.0283221079253</v>
      </c>
      <c r="M9" s="1226">
        <f>_745/_740</f>
        <v>0.04709786072815355</v>
      </c>
      <c r="N9" s="1225">
        <f>_740-_741-_743-_745</f>
        <v>5574.134029278733</v>
      </c>
      <c r="O9" s="1226">
        <f>_747/_740</f>
        <v>0.27232580430519787</v>
      </c>
      <c r="P9" s="1220"/>
    </row>
    <row r="10" spans="1:16" ht="12.75">
      <c r="A10" s="1217"/>
      <c r="B10" s="1769" t="s">
        <v>60</v>
      </c>
      <c r="C10" s="1769"/>
      <c r="D10" s="1769"/>
      <c r="E10" s="1769"/>
      <c r="F10" s="1224">
        <v>921.81</v>
      </c>
      <c r="G10" s="1224">
        <v>20031.274340699278</v>
      </c>
      <c r="H10" s="1225">
        <v>13161.13154193019</v>
      </c>
      <c r="I10" s="1226">
        <f>_754/_753</f>
        <v>0.6570291693918633</v>
      </c>
      <c r="J10" s="1225">
        <v>1871.292439150512</v>
      </c>
      <c r="K10" s="1226">
        <f>_756/_753</f>
        <v>0.09341854179234343</v>
      </c>
      <c r="L10" s="1225">
        <v>339.66218635076643</v>
      </c>
      <c r="M10" s="1226">
        <f>_758/_753</f>
        <v>0.016956594002641424</v>
      </c>
      <c r="N10" s="1225">
        <f>_753-_754-_756-_758</f>
        <v>4659.188173267809</v>
      </c>
      <c r="O10" s="1226">
        <f>_760/_753</f>
        <v>0.23259569481315187</v>
      </c>
      <c r="P10" s="1220"/>
    </row>
    <row r="11" spans="1:16" ht="12.75">
      <c r="A11" s="1217"/>
      <c r="B11" s="1769" t="s">
        <v>58</v>
      </c>
      <c r="C11" s="1769"/>
      <c r="D11" s="1769"/>
      <c r="E11" s="1769"/>
      <c r="F11" s="1224">
        <v>633.7</v>
      </c>
      <c r="G11" s="1224">
        <v>21155.326126979115</v>
      </c>
      <c r="H11" s="1225">
        <v>14026.02322339698</v>
      </c>
      <c r="I11" s="1226">
        <f>_767/_766</f>
        <v>0.663001985372836</v>
      </c>
      <c r="J11" s="1225">
        <v>118.41262953027194</v>
      </c>
      <c r="K11" s="1226">
        <f>_769/_766</f>
        <v>0.005597296341334197</v>
      </c>
      <c r="L11" s="1225">
        <v>1447.0301404450054</v>
      </c>
      <c r="M11" s="1226">
        <f>_771/_766</f>
        <v>0.06840027573952767</v>
      </c>
      <c r="N11" s="1225">
        <f>_766-_767-_769-_771</f>
        <v>5563.860133606857</v>
      </c>
      <c r="O11" s="1226">
        <f>_773/_766</f>
        <v>0.2630004425463022</v>
      </c>
      <c r="P11" s="1220"/>
    </row>
    <row r="12" spans="1:16" ht="12.75">
      <c r="A12" s="1217"/>
      <c r="B12" s="1769" t="s">
        <v>59</v>
      </c>
      <c r="C12" s="1769"/>
      <c r="D12" s="1769"/>
      <c r="E12" s="1769"/>
      <c r="F12" s="1224">
        <v>880.89</v>
      </c>
      <c r="G12" s="1224">
        <v>20984.390029780487</v>
      </c>
      <c r="H12" s="1225">
        <v>14026.310511717316</v>
      </c>
      <c r="I12" s="1226">
        <f>_780/_779</f>
        <v>0.6684164034223321</v>
      </c>
      <c r="J12" s="1225">
        <v>639.7671672967114</v>
      </c>
      <c r="K12" s="1226">
        <f>_782/_779</f>
        <v>0.030487765733898907</v>
      </c>
      <c r="L12" s="1225">
        <v>877.6426871308184</v>
      </c>
      <c r="M12" s="1226">
        <f>_784/_779</f>
        <v>0.041823597725990196</v>
      </c>
      <c r="N12" s="1225">
        <f>_779-_780-_782-_784</f>
        <v>5440.66966363564</v>
      </c>
      <c r="O12" s="1226">
        <f>_786/_779</f>
        <v>0.2592722331177788</v>
      </c>
      <c r="P12" s="1220"/>
    </row>
    <row r="13" spans="1:16" ht="12.75">
      <c r="A13" s="1217"/>
      <c r="B13" s="1769" t="s">
        <v>1</v>
      </c>
      <c r="C13" s="1769"/>
      <c r="D13" s="1769"/>
      <c r="E13" s="1769"/>
      <c r="F13" s="1224">
        <v>282.11</v>
      </c>
      <c r="G13" s="1224">
        <v>28707.111292285514</v>
      </c>
      <c r="H13" s="1225">
        <v>14745.470147578366</v>
      </c>
      <c r="I13" s="1226">
        <f>_793/_792</f>
        <v>0.513652174802448</v>
      </c>
      <c r="J13" s="1225">
        <v>2830.9749152221943</v>
      </c>
      <c r="K13" s="1226">
        <f>_795/_792</f>
        <v>0.09861580590252439</v>
      </c>
      <c r="L13" s="1225">
        <v>444.4040740609455</v>
      </c>
      <c r="M13" s="1226">
        <f>_797/_792</f>
        <v>0.01548062671775584</v>
      </c>
      <c r="N13" s="1225">
        <f>_792-_793-_795-_797</f>
        <v>10686.262155424009</v>
      </c>
      <c r="O13" s="1226">
        <f>_799/_792</f>
        <v>0.37225139257727186</v>
      </c>
      <c r="P13" s="1220"/>
    </row>
    <row r="14" spans="1:16" ht="12.75">
      <c r="A14" s="1217"/>
      <c r="B14" s="1771" t="s">
        <v>345</v>
      </c>
      <c r="C14" s="1771"/>
      <c r="D14" s="1771"/>
      <c r="E14" s="1771"/>
      <c r="F14" s="1227">
        <v>4880.7</v>
      </c>
      <c r="G14" s="1227">
        <v>20768.44593671673</v>
      </c>
      <c r="H14" s="1227">
        <v>13538.627690017142</v>
      </c>
      <c r="I14" s="1228">
        <f>_689/_688</f>
        <v>0.6518844853038366</v>
      </c>
      <c r="J14" s="1227">
        <v>929.0929409032858</v>
      </c>
      <c r="K14" s="1228">
        <f>_691/_688</f>
        <v>0.044735795048619104</v>
      </c>
      <c r="L14" s="1227">
        <v>777.8230752419394</v>
      </c>
      <c r="M14" s="1228">
        <f>_693/_688</f>
        <v>0.03745215591055943</v>
      </c>
      <c r="N14" s="1227">
        <f>_688-_689-_691-_693</f>
        <v>5522.902230554362</v>
      </c>
      <c r="O14" s="1228">
        <f>_695/_688</f>
        <v>0.26592756373698484</v>
      </c>
      <c r="P14" s="1220"/>
    </row>
    <row r="15" spans="1:16" ht="81" customHeight="1">
      <c r="A15" s="1229"/>
      <c r="B15" s="1230"/>
      <c r="C15" s="1230"/>
      <c r="D15" s="1230"/>
      <c r="E15" s="1230"/>
      <c r="F15" s="1230"/>
      <c r="G15" s="1230"/>
      <c r="H15" s="1230"/>
      <c r="I15" s="1230"/>
      <c r="J15" s="1230"/>
      <c r="K15" s="1230"/>
      <c r="L15" s="1230"/>
      <c r="M15" s="1230"/>
      <c r="N15" s="1230"/>
      <c r="O15" s="1230"/>
      <c r="P15" s="1231"/>
    </row>
  </sheetData>
  <mergeCells count="15">
    <mergeCell ref="B12:E12"/>
    <mergeCell ref="B13:E13"/>
    <mergeCell ref="B14:E14"/>
    <mergeCell ref="B8:E8"/>
    <mergeCell ref="B9:E9"/>
    <mergeCell ref="B10:E10"/>
    <mergeCell ref="B11:E11"/>
    <mergeCell ref="N4:O4"/>
    <mergeCell ref="B5:E5"/>
    <mergeCell ref="B6:E6"/>
    <mergeCell ref="B7:E7"/>
    <mergeCell ref="B4:E4"/>
    <mergeCell ref="H4:I4"/>
    <mergeCell ref="J4:K4"/>
    <mergeCell ref="L4:M4"/>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Q71"/>
  <sheetViews>
    <sheetView workbookViewId="0" topLeftCell="A33">
      <selection activeCell="F48" sqref="F48"/>
    </sheetView>
  </sheetViews>
  <sheetFormatPr defaultColWidth="9.00390625" defaultRowHeight="12.75"/>
  <cols>
    <col min="1" max="1" width="28.125" style="960" customWidth="1"/>
    <col min="2" max="7" width="11.75390625" style="961" customWidth="1"/>
    <col min="8" max="8" width="9.75390625" style="961" customWidth="1"/>
    <col min="9" max="9" width="8.125" style="961" customWidth="1"/>
    <col min="10" max="10" width="8.875" style="960" customWidth="1"/>
    <col min="11" max="12" width="8.125" style="960" customWidth="1"/>
    <col min="13" max="13" width="9.125" style="960" customWidth="1"/>
    <col min="14" max="15" width="9.25390625" style="960" bestFit="1" customWidth="1"/>
    <col min="16" max="17" width="9.125" style="960" customWidth="1"/>
    <col min="18" max="16384" width="9.125" style="963" customWidth="1"/>
  </cols>
  <sheetData>
    <row r="1" spans="10:16" ht="6" customHeight="1">
      <c r="J1" s="962"/>
      <c r="M1" s="963"/>
      <c r="N1" s="963"/>
      <c r="O1" s="963"/>
      <c r="P1" s="963"/>
    </row>
    <row r="2" spans="1:16" ht="6" customHeight="1" thickBot="1">
      <c r="A2" s="964"/>
      <c r="B2" s="965"/>
      <c r="C2" s="965"/>
      <c r="D2" s="965"/>
      <c r="E2" s="965"/>
      <c r="F2" s="965"/>
      <c r="G2" s="965"/>
      <c r="H2" s="965"/>
      <c r="I2" s="965"/>
      <c r="J2" s="962"/>
      <c r="M2" s="963"/>
      <c r="N2" s="963"/>
      <c r="O2" s="963"/>
      <c r="P2" s="963"/>
    </row>
    <row r="3" spans="1:17" ht="24" customHeight="1" thickBot="1">
      <c r="A3" s="1783" t="s">
        <v>8</v>
      </c>
      <c r="B3" s="1789" t="s">
        <v>343</v>
      </c>
      <c r="C3" s="1790"/>
      <c r="D3" s="1790"/>
      <c r="E3" s="1790"/>
      <c r="F3" s="1790"/>
      <c r="G3" s="1436"/>
      <c r="H3" s="963"/>
      <c r="I3" s="963"/>
      <c r="J3" s="963"/>
      <c r="K3" s="963"/>
      <c r="L3" s="963"/>
      <c r="M3" s="963"/>
      <c r="N3" s="963"/>
      <c r="O3" s="963"/>
      <c r="P3" s="963"/>
      <c r="Q3" s="963"/>
    </row>
    <row r="4" spans="1:17" ht="12.75" customHeight="1">
      <c r="A4" s="1784"/>
      <c r="B4" s="1786" t="s">
        <v>384</v>
      </c>
      <c r="C4" s="1794" t="s">
        <v>260</v>
      </c>
      <c r="D4" s="1786" t="s">
        <v>178</v>
      </c>
      <c r="E4" s="1794" t="s">
        <v>261</v>
      </c>
      <c r="F4" s="1772" t="s">
        <v>385</v>
      </c>
      <c r="G4" s="1773"/>
      <c r="H4" s="963"/>
      <c r="I4" s="963"/>
      <c r="J4" s="963"/>
      <c r="K4" s="963"/>
      <c r="L4" s="963"/>
      <c r="M4" s="963"/>
      <c r="N4" s="963"/>
      <c r="O4" s="963"/>
      <c r="P4" s="963"/>
      <c r="Q4" s="963"/>
    </row>
    <row r="5" spans="1:17" ht="12.75" customHeight="1">
      <c r="A5" s="1784"/>
      <c r="B5" s="1787"/>
      <c r="C5" s="1795"/>
      <c r="D5" s="1787"/>
      <c r="E5" s="1795"/>
      <c r="F5" s="966" t="s">
        <v>24</v>
      </c>
      <c r="G5" s="967" t="s">
        <v>182</v>
      </c>
      <c r="H5" s="963"/>
      <c r="I5" s="963"/>
      <c r="J5" s="963"/>
      <c r="K5" s="963"/>
      <c r="L5" s="963"/>
      <c r="M5" s="963"/>
      <c r="N5" s="963"/>
      <c r="O5" s="963"/>
      <c r="P5" s="963"/>
      <c r="Q5" s="963"/>
    </row>
    <row r="6" spans="1:17" ht="13.5" customHeight="1" thickBot="1">
      <c r="A6" s="1785"/>
      <c r="B6" s="1788"/>
      <c r="C6" s="1798"/>
      <c r="D6" s="1788"/>
      <c r="E6" s="1795"/>
      <c r="F6" s="968" t="s">
        <v>72</v>
      </c>
      <c r="G6" s="969" t="s">
        <v>184</v>
      </c>
      <c r="H6" s="963"/>
      <c r="I6" s="963"/>
      <c r="J6" s="963"/>
      <c r="K6" s="963"/>
      <c r="L6" s="963"/>
      <c r="M6" s="963"/>
      <c r="N6" s="963"/>
      <c r="O6" s="963"/>
      <c r="P6" s="963"/>
      <c r="Q6" s="963"/>
    </row>
    <row r="7" spans="1:17" ht="13.5" customHeight="1">
      <c r="A7" s="970" t="s">
        <v>151</v>
      </c>
      <c r="B7" s="971">
        <v>0</v>
      </c>
      <c r="C7" s="972">
        <v>0</v>
      </c>
      <c r="D7" s="971">
        <v>0</v>
      </c>
      <c r="E7" s="973">
        <v>0</v>
      </c>
      <c r="F7" s="974"/>
      <c r="G7" s="975"/>
      <c r="H7" s="963"/>
      <c r="I7" s="963"/>
      <c r="J7" s="963"/>
      <c r="K7" s="963"/>
      <c r="L7" s="963"/>
      <c r="M7" s="963"/>
      <c r="N7" s="963"/>
      <c r="O7" s="963"/>
      <c r="P7" s="963"/>
      <c r="Q7" s="963"/>
    </row>
    <row r="8" spans="1:17" ht="13.5" customHeight="1">
      <c r="A8" s="976" t="s">
        <v>152</v>
      </c>
      <c r="B8" s="977">
        <v>0</v>
      </c>
      <c r="C8" s="978">
        <v>0</v>
      </c>
      <c r="D8" s="977">
        <v>0</v>
      </c>
      <c r="E8" s="978">
        <v>0</v>
      </c>
      <c r="F8" s="979"/>
      <c r="G8" s="980"/>
      <c r="H8" s="963"/>
      <c r="I8" s="963"/>
      <c r="J8" s="963"/>
      <c r="K8" s="963"/>
      <c r="L8" s="963"/>
      <c r="M8" s="963"/>
      <c r="N8" s="963"/>
      <c r="O8" s="963"/>
      <c r="P8" s="963"/>
      <c r="Q8" s="963"/>
    </row>
    <row r="9" spans="1:17" ht="13.5" customHeight="1">
      <c r="A9" s="976" t="s">
        <v>153</v>
      </c>
      <c r="B9" s="977">
        <v>0</v>
      </c>
      <c r="C9" s="978">
        <v>0</v>
      </c>
      <c r="D9" s="977">
        <v>0</v>
      </c>
      <c r="E9" s="978">
        <v>0</v>
      </c>
      <c r="F9" s="979"/>
      <c r="G9" s="980"/>
      <c r="H9" s="963"/>
      <c r="I9" s="963"/>
      <c r="J9" s="963"/>
      <c r="K9" s="963"/>
      <c r="L9" s="963"/>
      <c r="M9" s="963"/>
      <c r="N9" s="963"/>
      <c r="O9" s="963"/>
      <c r="P9" s="963"/>
      <c r="Q9" s="963"/>
    </row>
    <row r="10" spans="1:17" ht="13.5" customHeight="1">
      <c r="A10" s="976" t="s">
        <v>154</v>
      </c>
      <c r="B10" s="977">
        <v>0</v>
      </c>
      <c r="C10" s="978">
        <v>0</v>
      </c>
      <c r="D10" s="977">
        <v>0</v>
      </c>
      <c r="E10" s="978">
        <v>0</v>
      </c>
      <c r="F10" s="979"/>
      <c r="G10" s="980"/>
      <c r="H10" s="963"/>
      <c r="I10" s="963"/>
      <c r="J10" s="963"/>
      <c r="K10" s="963"/>
      <c r="L10" s="963"/>
      <c r="M10" s="963"/>
      <c r="N10" s="963"/>
      <c r="O10" s="963"/>
      <c r="P10" s="963"/>
      <c r="Q10" s="963"/>
    </row>
    <row r="11" spans="1:17" ht="13.5" customHeight="1">
      <c r="A11" s="976" t="s">
        <v>155</v>
      </c>
      <c r="B11" s="977">
        <v>472</v>
      </c>
      <c r="C11" s="978">
        <v>553</v>
      </c>
      <c r="D11" s="977">
        <v>612</v>
      </c>
      <c r="E11" s="978">
        <v>703</v>
      </c>
      <c r="F11" s="979">
        <f>+E11-D11</f>
        <v>91</v>
      </c>
      <c r="G11" s="980">
        <f>+E11/D11</f>
        <v>1.1486928104575163</v>
      </c>
      <c r="H11" s="963"/>
      <c r="I11" s="963"/>
      <c r="J11" s="963"/>
      <c r="K11" s="963"/>
      <c r="L11" s="963"/>
      <c r="M11" s="963"/>
      <c r="N11" s="963"/>
      <c r="O11" s="963"/>
      <c r="P11" s="963"/>
      <c r="Q11" s="963"/>
    </row>
    <row r="12" spans="1:17" ht="13.5" customHeight="1">
      <c r="A12" s="981" t="s">
        <v>156</v>
      </c>
      <c r="B12" s="977">
        <v>0</v>
      </c>
      <c r="C12" s="978">
        <v>0</v>
      </c>
      <c r="D12" s="977">
        <v>80</v>
      </c>
      <c r="E12" s="978">
        <v>0</v>
      </c>
      <c r="F12" s="979">
        <f>+E12-D12</f>
        <v>-80</v>
      </c>
      <c r="G12" s="980">
        <f>+E12/D12</f>
        <v>0</v>
      </c>
      <c r="H12" s="963"/>
      <c r="I12" s="963"/>
      <c r="J12" s="963"/>
      <c r="K12" s="963"/>
      <c r="L12" s="963"/>
      <c r="M12" s="963"/>
      <c r="N12" s="963"/>
      <c r="O12" s="963"/>
      <c r="P12" s="963"/>
      <c r="Q12" s="963"/>
    </row>
    <row r="13" spans="1:17" ht="13.5" customHeight="1">
      <c r="A13" s="981" t="s">
        <v>157</v>
      </c>
      <c r="B13" s="977">
        <v>0</v>
      </c>
      <c r="C13" s="978">
        <v>0</v>
      </c>
      <c r="D13" s="977">
        <v>0</v>
      </c>
      <c r="E13" s="978">
        <v>0</v>
      </c>
      <c r="F13" s="979"/>
      <c r="G13" s="980"/>
      <c r="H13" s="963"/>
      <c r="I13" s="963"/>
      <c r="J13" s="963"/>
      <c r="K13" s="963"/>
      <c r="L13" s="963"/>
      <c r="M13" s="963"/>
      <c r="N13" s="963"/>
      <c r="O13" s="963"/>
      <c r="P13" s="963"/>
      <c r="Q13" s="963"/>
    </row>
    <row r="14" spans="1:17" ht="20.25" customHeight="1">
      <c r="A14" s="981" t="s">
        <v>158</v>
      </c>
      <c r="B14" s="977">
        <v>0</v>
      </c>
      <c r="C14" s="978">
        <v>0</v>
      </c>
      <c r="D14" s="977">
        <v>0</v>
      </c>
      <c r="E14" s="978">
        <v>0</v>
      </c>
      <c r="F14" s="979"/>
      <c r="G14" s="980"/>
      <c r="H14" s="963"/>
      <c r="I14" s="963"/>
      <c r="J14" s="963"/>
      <c r="K14" s="963"/>
      <c r="L14" s="963"/>
      <c r="M14" s="963"/>
      <c r="N14" s="963"/>
      <c r="O14" s="963"/>
      <c r="P14" s="963"/>
      <c r="Q14" s="963"/>
    </row>
    <row r="15" spans="1:17" ht="13.5" customHeight="1" thickBot="1">
      <c r="A15" s="982" t="s">
        <v>159</v>
      </c>
      <c r="B15" s="977">
        <v>11425</v>
      </c>
      <c r="C15" s="978">
        <v>11929</v>
      </c>
      <c r="D15" s="977">
        <v>12230</v>
      </c>
      <c r="E15" s="983">
        <v>14234</v>
      </c>
      <c r="F15" s="984">
        <f aca="true" t="shared" si="0" ref="F15:F35">+E15-D15</f>
        <v>2004</v>
      </c>
      <c r="G15" s="985">
        <f>+E15/D15</f>
        <v>1.1638593622240392</v>
      </c>
      <c r="H15" s="963"/>
      <c r="I15" s="963"/>
      <c r="J15" s="963"/>
      <c r="K15" s="963"/>
      <c r="L15" s="963"/>
      <c r="M15" s="963"/>
      <c r="N15" s="963"/>
      <c r="O15" s="963"/>
      <c r="P15" s="963"/>
      <c r="Q15" s="963"/>
    </row>
    <row r="16" spans="1:17" ht="13.5" customHeight="1" thickBot="1">
      <c r="A16" s="986" t="s">
        <v>19</v>
      </c>
      <c r="B16" s="987">
        <v>11897</v>
      </c>
      <c r="C16" s="988">
        <v>12482</v>
      </c>
      <c r="D16" s="987">
        <f>+D11+D15</f>
        <v>12842</v>
      </c>
      <c r="E16" s="989">
        <f>SUM(E8:E11,E13,E15)</f>
        <v>14937</v>
      </c>
      <c r="F16" s="990">
        <f t="shared" si="0"/>
        <v>2095</v>
      </c>
      <c r="G16" s="991">
        <f>+E16/D16</f>
        <v>1.1631365830867466</v>
      </c>
      <c r="H16" s="963"/>
      <c r="I16" s="963"/>
      <c r="J16" s="963"/>
      <c r="K16" s="963"/>
      <c r="L16" s="963"/>
      <c r="M16" s="963"/>
      <c r="N16" s="963"/>
      <c r="O16" s="963"/>
      <c r="P16" s="963"/>
      <c r="Q16" s="963"/>
    </row>
    <row r="17" spans="1:17" ht="13.5" customHeight="1">
      <c r="A17" s="992" t="s">
        <v>160</v>
      </c>
      <c r="B17" s="971">
        <v>1332</v>
      </c>
      <c r="C17" s="972">
        <v>1516</v>
      </c>
      <c r="D17" s="977">
        <v>1305</v>
      </c>
      <c r="E17" s="973">
        <v>1426.48</v>
      </c>
      <c r="F17" s="974">
        <f t="shared" si="0"/>
        <v>121.48000000000002</v>
      </c>
      <c r="G17" s="993">
        <f>+E17/D17</f>
        <v>1.093088122605364</v>
      </c>
      <c r="H17" s="963"/>
      <c r="I17" s="963"/>
      <c r="J17" s="963"/>
      <c r="K17" s="963"/>
      <c r="L17" s="963"/>
      <c r="M17" s="963"/>
      <c r="N17" s="963"/>
      <c r="O17" s="963"/>
      <c r="P17" s="963"/>
      <c r="Q17" s="963"/>
    </row>
    <row r="18" spans="1:17" ht="22.5" customHeight="1">
      <c r="A18" s="981" t="s">
        <v>161</v>
      </c>
      <c r="B18" s="971">
        <v>81</v>
      </c>
      <c r="C18" s="972">
        <v>122</v>
      </c>
      <c r="D18" s="977">
        <v>160</v>
      </c>
      <c r="E18" s="978">
        <v>174</v>
      </c>
      <c r="F18" s="979">
        <f t="shared" si="0"/>
        <v>14</v>
      </c>
      <c r="G18" s="980">
        <f>+E18/D18</f>
        <v>1.0875</v>
      </c>
      <c r="H18" s="963"/>
      <c r="I18" s="963"/>
      <c r="J18" s="963"/>
      <c r="K18" s="963"/>
      <c r="L18" s="963"/>
      <c r="M18" s="963"/>
      <c r="N18" s="963"/>
      <c r="O18" s="963"/>
      <c r="P18" s="963"/>
      <c r="Q18" s="963"/>
    </row>
    <row r="19" spans="1:17" ht="13.5" customHeight="1">
      <c r="A19" s="976" t="s">
        <v>162</v>
      </c>
      <c r="B19" s="971">
        <v>412</v>
      </c>
      <c r="C19" s="972">
        <v>390</v>
      </c>
      <c r="D19" s="977">
        <v>392</v>
      </c>
      <c r="E19" s="978">
        <v>513.54</v>
      </c>
      <c r="F19" s="979">
        <f t="shared" si="0"/>
        <v>121.53999999999996</v>
      </c>
      <c r="G19" s="980">
        <f>+E19/D19</f>
        <v>1.3100510204081632</v>
      </c>
      <c r="H19" s="963"/>
      <c r="I19" s="963"/>
      <c r="J19" s="963"/>
      <c r="K19" s="963"/>
      <c r="L19" s="963"/>
      <c r="M19" s="963"/>
      <c r="N19" s="963"/>
      <c r="O19" s="963"/>
      <c r="P19" s="963"/>
      <c r="Q19" s="963"/>
    </row>
    <row r="20" spans="1:17" ht="13.5" customHeight="1">
      <c r="A20" s="981" t="s">
        <v>163</v>
      </c>
      <c r="B20" s="971">
        <v>0</v>
      </c>
      <c r="C20" s="972">
        <v>0</v>
      </c>
      <c r="D20" s="977">
        <v>0</v>
      </c>
      <c r="E20" s="978">
        <v>0</v>
      </c>
      <c r="F20" s="979">
        <f t="shared" si="0"/>
        <v>0</v>
      </c>
      <c r="G20" s="980"/>
      <c r="H20" s="963"/>
      <c r="I20" s="963"/>
      <c r="J20" s="963"/>
      <c r="K20" s="963"/>
      <c r="L20" s="963"/>
      <c r="M20" s="963"/>
      <c r="N20" s="963"/>
      <c r="O20" s="963"/>
      <c r="P20" s="963"/>
      <c r="Q20" s="963"/>
    </row>
    <row r="21" spans="1:17" ht="13.5" customHeight="1">
      <c r="A21" s="976" t="s">
        <v>164</v>
      </c>
      <c r="B21" s="971">
        <v>0</v>
      </c>
      <c r="C21" s="972">
        <v>0</v>
      </c>
      <c r="D21" s="977">
        <v>0</v>
      </c>
      <c r="E21" s="978">
        <v>0</v>
      </c>
      <c r="F21" s="979">
        <f t="shared" si="0"/>
        <v>0</v>
      </c>
      <c r="G21" s="980"/>
      <c r="H21" s="963"/>
      <c r="I21" s="963"/>
      <c r="J21" s="963"/>
      <c r="K21" s="963"/>
      <c r="L21" s="963"/>
      <c r="M21" s="963"/>
      <c r="N21" s="963"/>
      <c r="O21" s="963"/>
      <c r="P21" s="963"/>
      <c r="Q21" s="963"/>
    </row>
    <row r="22" spans="1:17" ht="13.5" customHeight="1">
      <c r="A22" s="976" t="s">
        <v>165</v>
      </c>
      <c r="B22" s="971">
        <v>786</v>
      </c>
      <c r="C22" s="972">
        <v>686</v>
      </c>
      <c r="D22" s="977">
        <v>725</v>
      </c>
      <c r="E22" s="978">
        <v>601</v>
      </c>
      <c r="F22" s="979">
        <f t="shared" si="0"/>
        <v>-124</v>
      </c>
      <c r="G22" s="980">
        <f aca="true" t="shared" si="1" ref="G22:G29">+E22/D22</f>
        <v>0.8289655172413793</v>
      </c>
      <c r="H22" s="963"/>
      <c r="I22" s="963"/>
      <c r="J22" s="963"/>
      <c r="K22" s="963"/>
      <c r="L22" s="963"/>
      <c r="M22" s="963"/>
      <c r="N22" s="963"/>
      <c r="O22" s="963"/>
      <c r="P22" s="963"/>
      <c r="Q22" s="963"/>
    </row>
    <row r="23" spans="1:17" ht="13.5" customHeight="1">
      <c r="A23" s="981" t="s">
        <v>166</v>
      </c>
      <c r="B23" s="971">
        <v>284</v>
      </c>
      <c r="C23" s="972">
        <v>144</v>
      </c>
      <c r="D23" s="977">
        <v>178</v>
      </c>
      <c r="E23" s="978">
        <v>53.85</v>
      </c>
      <c r="F23" s="979">
        <f t="shared" si="0"/>
        <v>-124.15</v>
      </c>
      <c r="G23" s="980">
        <f t="shared" si="1"/>
        <v>0.30252808988764046</v>
      </c>
      <c r="H23" s="963"/>
      <c r="I23" s="963"/>
      <c r="J23" s="963"/>
      <c r="K23" s="963"/>
      <c r="L23" s="963"/>
      <c r="M23" s="963"/>
      <c r="N23" s="963"/>
      <c r="O23" s="963"/>
      <c r="P23" s="963"/>
      <c r="Q23" s="963"/>
    </row>
    <row r="24" spans="1:17" ht="13.5" customHeight="1">
      <c r="A24" s="976" t="s">
        <v>167</v>
      </c>
      <c r="B24" s="971">
        <v>482</v>
      </c>
      <c r="C24" s="972">
        <v>531</v>
      </c>
      <c r="D24" s="977">
        <v>533</v>
      </c>
      <c r="E24" s="978">
        <v>543.87</v>
      </c>
      <c r="F24" s="979">
        <f t="shared" si="0"/>
        <v>10.870000000000005</v>
      </c>
      <c r="G24" s="980">
        <f t="shared" si="1"/>
        <v>1.0203939962476547</v>
      </c>
      <c r="H24" s="963"/>
      <c r="I24" s="963"/>
      <c r="J24" s="963"/>
      <c r="K24" s="963"/>
      <c r="L24" s="963"/>
      <c r="M24" s="963"/>
      <c r="N24" s="963"/>
      <c r="O24" s="963"/>
      <c r="P24" s="963"/>
      <c r="Q24" s="963"/>
    </row>
    <row r="25" spans="1:17" ht="13.5" customHeight="1">
      <c r="A25" s="994" t="s">
        <v>168</v>
      </c>
      <c r="B25" s="971">
        <v>9004</v>
      </c>
      <c r="C25" s="972">
        <v>9639</v>
      </c>
      <c r="D25" s="977">
        <v>10177</v>
      </c>
      <c r="E25" s="978">
        <v>11979.79</v>
      </c>
      <c r="F25" s="979">
        <f t="shared" si="0"/>
        <v>1802.7900000000009</v>
      </c>
      <c r="G25" s="980">
        <f t="shared" si="1"/>
        <v>1.177143559005601</v>
      </c>
      <c r="H25" s="963"/>
      <c r="I25" s="963"/>
      <c r="J25" s="963"/>
      <c r="K25" s="963"/>
      <c r="L25" s="963"/>
      <c r="M25" s="963"/>
      <c r="N25" s="963"/>
      <c r="O25" s="963"/>
      <c r="P25" s="963"/>
      <c r="Q25" s="963"/>
    </row>
    <row r="26" spans="1:17" ht="13.5" customHeight="1">
      <c r="A26" s="981" t="s">
        <v>169</v>
      </c>
      <c r="B26" s="971">
        <v>6568</v>
      </c>
      <c r="C26" s="972">
        <v>7030</v>
      </c>
      <c r="D26" s="977">
        <v>7414</v>
      </c>
      <c r="E26" s="978">
        <v>8724</v>
      </c>
      <c r="F26" s="979">
        <f t="shared" si="0"/>
        <v>1310</v>
      </c>
      <c r="G26" s="980">
        <f t="shared" si="1"/>
        <v>1.176692743458322</v>
      </c>
      <c r="H26" s="963"/>
      <c r="I26" s="963"/>
      <c r="J26" s="963"/>
      <c r="K26" s="963"/>
      <c r="L26" s="963"/>
      <c r="M26" s="963"/>
      <c r="N26" s="963"/>
      <c r="O26" s="963"/>
      <c r="P26" s="963"/>
      <c r="Q26" s="963"/>
    </row>
    <row r="27" spans="1:17" ht="13.5" customHeight="1">
      <c r="A27" s="994" t="s">
        <v>170</v>
      </c>
      <c r="B27" s="971">
        <v>6550</v>
      </c>
      <c r="C27" s="972">
        <v>7005</v>
      </c>
      <c r="D27" s="977">
        <v>7400</v>
      </c>
      <c r="E27" s="978">
        <v>8704</v>
      </c>
      <c r="F27" s="979">
        <f t="shared" si="0"/>
        <v>1304</v>
      </c>
      <c r="G27" s="980">
        <f t="shared" si="1"/>
        <v>1.1762162162162162</v>
      </c>
      <c r="H27" s="963"/>
      <c r="I27" s="963"/>
      <c r="J27" s="963"/>
      <c r="K27" s="963"/>
      <c r="L27" s="963"/>
      <c r="M27" s="963"/>
      <c r="N27" s="963"/>
      <c r="O27" s="963"/>
      <c r="P27" s="963"/>
      <c r="Q27" s="963"/>
    </row>
    <row r="28" spans="1:17" ht="13.5" customHeight="1">
      <c r="A28" s="981" t="s">
        <v>171</v>
      </c>
      <c r="B28" s="971">
        <v>18</v>
      </c>
      <c r="C28" s="972">
        <v>25</v>
      </c>
      <c r="D28" s="977">
        <v>14</v>
      </c>
      <c r="E28" s="978">
        <v>20</v>
      </c>
      <c r="F28" s="979">
        <f t="shared" si="0"/>
        <v>6</v>
      </c>
      <c r="G28" s="980">
        <f t="shared" si="1"/>
        <v>1.4285714285714286</v>
      </c>
      <c r="H28" s="963"/>
      <c r="I28" s="963"/>
      <c r="J28" s="963"/>
      <c r="K28" s="963"/>
      <c r="L28" s="963"/>
      <c r="M28" s="963"/>
      <c r="N28" s="963"/>
      <c r="O28" s="963"/>
      <c r="P28" s="963"/>
      <c r="Q28" s="963"/>
    </row>
    <row r="29" spans="1:17" ht="13.5" customHeight="1">
      <c r="A29" s="981" t="s">
        <v>172</v>
      </c>
      <c r="B29" s="971">
        <v>2436</v>
      </c>
      <c r="C29" s="972">
        <v>2609</v>
      </c>
      <c r="D29" s="977">
        <v>2763</v>
      </c>
      <c r="E29" s="978">
        <v>3256</v>
      </c>
      <c r="F29" s="979">
        <f t="shared" si="0"/>
        <v>493</v>
      </c>
      <c r="G29" s="980">
        <f t="shared" si="1"/>
        <v>1.1784292435758235</v>
      </c>
      <c r="H29" s="963"/>
      <c r="I29" s="963"/>
      <c r="J29" s="963"/>
      <c r="K29" s="963"/>
      <c r="L29" s="963"/>
      <c r="M29" s="963"/>
      <c r="N29" s="963"/>
      <c r="O29" s="963"/>
      <c r="P29" s="963"/>
      <c r="Q29" s="963"/>
    </row>
    <row r="30" spans="1:17" ht="13.5" customHeight="1">
      <c r="A30" s="994" t="s">
        <v>173</v>
      </c>
      <c r="B30" s="971">
        <v>2</v>
      </c>
      <c r="C30" s="972">
        <v>3</v>
      </c>
      <c r="D30" s="977">
        <v>2</v>
      </c>
      <c r="E30" s="978">
        <v>0.6</v>
      </c>
      <c r="F30" s="979">
        <f t="shared" si="0"/>
        <v>-1.4</v>
      </c>
      <c r="G30" s="980"/>
      <c r="H30" s="963"/>
      <c r="I30" s="963"/>
      <c r="J30" s="963"/>
      <c r="K30" s="963"/>
      <c r="L30" s="963"/>
      <c r="M30" s="963"/>
      <c r="N30" s="963"/>
      <c r="O30" s="963"/>
      <c r="P30" s="963"/>
      <c r="Q30" s="963"/>
    </row>
    <row r="31" spans="1:17" ht="13.5" customHeight="1">
      <c r="A31" s="994" t="s">
        <v>174</v>
      </c>
      <c r="B31" s="971">
        <v>73</v>
      </c>
      <c r="C31" s="972">
        <v>101</v>
      </c>
      <c r="D31" s="977">
        <v>68</v>
      </c>
      <c r="E31" s="978">
        <v>89.66</v>
      </c>
      <c r="F31" s="979">
        <f t="shared" si="0"/>
        <v>21.659999999999997</v>
      </c>
      <c r="G31" s="980">
        <f>+E31/D31</f>
        <v>1.3185294117647057</v>
      </c>
      <c r="H31" s="963"/>
      <c r="I31" s="963"/>
      <c r="J31" s="963"/>
      <c r="K31" s="963"/>
      <c r="L31" s="963"/>
      <c r="M31" s="963"/>
      <c r="N31" s="963"/>
      <c r="O31" s="963"/>
      <c r="P31" s="963"/>
      <c r="Q31" s="963"/>
    </row>
    <row r="32" spans="1:17" ht="13.5" customHeight="1">
      <c r="A32" s="981" t="s">
        <v>175</v>
      </c>
      <c r="B32" s="971">
        <v>164</v>
      </c>
      <c r="C32" s="972">
        <v>147</v>
      </c>
      <c r="D32" s="977">
        <v>173</v>
      </c>
      <c r="E32" s="978">
        <v>195</v>
      </c>
      <c r="F32" s="979">
        <f t="shared" si="0"/>
        <v>22</v>
      </c>
      <c r="G32" s="980">
        <f>+E32/D32</f>
        <v>1.1271676300578035</v>
      </c>
      <c r="H32" s="963"/>
      <c r="I32" s="963"/>
      <c r="J32" s="963"/>
      <c r="K32" s="963"/>
      <c r="L32" s="963"/>
      <c r="M32" s="963"/>
      <c r="N32" s="963"/>
      <c r="O32" s="963"/>
      <c r="P32" s="963"/>
      <c r="Q32" s="963"/>
    </row>
    <row r="33" spans="1:17" ht="20.25" customHeight="1">
      <c r="A33" s="981" t="s">
        <v>176</v>
      </c>
      <c r="B33" s="971">
        <v>164</v>
      </c>
      <c r="C33" s="972">
        <v>147</v>
      </c>
      <c r="D33" s="977">
        <v>173</v>
      </c>
      <c r="E33" s="978">
        <v>195</v>
      </c>
      <c r="F33" s="979">
        <f t="shared" si="0"/>
        <v>22</v>
      </c>
      <c r="G33" s="980">
        <f>+E33/D33</f>
        <v>1.1271676300578035</v>
      </c>
      <c r="H33" s="963"/>
      <c r="I33" s="963"/>
      <c r="J33" s="963"/>
      <c r="K33" s="963"/>
      <c r="L33" s="963"/>
      <c r="M33" s="963"/>
      <c r="N33" s="963"/>
      <c r="O33" s="963"/>
      <c r="P33" s="963"/>
      <c r="Q33" s="963"/>
    </row>
    <row r="34" spans="1:17" ht="13.5" customHeight="1" thickBot="1">
      <c r="A34" s="995" t="s">
        <v>177</v>
      </c>
      <c r="B34" s="971">
        <v>0</v>
      </c>
      <c r="C34" s="972">
        <v>0</v>
      </c>
      <c r="D34" s="996">
        <v>0</v>
      </c>
      <c r="E34" s="983">
        <v>0</v>
      </c>
      <c r="F34" s="984">
        <f t="shared" si="0"/>
        <v>0</v>
      </c>
      <c r="G34" s="985"/>
      <c r="H34" s="963"/>
      <c r="I34" s="963"/>
      <c r="J34" s="963"/>
      <c r="K34" s="963"/>
      <c r="L34" s="963"/>
      <c r="M34" s="963"/>
      <c r="N34" s="963"/>
      <c r="O34" s="963"/>
      <c r="P34" s="963"/>
      <c r="Q34" s="963"/>
    </row>
    <row r="35" spans="1:17" ht="13.5" customHeight="1" thickBot="1">
      <c r="A35" s="986" t="s">
        <v>18</v>
      </c>
      <c r="B35" s="987">
        <v>11773</v>
      </c>
      <c r="C35" s="988">
        <v>12482</v>
      </c>
      <c r="D35" s="997">
        <f>SUM(D17+D19+D20+D21+D22+D25+D30+D31+D32+D34)</f>
        <v>12842</v>
      </c>
      <c r="E35" s="998">
        <f>SUM(E17+E19+E20+E21+E22+E25+E30+E31+E32+E34)</f>
        <v>14806.070000000002</v>
      </c>
      <c r="F35" s="990">
        <f t="shared" si="0"/>
        <v>1964.0700000000015</v>
      </c>
      <c r="G35" s="991">
        <f>+E35/D35</f>
        <v>1.1529411306650055</v>
      </c>
      <c r="H35" s="963"/>
      <c r="I35" s="963"/>
      <c r="J35" s="963"/>
      <c r="K35" s="963"/>
      <c r="L35" s="963"/>
      <c r="M35" s="963"/>
      <c r="N35" s="963"/>
      <c r="O35" s="963"/>
      <c r="P35" s="963"/>
      <c r="Q35" s="963"/>
    </row>
    <row r="36" spans="1:17" ht="18" customHeight="1" thickBot="1">
      <c r="A36" s="986" t="s">
        <v>26</v>
      </c>
      <c r="B36" s="999">
        <f>+B16-B35</f>
        <v>124</v>
      </c>
      <c r="C36" s="999">
        <f>+C16-C35</f>
        <v>0</v>
      </c>
      <c r="D36" s="999">
        <f>+D16-D35</f>
        <v>0</v>
      </c>
      <c r="E36" s="999">
        <f>+E16-E35</f>
        <v>130.92999999999847</v>
      </c>
      <c r="F36" s="1796"/>
      <c r="G36" s="1797"/>
      <c r="H36" s="963"/>
      <c r="I36" s="963"/>
      <c r="J36" s="963"/>
      <c r="K36" s="963"/>
      <c r="L36" s="963"/>
      <c r="M36" s="963"/>
      <c r="N36" s="963"/>
      <c r="O36" s="963"/>
      <c r="P36" s="963"/>
      <c r="Q36" s="963"/>
    </row>
    <row r="37" spans="1:17" ht="20.25" customHeight="1" thickBot="1">
      <c r="A37" s="1000" t="s">
        <v>263</v>
      </c>
      <c r="B37" s="1001">
        <v>0</v>
      </c>
      <c r="C37" s="999">
        <v>0</v>
      </c>
      <c r="D37" s="999">
        <v>0</v>
      </c>
      <c r="E37" s="999">
        <v>0</v>
      </c>
      <c r="F37" s="963"/>
      <c r="G37" s="963"/>
      <c r="H37" s="963"/>
      <c r="I37" s="963"/>
      <c r="J37" s="963"/>
      <c r="K37" s="963"/>
      <c r="L37" s="963"/>
      <c r="M37" s="963"/>
      <c r="N37" s="963"/>
      <c r="O37" s="963"/>
      <c r="P37" s="963"/>
      <c r="Q37" s="963"/>
    </row>
    <row r="38" spans="1:17" ht="18" customHeight="1" hidden="1" thickBot="1">
      <c r="A38" s="1002" t="s">
        <v>264</v>
      </c>
      <c r="B38" s="1001">
        <v>0</v>
      </c>
      <c r="C38" s="999">
        <v>0</v>
      </c>
      <c r="D38" s="999">
        <v>0</v>
      </c>
      <c r="E38" s="999">
        <v>0</v>
      </c>
      <c r="F38" s="963"/>
      <c r="G38" s="963"/>
      <c r="H38" s="963"/>
      <c r="I38" s="963"/>
      <c r="J38" s="963"/>
      <c r="K38" s="963"/>
      <c r="L38" s="963"/>
      <c r="M38" s="963"/>
      <c r="N38" s="963"/>
      <c r="O38" s="963"/>
      <c r="P38" s="963"/>
      <c r="Q38" s="963"/>
    </row>
    <row r="39" spans="2:9" ht="6.75" customHeight="1">
      <c r="B39" s="960"/>
      <c r="C39" s="960"/>
      <c r="D39" s="1003"/>
      <c r="E39" s="1003"/>
      <c r="F39" s="960"/>
      <c r="G39" s="960"/>
      <c r="H39" s="960"/>
      <c r="I39" s="960"/>
    </row>
    <row r="40" spans="1:17" s="1006" customFormat="1" ht="11.25" customHeight="1" thickBot="1">
      <c r="A40" s="1004"/>
      <c r="B40" s="1004"/>
      <c r="C40" s="1004"/>
      <c r="D40" s="1004"/>
      <c r="E40" s="1004"/>
      <c r="F40" s="1004"/>
      <c r="G40" s="1004"/>
      <c r="H40" s="1004"/>
      <c r="I40" s="1004"/>
      <c r="J40" s="1005"/>
      <c r="K40" s="1005"/>
      <c r="L40" s="1005"/>
      <c r="M40" s="1005"/>
      <c r="N40" s="1005"/>
      <c r="O40" s="1005"/>
      <c r="P40" s="1005"/>
      <c r="Q40" s="1005"/>
    </row>
    <row r="41" spans="1:15" ht="12.75">
      <c r="A41" s="1016" t="s">
        <v>389</v>
      </c>
      <c r="B41" s="1017">
        <v>2005</v>
      </c>
      <c r="C41" s="1018">
        <v>2006</v>
      </c>
      <c r="D41" s="1012"/>
      <c r="E41" s="1012"/>
      <c r="F41" s="1012"/>
      <c r="G41" s="1013"/>
      <c r="H41" s="1013"/>
      <c r="I41" s="1012"/>
      <c r="J41" s="1012"/>
      <c r="K41" s="1012"/>
      <c r="L41" s="1012"/>
      <c r="M41" s="1013"/>
      <c r="O41" s="1011"/>
    </row>
    <row r="42" spans="1:15" ht="15" customHeight="1" thickBot="1">
      <c r="A42" s="1019" t="s">
        <v>394</v>
      </c>
      <c r="B42" s="1020">
        <v>44</v>
      </c>
      <c r="C42" s="1021">
        <v>44</v>
      </c>
      <c r="D42" s="1012"/>
      <c r="E42" s="1012"/>
      <c r="F42" s="1012"/>
      <c r="G42" s="1012"/>
      <c r="H42" s="1012"/>
      <c r="I42" s="1012"/>
      <c r="J42" s="1012"/>
      <c r="K42" s="1012"/>
      <c r="L42" s="1012"/>
      <c r="M42" s="1012"/>
      <c r="O42" s="1011"/>
    </row>
    <row r="43" spans="1:15" ht="18" customHeight="1" thickBot="1">
      <c r="A43" s="1014"/>
      <c r="O43" s="1011"/>
    </row>
    <row r="44" spans="1:17" ht="13.5" thickBot="1">
      <c r="A44" s="1779" t="s">
        <v>387</v>
      </c>
      <c r="B44" s="1781" t="s">
        <v>24</v>
      </c>
      <c r="C44" s="1791" t="s">
        <v>388</v>
      </c>
      <c r="D44" s="1792"/>
      <c r="E44" s="1792"/>
      <c r="F44" s="1792"/>
      <c r="G44" s="1792"/>
      <c r="H44" s="1793"/>
      <c r="I44" s="1015"/>
      <c r="J44" s="963"/>
      <c r="K44" s="963"/>
      <c r="L44" s="963"/>
      <c r="N44" s="1011"/>
      <c r="Q44" s="963"/>
    </row>
    <row r="45" spans="1:17" ht="13.5" thickBot="1">
      <c r="A45" s="1780"/>
      <c r="B45" s="1782"/>
      <c r="C45" s="1059" t="s">
        <v>46</v>
      </c>
      <c r="D45" s="1060" t="s">
        <v>390</v>
      </c>
      <c r="E45" s="1060" t="s">
        <v>391</v>
      </c>
      <c r="F45" s="1060" t="s">
        <v>392</v>
      </c>
      <c r="G45" s="1061" t="s">
        <v>393</v>
      </c>
      <c r="H45" s="1062" t="s">
        <v>129</v>
      </c>
      <c r="J45" s="963"/>
      <c r="K45" s="963"/>
      <c r="L45" s="963"/>
      <c r="N45" s="1011"/>
      <c r="Q45" s="963"/>
    </row>
    <row r="46" spans="1:17" s="1007" customFormat="1" ht="24" customHeight="1">
      <c r="A46" s="1054" t="s">
        <v>395</v>
      </c>
      <c r="B46" s="1055">
        <v>397.3</v>
      </c>
      <c r="C46" s="1056">
        <v>0</v>
      </c>
      <c r="D46" s="1057">
        <v>0</v>
      </c>
      <c r="E46" s="1057">
        <v>0</v>
      </c>
      <c r="F46" s="1057">
        <v>0</v>
      </c>
      <c r="G46" s="1058">
        <v>397.3</v>
      </c>
      <c r="H46" s="1055">
        <f>SUM(C46:G46)</f>
        <v>397.3</v>
      </c>
      <c r="J46" s="1022"/>
      <c r="N46" s="1009"/>
      <c r="O46" s="1023"/>
      <c r="P46" s="1009"/>
      <c r="Q46" s="1009"/>
    </row>
    <row r="47" spans="1:17" s="1007" customFormat="1" ht="19.5" customHeight="1" thickBot="1">
      <c r="A47" s="1024" t="s">
        <v>359</v>
      </c>
      <c r="B47" s="1025">
        <v>0</v>
      </c>
      <c r="C47" s="1026">
        <v>0</v>
      </c>
      <c r="D47" s="1027">
        <v>0</v>
      </c>
      <c r="E47" s="1027">
        <v>0</v>
      </c>
      <c r="F47" s="1027">
        <v>0</v>
      </c>
      <c r="G47" s="1028">
        <v>0</v>
      </c>
      <c r="H47" s="1025">
        <f>SUM(C47:G47)</f>
        <v>0</v>
      </c>
      <c r="J47" s="1022"/>
      <c r="N47" s="1009"/>
      <c r="O47" s="1023"/>
      <c r="P47" s="1009"/>
      <c r="Q47" s="1009"/>
    </row>
    <row r="48" ht="13.5" customHeight="1">
      <c r="O48" s="1011"/>
    </row>
    <row r="49" spans="1:15" ht="13.5" hidden="1" thickBot="1">
      <c r="A49" s="1774" t="s">
        <v>396</v>
      </c>
      <c r="B49" s="1776">
        <v>2003</v>
      </c>
      <c r="C49" s="1777"/>
      <c r="D49" s="1777"/>
      <c r="E49" s="1777"/>
      <c r="F49" s="1777"/>
      <c r="G49" s="1777"/>
      <c r="H49" s="1778"/>
      <c r="I49" s="1015"/>
      <c r="O49" s="1011"/>
    </row>
    <row r="50" spans="1:15" ht="19.5" customHeight="1" hidden="1" thickBot="1">
      <c r="A50" s="1775"/>
      <c r="B50" s="1029" t="s">
        <v>397</v>
      </c>
      <c r="C50" s="1030" t="s">
        <v>398</v>
      </c>
      <c r="D50" s="1030" t="s">
        <v>399</v>
      </c>
      <c r="E50" s="1030" t="s">
        <v>400</v>
      </c>
      <c r="F50" s="1030" t="s">
        <v>64</v>
      </c>
      <c r="G50" s="1031" t="s">
        <v>401</v>
      </c>
      <c r="H50" s="1032" t="s">
        <v>129</v>
      </c>
      <c r="O50" s="1011"/>
    </row>
    <row r="51" spans="1:17" s="1007" customFormat="1" ht="13.5" hidden="1" thickBot="1">
      <c r="A51" s="1033" t="s">
        <v>402</v>
      </c>
      <c r="B51" s="1034"/>
      <c r="C51" s="1035">
        <v>218637</v>
      </c>
      <c r="D51" s="1035">
        <v>23951</v>
      </c>
      <c r="E51" s="1035">
        <v>4567306</v>
      </c>
      <c r="F51" s="1035">
        <v>818216</v>
      </c>
      <c r="G51" s="1036">
        <v>921890</v>
      </c>
      <c r="H51" s="1037">
        <f>SUM(B51:G51)</f>
        <v>6550000</v>
      </c>
      <c r="J51" s="1009"/>
      <c r="K51" s="1009"/>
      <c r="L51" s="1009"/>
      <c r="M51" s="1009"/>
      <c r="N51" s="1009"/>
      <c r="O51" s="1023"/>
      <c r="P51" s="1009"/>
      <c r="Q51" s="1009"/>
    </row>
    <row r="52" spans="1:15" ht="12.75" hidden="1">
      <c r="A52" s="1038" t="s">
        <v>403</v>
      </c>
      <c r="B52" s="1039"/>
      <c r="C52" s="1040">
        <v>1.42</v>
      </c>
      <c r="D52" s="1040">
        <v>0.1</v>
      </c>
      <c r="E52" s="1040">
        <v>24.32</v>
      </c>
      <c r="F52" s="1040">
        <v>3.25</v>
      </c>
      <c r="G52" s="1041">
        <v>8.01</v>
      </c>
      <c r="H52" s="1042">
        <f>SUM(B52:G52)</f>
        <v>37.1</v>
      </c>
      <c r="O52" s="1011"/>
    </row>
    <row r="53" spans="1:15" ht="13.5" hidden="1" thickBot="1">
      <c r="A53" s="1043" t="s">
        <v>404</v>
      </c>
      <c r="B53" s="1044"/>
      <c r="C53" s="1045">
        <f aca="true" t="shared" si="2" ref="C53:H53">+C51/C52/12</f>
        <v>12830.80985915493</v>
      </c>
      <c r="D53" s="1045">
        <f t="shared" si="2"/>
        <v>19959.166666666668</v>
      </c>
      <c r="E53" s="1045">
        <f t="shared" si="2"/>
        <v>15650.034265350878</v>
      </c>
      <c r="F53" s="1045">
        <f t="shared" si="2"/>
        <v>20979.897435897434</v>
      </c>
      <c r="G53" s="1046">
        <f t="shared" si="2"/>
        <v>9591.032043279234</v>
      </c>
      <c r="H53" s="1047">
        <f t="shared" si="2"/>
        <v>14712.48876909254</v>
      </c>
      <c r="O53" s="1011"/>
    </row>
    <row r="54" spans="1:15" ht="6.75" customHeight="1" thickBot="1">
      <c r="A54" s="963"/>
      <c r="O54" s="1011"/>
    </row>
    <row r="55" spans="1:15" ht="13.5" thickBot="1">
      <c r="A55" s="1774" t="s">
        <v>396</v>
      </c>
      <c r="B55" s="1776">
        <v>2004</v>
      </c>
      <c r="C55" s="1777"/>
      <c r="D55" s="1777"/>
      <c r="E55" s="1777"/>
      <c r="F55" s="1777"/>
      <c r="G55" s="1777"/>
      <c r="H55" s="1778"/>
      <c r="I55" s="1010"/>
      <c r="O55" s="1011"/>
    </row>
    <row r="56" spans="1:15" ht="16.5" customHeight="1" thickBot="1">
      <c r="A56" s="1775"/>
      <c r="B56" s="1029" t="s">
        <v>397</v>
      </c>
      <c r="C56" s="1030" t="s">
        <v>405</v>
      </c>
      <c r="D56" s="1030" t="s">
        <v>406</v>
      </c>
      <c r="E56" s="1031" t="s">
        <v>400</v>
      </c>
      <c r="F56" s="1030" t="s">
        <v>407</v>
      </c>
      <c r="G56" s="1031" t="s">
        <v>401</v>
      </c>
      <c r="H56" s="1032" t="s">
        <v>129</v>
      </c>
      <c r="O56" s="1011"/>
    </row>
    <row r="57" spans="1:15" ht="13.5" thickBot="1">
      <c r="A57" s="1033" t="s">
        <v>402</v>
      </c>
      <c r="B57" s="1048"/>
      <c r="C57" s="1035">
        <v>94034</v>
      </c>
      <c r="D57" s="1035">
        <v>358810</v>
      </c>
      <c r="E57" s="1036">
        <v>4672171</v>
      </c>
      <c r="F57" s="1035">
        <v>884895</v>
      </c>
      <c r="G57" s="1036">
        <v>995954</v>
      </c>
      <c r="H57" s="1037">
        <f>SUM(B57:G57)</f>
        <v>7005864</v>
      </c>
      <c r="O57" s="1011"/>
    </row>
    <row r="58" spans="1:15" ht="14.25" thickBot="1" thickTop="1">
      <c r="A58" s="1038" t="s">
        <v>403</v>
      </c>
      <c r="B58" s="1049"/>
      <c r="C58" s="1040">
        <v>0.4</v>
      </c>
      <c r="D58" s="1040">
        <v>1.92</v>
      </c>
      <c r="E58" s="1041">
        <v>26.01</v>
      </c>
      <c r="F58" s="1040">
        <v>3.25</v>
      </c>
      <c r="G58" s="1041">
        <v>8</v>
      </c>
      <c r="H58" s="1042">
        <f>SUM(B58:G58)</f>
        <v>39.58</v>
      </c>
      <c r="O58" s="1011"/>
    </row>
    <row r="59" spans="1:15" ht="13.5" thickBot="1">
      <c r="A59" s="1043" t="s">
        <v>404</v>
      </c>
      <c r="B59" s="1050"/>
      <c r="C59" s="1045">
        <f aca="true" t="shared" si="3" ref="C59:H59">+C57/C58/12</f>
        <v>19590.416666666668</v>
      </c>
      <c r="D59" s="1045">
        <f t="shared" si="3"/>
        <v>15573.350694444445</v>
      </c>
      <c r="E59" s="1045">
        <f t="shared" si="3"/>
        <v>14969.149686018196</v>
      </c>
      <c r="F59" s="1045">
        <f t="shared" si="3"/>
        <v>22689.615384615387</v>
      </c>
      <c r="G59" s="1046">
        <f t="shared" si="3"/>
        <v>10374.520833333334</v>
      </c>
      <c r="H59" s="1047">
        <f t="shared" si="3"/>
        <v>14750.429509853462</v>
      </c>
      <c r="O59" s="1011"/>
    </row>
    <row r="60" spans="1:15" ht="9" customHeight="1" thickBot="1">
      <c r="A60" s="963"/>
      <c r="O60" s="1011"/>
    </row>
    <row r="61" spans="1:15" ht="13.5" thickBot="1">
      <c r="A61" s="1774" t="s">
        <v>396</v>
      </c>
      <c r="B61" s="1776">
        <v>2005</v>
      </c>
      <c r="C61" s="1777"/>
      <c r="D61" s="1777"/>
      <c r="E61" s="1777"/>
      <c r="F61" s="1777"/>
      <c r="G61" s="1777"/>
      <c r="H61" s="1778"/>
      <c r="I61" s="1010"/>
      <c r="O61" s="1011"/>
    </row>
    <row r="62" spans="1:15" ht="18.75" thickBot="1">
      <c r="A62" s="1775"/>
      <c r="B62" s="1051" t="s">
        <v>408</v>
      </c>
      <c r="C62" s="1052" t="s">
        <v>409</v>
      </c>
      <c r="D62" s="1052" t="s">
        <v>410</v>
      </c>
      <c r="E62" s="1052" t="s">
        <v>411</v>
      </c>
      <c r="F62" s="1052" t="s">
        <v>407</v>
      </c>
      <c r="G62" s="1051" t="s">
        <v>412</v>
      </c>
      <c r="H62" s="1053" t="s">
        <v>129</v>
      </c>
      <c r="O62" s="1011"/>
    </row>
    <row r="63" spans="1:15" ht="13.5" thickBot="1">
      <c r="A63" s="1033" t="s">
        <v>402</v>
      </c>
      <c r="B63" s="1036">
        <v>4823172</v>
      </c>
      <c r="C63" s="1035">
        <v>210264</v>
      </c>
      <c r="D63" s="1035">
        <v>357502</v>
      </c>
      <c r="E63" s="1035">
        <v>133894</v>
      </c>
      <c r="F63" s="1035">
        <v>884961</v>
      </c>
      <c r="G63" s="1036">
        <v>990207</v>
      </c>
      <c r="H63" s="1037">
        <f>SUM(B63:G63)</f>
        <v>7400000</v>
      </c>
      <c r="O63" s="1011"/>
    </row>
    <row r="64" spans="1:15" ht="14.25" thickBot="1" thickTop="1">
      <c r="A64" s="1038" t="s">
        <v>403</v>
      </c>
      <c r="B64" s="1041">
        <v>23.91</v>
      </c>
      <c r="C64" s="1040">
        <v>1</v>
      </c>
      <c r="D64" s="1040">
        <v>2</v>
      </c>
      <c r="E64" s="1040">
        <v>0.5</v>
      </c>
      <c r="F64" s="1040">
        <v>3.25</v>
      </c>
      <c r="G64" s="1041">
        <v>8</v>
      </c>
      <c r="H64" s="1042">
        <f>+E64+D64+B64+F64+G64</f>
        <v>37.66</v>
      </c>
      <c r="O64" s="1011"/>
    </row>
    <row r="65" spans="1:15" ht="13.5" thickBot="1">
      <c r="A65" s="1043" t="s">
        <v>404</v>
      </c>
      <c r="B65" s="1045">
        <f aca="true" t="shared" si="4" ref="B65:H65">+B63/B64/12</f>
        <v>16810.163111668757</v>
      </c>
      <c r="C65" s="1045">
        <f t="shared" si="4"/>
        <v>17522</v>
      </c>
      <c r="D65" s="1045">
        <f t="shared" si="4"/>
        <v>14895.916666666666</v>
      </c>
      <c r="E65" s="1045">
        <f t="shared" si="4"/>
        <v>22315.666666666668</v>
      </c>
      <c r="F65" s="1045">
        <f t="shared" si="4"/>
        <v>22691.30769230769</v>
      </c>
      <c r="G65" s="1046">
        <f t="shared" si="4"/>
        <v>10314.65625</v>
      </c>
      <c r="H65" s="1047">
        <f t="shared" si="4"/>
        <v>16374.579571605595</v>
      </c>
      <c r="O65" s="1011"/>
    </row>
    <row r="66" ht="13.5" thickBot="1">
      <c r="A66" s="963"/>
    </row>
    <row r="67" spans="1:8" ht="13.5" thickBot="1">
      <c r="A67" s="1774" t="s">
        <v>396</v>
      </c>
      <c r="B67" s="1776">
        <v>2006</v>
      </c>
      <c r="C67" s="1777"/>
      <c r="D67" s="1777"/>
      <c r="E67" s="1777"/>
      <c r="F67" s="1777"/>
      <c r="G67" s="1777"/>
      <c r="H67" s="1778"/>
    </row>
    <row r="68" spans="1:17" ht="18.75" customHeight="1" thickBot="1">
      <c r="A68" s="1775"/>
      <c r="B68" s="1051" t="s">
        <v>408</v>
      </c>
      <c r="C68" s="1052" t="s">
        <v>409</v>
      </c>
      <c r="D68" s="1052" t="s">
        <v>410</v>
      </c>
      <c r="E68" s="1052" t="s">
        <v>411</v>
      </c>
      <c r="F68" s="1052" t="s">
        <v>407</v>
      </c>
      <c r="G68" s="1051" t="s">
        <v>412</v>
      </c>
      <c r="H68" s="1032" t="s">
        <v>129</v>
      </c>
      <c r="I68" s="960"/>
      <c r="Q68" s="963"/>
    </row>
    <row r="69" spans="1:16" s="1007" customFormat="1" ht="13.5" customHeight="1" thickBot="1">
      <c r="A69" s="1033" t="s">
        <v>402</v>
      </c>
      <c r="B69" s="1048">
        <v>5794419</v>
      </c>
      <c r="C69" s="1035">
        <v>250024</v>
      </c>
      <c r="D69" s="1035">
        <v>420441</v>
      </c>
      <c r="E69" s="1036">
        <v>152729</v>
      </c>
      <c r="F69" s="1035">
        <v>972471</v>
      </c>
      <c r="G69" s="1036">
        <v>1113916</v>
      </c>
      <c r="H69" s="1037">
        <f>SUM(B69:G69)</f>
        <v>8704000</v>
      </c>
      <c r="I69" s="1009"/>
      <c r="J69" s="1009"/>
      <c r="K69" s="1009"/>
      <c r="L69" s="1009"/>
      <c r="M69" s="1009"/>
      <c r="N69" s="1009"/>
      <c r="O69" s="1009"/>
      <c r="P69" s="1009"/>
    </row>
    <row r="70" spans="1:17" s="1007" customFormat="1" ht="13.5" customHeight="1" thickBot="1" thickTop="1">
      <c r="A70" s="1038" t="s">
        <v>403</v>
      </c>
      <c r="B70" s="1049">
        <v>24.25</v>
      </c>
      <c r="C70" s="1040">
        <v>1</v>
      </c>
      <c r="D70" s="1040">
        <v>2</v>
      </c>
      <c r="E70" s="1041">
        <v>0.5</v>
      </c>
      <c r="F70" s="1040">
        <v>3.34</v>
      </c>
      <c r="G70" s="1041">
        <v>8</v>
      </c>
      <c r="H70" s="1042">
        <f>SUM(B70:G70)</f>
        <v>39.09</v>
      </c>
      <c r="I70" s="1008"/>
      <c r="J70" s="1009"/>
      <c r="K70" s="1009"/>
      <c r="L70" s="1009"/>
      <c r="M70" s="1009"/>
      <c r="N70" s="1009"/>
      <c r="O70" s="1009"/>
      <c r="P70" s="1009"/>
      <c r="Q70" s="1009"/>
    </row>
    <row r="71" spans="1:17" s="1007" customFormat="1" ht="13.5" customHeight="1" thickBot="1">
      <c r="A71" s="1043" t="s">
        <v>404</v>
      </c>
      <c r="B71" s="1045">
        <f aca="true" t="shared" si="5" ref="B71:H71">+B69/B70/12</f>
        <v>19912.092783505155</v>
      </c>
      <c r="C71" s="1045">
        <f t="shared" si="5"/>
        <v>20835.333333333332</v>
      </c>
      <c r="D71" s="1045">
        <f t="shared" si="5"/>
        <v>17518.375</v>
      </c>
      <c r="E71" s="1045">
        <f t="shared" si="5"/>
        <v>25454.833333333332</v>
      </c>
      <c r="F71" s="1045">
        <f t="shared" si="5"/>
        <v>24263.248502994014</v>
      </c>
      <c r="G71" s="1046">
        <f t="shared" si="5"/>
        <v>11603.291666666666</v>
      </c>
      <c r="H71" s="1047">
        <f t="shared" si="5"/>
        <v>18555.470282254624</v>
      </c>
      <c r="I71" s="1008"/>
      <c r="J71" s="1009"/>
      <c r="K71" s="1009"/>
      <c r="L71" s="1009"/>
      <c r="M71" s="1009"/>
      <c r="N71" s="1009"/>
      <c r="O71" s="1009"/>
      <c r="P71" s="1009"/>
      <c r="Q71" s="1009"/>
    </row>
  </sheetData>
  <mergeCells count="19">
    <mergeCell ref="B44:B45"/>
    <mergeCell ref="A3:A6"/>
    <mergeCell ref="B4:B6"/>
    <mergeCell ref="B3:G3"/>
    <mergeCell ref="C44:H44"/>
    <mergeCell ref="E4:E6"/>
    <mergeCell ref="F36:G36"/>
    <mergeCell ref="C4:C6"/>
    <mergeCell ref="D4:D6"/>
    <mergeCell ref="F4:G4"/>
    <mergeCell ref="A49:A50"/>
    <mergeCell ref="A67:A68"/>
    <mergeCell ref="B49:H49"/>
    <mergeCell ref="B55:H55"/>
    <mergeCell ref="B61:H61"/>
    <mergeCell ref="B67:H67"/>
    <mergeCell ref="A61:A62"/>
    <mergeCell ref="A55:A56"/>
    <mergeCell ref="A44:A45"/>
  </mergeCells>
  <printOptions horizontalCentered="1"/>
  <pageMargins left="0.2362204724409449" right="0.2755905511811024" top="0.25" bottom="0.2362204724409449" header="0.2362204724409449" footer="0.1968503937007874"/>
  <pageSetup horizontalDpi="600" verticalDpi="600" orientation="portrait" paperSize="9" scale="90" r:id="rId1"/>
  <headerFooter alignWithMargins="0">
    <oddFooter>&amp;Cstr. &amp;P / &amp;N</oddFooter>
  </headerFooter>
</worksheet>
</file>

<file path=xl/worksheets/sheet12.xml><?xml version="1.0" encoding="utf-8"?>
<worksheet xmlns="http://schemas.openxmlformats.org/spreadsheetml/2006/main" xmlns:r="http://schemas.openxmlformats.org/officeDocument/2006/relationships">
  <dimension ref="A2:Q70"/>
  <sheetViews>
    <sheetView workbookViewId="0" topLeftCell="A1">
      <selection activeCell="F10" sqref="F10"/>
    </sheetView>
  </sheetViews>
  <sheetFormatPr defaultColWidth="9.00390625" defaultRowHeight="12.75"/>
  <cols>
    <col min="1" max="1" width="28.125" style="1063" customWidth="1"/>
    <col min="2" max="7" width="13.125" style="1064" customWidth="1"/>
    <col min="8" max="8" width="9.75390625" style="1064" customWidth="1"/>
    <col min="9" max="9" width="8.125" style="1064" customWidth="1"/>
    <col min="10" max="10" width="8.875" style="1063" customWidth="1"/>
    <col min="11" max="12" width="8.125" style="1063" customWidth="1"/>
    <col min="13" max="13" width="9.125" style="1063" customWidth="1"/>
    <col min="14" max="15" width="9.25390625" style="1063" bestFit="1" customWidth="1"/>
    <col min="16" max="17" width="9.125" style="1063" customWidth="1"/>
    <col min="18" max="16384" width="9.125" style="1065" customWidth="1"/>
  </cols>
  <sheetData>
    <row r="1" ht="13.5" thickBot="1"/>
    <row r="2" spans="1:17" ht="17.25" customHeight="1" thickBot="1">
      <c r="A2" s="1783" t="s">
        <v>8</v>
      </c>
      <c r="B2" s="1815" t="s">
        <v>344</v>
      </c>
      <c r="C2" s="1790"/>
      <c r="D2" s="1790"/>
      <c r="E2" s="1790"/>
      <c r="F2" s="1790"/>
      <c r="G2" s="1436"/>
      <c r="H2" s="1065"/>
      <c r="I2" s="1065"/>
      <c r="J2" s="1065"/>
      <c r="K2" s="1065"/>
      <c r="L2" s="1065"/>
      <c r="M2" s="1065"/>
      <c r="N2" s="1065"/>
      <c r="O2" s="1065"/>
      <c r="P2" s="1065"/>
      <c r="Q2" s="1065"/>
    </row>
    <row r="3" spans="1:17" ht="12.75" customHeight="1">
      <c r="A3" s="1784"/>
      <c r="B3" s="1799">
        <v>2003</v>
      </c>
      <c r="C3" s="1813">
        <v>2004</v>
      </c>
      <c r="D3" s="1799">
        <v>2005</v>
      </c>
      <c r="E3" s="1813">
        <v>2006</v>
      </c>
      <c r="F3" s="1809" t="s">
        <v>385</v>
      </c>
      <c r="G3" s="1810"/>
      <c r="H3" s="1065"/>
      <c r="I3" s="1065"/>
      <c r="J3" s="1065"/>
      <c r="K3" s="1065"/>
      <c r="L3" s="1065"/>
      <c r="M3" s="1065"/>
      <c r="N3" s="1065"/>
      <c r="O3" s="1065"/>
      <c r="P3" s="1065"/>
      <c r="Q3" s="1065"/>
    </row>
    <row r="4" spans="1:17" ht="11.25" customHeight="1">
      <c r="A4" s="1784"/>
      <c r="B4" s="1800"/>
      <c r="C4" s="1814"/>
      <c r="D4" s="1800"/>
      <c r="E4" s="1814"/>
      <c r="F4" s="1066" t="s">
        <v>24</v>
      </c>
      <c r="G4" s="1067" t="s">
        <v>182</v>
      </c>
      <c r="H4" s="1065"/>
      <c r="I4" s="1065"/>
      <c r="J4" s="1065"/>
      <c r="K4" s="1065"/>
      <c r="L4" s="1065"/>
      <c r="M4" s="1065"/>
      <c r="N4" s="1065"/>
      <c r="O4" s="1065"/>
      <c r="P4" s="1065"/>
      <c r="Q4" s="1065"/>
    </row>
    <row r="5" spans="1:17" ht="9.75" customHeight="1" thickBot="1">
      <c r="A5" s="1785"/>
      <c r="B5" s="1801"/>
      <c r="C5" s="1823"/>
      <c r="D5" s="1801"/>
      <c r="E5" s="1814"/>
      <c r="F5" s="1068" t="s">
        <v>72</v>
      </c>
      <c r="G5" s="1069" t="s">
        <v>184</v>
      </c>
      <c r="H5" s="1065"/>
      <c r="I5" s="1065"/>
      <c r="J5" s="1065"/>
      <c r="K5" s="1065"/>
      <c r="L5" s="1065"/>
      <c r="M5" s="1065"/>
      <c r="N5" s="1065"/>
      <c r="O5" s="1065"/>
      <c r="P5" s="1065"/>
      <c r="Q5" s="1065"/>
    </row>
    <row r="6" spans="1:17" ht="13.5" customHeight="1">
      <c r="A6" s="1070" t="s">
        <v>151</v>
      </c>
      <c r="B6" s="1071">
        <v>0</v>
      </c>
      <c r="C6" s="1072">
        <v>0</v>
      </c>
      <c r="D6" s="1071">
        <v>0</v>
      </c>
      <c r="E6" s="1073">
        <v>0</v>
      </c>
      <c r="F6" s="1074"/>
      <c r="G6" s="1075"/>
      <c r="H6" s="1065"/>
      <c r="I6" s="1065"/>
      <c r="J6" s="1065"/>
      <c r="K6" s="1065"/>
      <c r="L6" s="1065"/>
      <c r="M6" s="1065"/>
      <c r="N6" s="1065"/>
      <c r="O6" s="1065"/>
      <c r="P6" s="1065"/>
      <c r="Q6" s="1065"/>
    </row>
    <row r="7" spans="1:17" ht="13.5" customHeight="1">
      <c r="A7" s="1076" t="s">
        <v>152</v>
      </c>
      <c r="B7" s="1077">
        <v>293</v>
      </c>
      <c r="C7" s="1078">
        <v>311</v>
      </c>
      <c r="D7" s="1077">
        <v>311.46</v>
      </c>
      <c r="E7" s="1078">
        <v>311.87</v>
      </c>
      <c r="F7" s="1079">
        <v>1</v>
      </c>
      <c r="G7" s="1080">
        <f>+E7/D7</f>
        <v>1.0013163809156875</v>
      </c>
      <c r="H7" s="1065"/>
      <c r="I7" s="1065"/>
      <c r="J7" s="1065"/>
      <c r="K7" s="1065"/>
      <c r="L7" s="1065"/>
      <c r="M7" s="1065"/>
      <c r="N7" s="1065"/>
      <c r="O7" s="1065"/>
      <c r="P7" s="1065"/>
      <c r="Q7" s="1065"/>
    </row>
    <row r="8" spans="1:17" ht="13.5" customHeight="1">
      <c r="A8" s="1076" t="s">
        <v>153</v>
      </c>
      <c r="B8" s="1077">
        <v>0</v>
      </c>
      <c r="C8" s="1078">
        <v>0</v>
      </c>
      <c r="D8" s="1077">
        <v>0</v>
      </c>
      <c r="E8" s="1078">
        <v>0</v>
      </c>
      <c r="F8" s="1079"/>
      <c r="G8" s="1080"/>
      <c r="H8" s="1065"/>
      <c r="I8" s="1065"/>
      <c r="J8" s="1065"/>
      <c r="K8" s="1065"/>
      <c r="L8" s="1065"/>
      <c r="M8" s="1065"/>
      <c r="N8" s="1065"/>
      <c r="O8" s="1065"/>
      <c r="P8" s="1065"/>
      <c r="Q8" s="1065"/>
    </row>
    <row r="9" spans="1:17" ht="13.5" customHeight="1">
      <c r="A9" s="1076" t="s">
        <v>154</v>
      </c>
      <c r="B9" s="1077">
        <v>0</v>
      </c>
      <c r="C9" s="1078">
        <v>0</v>
      </c>
      <c r="D9" s="1077">
        <v>0</v>
      </c>
      <c r="E9" s="1078">
        <v>0</v>
      </c>
      <c r="F9" s="1079"/>
      <c r="G9" s="1080"/>
      <c r="H9" s="1065"/>
      <c r="I9" s="1065"/>
      <c r="J9" s="1065"/>
      <c r="K9" s="1065"/>
      <c r="L9" s="1065"/>
      <c r="M9" s="1065"/>
      <c r="N9" s="1065"/>
      <c r="O9" s="1065"/>
      <c r="P9" s="1065"/>
      <c r="Q9" s="1065"/>
    </row>
    <row r="10" spans="1:17" ht="13.5" customHeight="1">
      <c r="A10" s="1076" t="s">
        <v>155</v>
      </c>
      <c r="B10" s="1077">
        <v>123</v>
      </c>
      <c r="C10" s="1078">
        <v>75.93</v>
      </c>
      <c r="D10" s="1077">
        <f>0.47+108.78+10.98</f>
        <v>120.23</v>
      </c>
      <c r="E10" s="1078">
        <v>379.78</v>
      </c>
      <c r="F10" s="1079">
        <f>+E10-D10</f>
        <v>259.54999999999995</v>
      </c>
      <c r="G10" s="1080">
        <f>+E10/D10</f>
        <v>3.1587790069034347</v>
      </c>
      <c r="H10" s="1065"/>
      <c r="I10" s="1065"/>
      <c r="J10" s="1065"/>
      <c r="K10" s="1065"/>
      <c r="L10" s="1065"/>
      <c r="M10" s="1065"/>
      <c r="N10" s="1065"/>
      <c r="O10" s="1065"/>
      <c r="P10" s="1065"/>
      <c r="Q10" s="1065"/>
    </row>
    <row r="11" spans="1:17" ht="13.5" customHeight="1">
      <c r="A11" s="1081" t="s">
        <v>156</v>
      </c>
      <c r="B11" s="1077">
        <v>98</v>
      </c>
      <c r="C11" s="1078">
        <v>52.73</v>
      </c>
      <c r="D11" s="1077">
        <v>108.78</v>
      </c>
      <c r="E11" s="1078">
        <v>267.9</v>
      </c>
      <c r="F11" s="1079">
        <f>+E11-D11</f>
        <v>159.11999999999998</v>
      </c>
      <c r="G11" s="1080">
        <f>+E11/D11</f>
        <v>2.46276889134032</v>
      </c>
      <c r="H11" s="1065"/>
      <c r="I11" s="1065"/>
      <c r="J11" s="1065"/>
      <c r="K11" s="1065"/>
      <c r="L11" s="1065"/>
      <c r="M11" s="1065"/>
      <c r="N11" s="1065"/>
      <c r="O11" s="1065"/>
      <c r="P11" s="1065"/>
      <c r="Q11" s="1065"/>
    </row>
    <row r="12" spans="1:17" ht="13.5" customHeight="1">
      <c r="A12" s="1081" t="s">
        <v>157</v>
      </c>
      <c r="B12" s="1077">
        <v>0</v>
      </c>
      <c r="C12" s="1078">
        <v>0</v>
      </c>
      <c r="D12" s="1077">
        <v>0</v>
      </c>
      <c r="E12" s="1078">
        <v>0</v>
      </c>
      <c r="F12" s="1079"/>
      <c r="G12" s="1080"/>
      <c r="H12" s="1065"/>
      <c r="I12" s="1065"/>
      <c r="J12" s="1065"/>
      <c r="K12" s="1065"/>
      <c r="L12" s="1065"/>
      <c r="M12" s="1065"/>
      <c r="N12" s="1065"/>
      <c r="O12" s="1065"/>
      <c r="P12" s="1065"/>
      <c r="Q12" s="1065"/>
    </row>
    <row r="13" spans="1:17" ht="20.25" customHeight="1">
      <c r="A13" s="1081" t="s">
        <v>158</v>
      </c>
      <c r="B13" s="1077">
        <v>0</v>
      </c>
      <c r="C13" s="1078">
        <v>0</v>
      </c>
      <c r="D13" s="1077">
        <v>0</v>
      </c>
      <c r="E13" s="1078">
        <v>0</v>
      </c>
      <c r="F13" s="1079"/>
      <c r="G13" s="1080"/>
      <c r="H13" s="1065"/>
      <c r="I13" s="1065"/>
      <c r="J13" s="1065"/>
      <c r="K13" s="1065"/>
      <c r="L13" s="1065"/>
      <c r="M13" s="1065"/>
      <c r="N13" s="1065"/>
      <c r="O13" s="1065"/>
      <c r="P13" s="1065"/>
      <c r="Q13" s="1065"/>
    </row>
    <row r="14" spans="1:17" ht="13.5" customHeight="1" thickBot="1">
      <c r="A14" s="1082" t="s">
        <v>159</v>
      </c>
      <c r="B14" s="1077">
        <v>7313</v>
      </c>
      <c r="C14" s="1078">
        <v>8000</v>
      </c>
      <c r="D14" s="1077">
        <v>8240</v>
      </c>
      <c r="E14" s="1083">
        <v>9107.64</v>
      </c>
      <c r="F14" s="1084">
        <f aca="true" t="shared" si="0" ref="F14:F34">+E14-D14</f>
        <v>867.6399999999994</v>
      </c>
      <c r="G14" s="1085">
        <f aca="true" t="shared" si="1" ref="G14:G28">+E14/D14</f>
        <v>1.1052961165048543</v>
      </c>
      <c r="H14" s="1065"/>
      <c r="I14" s="1065"/>
      <c r="J14" s="1065"/>
      <c r="K14" s="1065"/>
      <c r="L14" s="1065"/>
      <c r="M14" s="1065"/>
      <c r="N14" s="1065"/>
      <c r="O14" s="1065"/>
      <c r="P14" s="1065"/>
      <c r="Q14" s="1065"/>
    </row>
    <row r="15" spans="1:17" ht="13.5" customHeight="1" thickBot="1">
      <c r="A15" s="1086" t="s">
        <v>19</v>
      </c>
      <c r="B15" s="1087">
        <f>SUM(B7:B10,B12,B14)</f>
        <v>7729</v>
      </c>
      <c r="C15" s="1087">
        <f>SUM(C7:C10,C12,C14)</f>
        <v>8386.93</v>
      </c>
      <c r="D15" s="1087">
        <f>SUM(D7:D10,D12,D14)</f>
        <v>8671.69</v>
      </c>
      <c r="E15" s="1088">
        <f>SUM(E7:E10,E12,E14)</f>
        <v>9799.289999999999</v>
      </c>
      <c r="F15" s="1089">
        <f t="shared" si="0"/>
        <v>1127.5999999999985</v>
      </c>
      <c r="G15" s="1090">
        <f t="shared" si="1"/>
        <v>1.1300323235724523</v>
      </c>
      <c r="H15" s="1065"/>
      <c r="I15" s="1065"/>
      <c r="J15" s="1065"/>
      <c r="K15" s="1065"/>
      <c r="L15" s="1065"/>
      <c r="M15" s="1065"/>
      <c r="N15" s="1065"/>
      <c r="O15" s="1065"/>
      <c r="P15" s="1065"/>
      <c r="Q15" s="1065"/>
    </row>
    <row r="16" spans="1:17" ht="13.5" customHeight="1">
      <c r="A16" s="1091" t="s">
        <v>160</v>
      </c>
      <c r="B16" s="1071">
        <v>897</v>
      </c>
      <c r="C16" s="1072">
        <v>1110.94</v>
      </c>
      <c r="D16" s="1077">
        <v>1244.58</v>
      </c>
      <c r="E16" s="1072">
        <v>1253.65</v>
      </c>
      <c r="F16" s="1074">
        <f t="shared" si="0"/>
        <v>9.070000000000164</v>
      </c>
      <c r="G16" s="1092">
        <f t="shared" si="1"/>
        <v>1.0072875990293915</v>
      </c>
      <c r="H16" s="1065"/>
      <c r="I16" s="1065"/>
      <c r="J16" s="1065"/>
      <c r="K16" s="1065"/>
      <c r="L16" s="1065"/>
      <c r="M16" s="1065"/>
      <c r="N16" s="1065"/>
      <c r="O16" s="1065"/>
      <c r="P16" s="1065"/>
      <c r="Q16" s="1065"/>
    </row>
    <row r="17" spans="1:17" ht="22.5" customHeight="1">
      <c r="A17" s="1081" t="s">
        <v>161</v>
      </c>
      <c r="B17" s="1071">
        <v>172</v>
      </c>
      <c r="C17" s="1072">
        <v>323</v>
      </c>
      <c r="D17" s="1077">
        <v>0</v>
      </c>
      <c r="E17" s="1078">
        <v>217</v>
      </c>
      <c r="F17" s="1079">
        <f t="shared" si="0"/>
        <v>217</v>
      </c>
      <c r="G17" s="1080"/>
      <c r="H17" s="1065"/>
      <c r="I17" s="1065"/>
      <c r="J17" s="1065"/>
      <c r="K17" s="1065"/>
      <c r="L17" s="1065"/>
      <c r="M17" s="1065"/>
      <c r="N17" s="1065"/>
      <c r="O17" s="1065"/>
      <c r="P17" s="1065"/>
      <c r="Q17" s="1065"/>
    </row>
    <row r="18" spans="1:17" ht="13.5" customHeight="1">
      <c r="A18" s="1076" t="s">
        <v>162</v>
      </c>
      <c r="B18" s="1071">
        <v>391</v>
      </c>
      <c r="C18" s="1072">
        <v>333.1</v>
      </c>
      <c r="D18" s="1077">
        <v>319.86</v>
      </c>
      <c r="E18" s="1078">
        <v>427.83</v>
      </c>
      <c r="F18" s="1079">
        <f t="shared" si="0"/>
        <v>107.96999999999997</v>
      </c>
      <c r="G18" s="1080">
        <f t="shared" si="1"/>
        <v>1.3375539298443069</v>
      </c>
      <c r="H18" s="1065"/>
      <c r="I18" s="1065"/>
      <c r="J18" s="1065"/>
      <c r="K18" s="1065"/>
      <c r="L18" s="1065"/>
      <c r="M18" s="1065"/>
      <c r="N18" s="1065"/>
      <c r="O18" s="1065"/>
      <c r="P18" s="1065"/>
      <c r="Q18" s="1065"/>
    </row>
    <row r="19" spans="1:17" ht="13.5" customHeight="1">
      <c r="A19" s="1081" t="s">
        <v>163</v>
      </c>
      <c r="B19" s="1071">
        <v>12</v>
      </c>
      <c r="C19" s="1072">
        <v>17.51</v>
      </c>
      <c r="D19" s="1077">
        <v>0</v>
      </c>
      <c r="E19" s="1078">
        <v>25.58</v>
      </c>
      <c r="F19" s="1079">
        <f t="shared" si="0"/>
        <v>25.58</v>
      </c>
      <c r="G19" s="1080"/>
      <c r="H19" s="1065"/>
      <c r="I19" s="1065"/>
      <c r="J19" s="1065"/>
      <c r="K19" s="1065"/>
      <c r="L19" s="1065"/>
      <c r="M19" s="1065"/>
      <c r="N19" s="1065"/>
      <c r="O19" s="1065"/>
      <c r="P19" s="1065"/>
      <c r="Q19" s="1065"/>
    </row>
    <row r="20" spans="1:17" ht="13.5" customHeight="1">
      <c r="A20" s="1076" t="s">
        <v>164</v>
      </c>
      <c r="B20" s="1071">
        <v>0</v>
      </c>
      <c r="C20" s="1072">
        <v>0</v>
      </c>
      <c r="D20" s="1077">
        <v>20.11</v>
      </c>
      <c r="E20" s="1078">
        <v>0</v>
      </c>
      <c r="F20" s="1079">
        <f t="shared" si="0"/>
        <v>-20.11</v>
      </c>
      <c r="G20" s="1080">
        <f t="shared" si="1"/>
        <v>0</v>
      </c>
      <c r="H20" s="1065"/>
      <c r="I20" s="1065"/>
      <c r="J20" s="1065"/>
      <c r="K20" s="1065"/>
      <c r="L20" s="1065"/>
      <c r="M20" s="1065"/>
      <c r="N20" s="1065"/>
      <c r="O20" s="1065"/>
      <c r="P20" s="1065"/>
      <c r="Q20" s="1065"/>
    </row>
    <row r="21" spans="1:17" ht="13.5" customHeight="1">
      <c r="A21" s="1076" t="s">
        <v>165</v>
      </c>
      <c r="B21" s="1071">
        <v>401</v>
      </c>
      <c r="C21" s="1072">
        <v>449</v>
      </c>
      <c r="D21" s="1077">
        <f>177.86+6.55+197.64</f>
        <v>382.05</v>
      </c>
      <c r="E21" s="1078">
        <v>529.86</v>
      </c>
      <c r="F21" s="1079">
        <f t="shared" si="0"/>
        <v>147.81</v>
      </c>
      <c r="G21" s="1080">
        <f t="shared" si="1"/>
        <v>1.3868865331762859</v>
      </c>
      <c r="H21" s="1065"/>
      <c r="I21" s="1065"/>
      <c r="J21" s="1065"/>
      <c r="K21" s="1065"/>
      <c r="L21" s="1065"/>
      <c r="M21" s="1065"/>
      <c r="N21" s="1065"/>
      <c r="O21" s="1065"/>
      <c r="P21" s="1065"/>
      <c r="Q21" s="1065"/>
    </row>
    <row r="22" spans="1:17" ht="13.5" customHeight="1">
      <c r="A22" s="1081" t="s">
        <v>166</v>
      </c>
      <c r="B22" s="1071">
        <v>186</v>
      </c>
      <c r="C22" s="1072">
        <v>283.21</v>
      </c>
      <c r="D22" s="1077">
        <v>177.86</v>
      </c>
      <c r="E22" s="1078">
        <v>267.82</v>
      </c>
      <c r="F22" s="1079">
        <f t="shared" si="0"/>
        <v>89.95999999999998</v>
      </c>
      <c r="G22" s="1080">
        <f t="shared" si="1"/>
        <v>1.5057910716293712</v>
      </c>
      <c r="H22" s="1065"/>
      <c r="I22" s="1065"/>
      <c r="J22" s="1065"/>
      <c r="K22" s="1065"/>
      <c r="L22" s="1065"/>
      <c r="M22" s="1065"/>
      <c r="N22" s="1065"/>
      <c r="O22" s="1065"/>
      <c r="P22" s="1065"/>
      <c r="Q22" s="1065"/>
    </row>
    <row r="23" spans="1:17" ht="13.5" customHeight="1">
      <c r="A23" s="1076" t="s">
        <v>167</v>
      </c>
      <c r="B23" s="1071">
        <v>212</v>
      </c>
      <c r="C23" s="1072">
        <v>164.71</v>
      </c>
      <c r="D23" s="1077">
        <v>197.64</v>
      </c>
      <c r="E23" s="1078">
        <v>258.88</v>
      </c>
      <c r="F23" s="1079">
        <f t="shared" si="0"/>
        <v>61.24000000000001</v>
      </c>
      <c r="G23" s="1080">
        <f t="shared" si="1"/>
        <v>1.3098563043918237</v>
      </c>
      <c r="H23" s="1065"/>
      <c r="I23" s="1065"/>
      <c r="J23" s="1065"/>
      <c r="K23" s="1065"/>
      <c r="L23" s="1065"/>
      <c r="M23" s="1065"/>
      <c r="N23" s="1065"/>
      <c r="O23" s="1065"/>
      <c r="P23" s="1065"/>
      <c r="Q23" s="1065"/>
    </row>
    <row r="24" spans="1:17" ht="13.5" customHeight="1">
      <c r="A24" s="1093" t="s">
        <v>168</v>
      </c>
      <c r="B24" s="1071">
        <v>5878</v>
      </c>
      <c r="C24" s="1072">
        <v>6294.1</v>
      </c>
      <c r="D24" s="1077">
        <f>4795+1678.26+95.54</f>
        <v>6568.8</v>
      </c>
      <c r="E24" s="1078">
        <v>7228</v>
      </c>
      <c r="F24" s="1079">
        <f t="shared" si="0"/>
        <v>659.1999999999998</v>
      </c>
      <c r="G24" s="1080">
        <f t="shared" si="1"/>
        <v>1.1003531847521617</v>
      </c>
      <c r="H24" s="1065"/>
      <c r="I24" s="1065"/>
      <c r="J24" s="1065"/>
      <c r="K24" s="1065"/>
      <c r="L24" s="1065"/>
      <c r="M24" s="1065"/>
      <c r="N24" s="1065"/>
      <c r="O24" s="1065"/>
      <c r="P24" s="1065"/>
      <c r="Q24" s="1065"/>
    </row>
    <row r="25" spans="1:17" ht="13.5" customHeight="1">
      <c r="A25" s="1081" t="s">
        <v>169</v>
      </c>
      <c r="B25" s="1071">
        <v>4299</v>
      </c>
      <c r="C25" s="1072">
        <v>4599.7</v>
      </c>
      <c r="D25" s="1077">
        <v>4795</v>
      </c>
      <c r="E25" s="1078">
        <v>5275.88</v>
      </c>
      <c r="F25" s="1079">
        <f t="shared" si="0"/>
        <v>480.8800000000001</v>
      </c>
      <c r="G25" s="1080">
        <f t="shared" si="1"/>
        <v>1.1002877997914495</v>
      </c>
      <c r="H25" s="1065"/>
      <c r="I25" s="1065"/>
      <c r="J25" s="1065"/>
      <c r="K25" s="1065"/>
      <c r="L25" s="1065"/>
      <c r="M25" s="1065"/>
      <c r="N25" s="1065"/>
      <c r="O25" s="1065"/>
      <c r="P25" s="1065"/>
      <c r="Q25" s="1065"/>
    </row>
    <row r="26" spans="1:17" ht="13.5" customHeight="1">
      <c r="A26" s="1093" t="s">
        <v>170</v>
      </c>
      <c r="B26" s="1071">
        <v>4278</v>
      </c>
      <c r="C26" s="1072">
        <v>4579</v>
      </c>
      <c r="D26" s="1077">
        <v>4777</v>
      </c>
      <c r="E26" s="1078">
        <v>5254</v>
      </c>
      <c r="F26" s="1079">
        <f t="shared" si="0"/>
        <v>477</v>
      </c>
      <c r="G26" s="1080">
        <f t="shared" si="1"/>
        <v>1.0998534645174796</v>
      </c>
      <c r="H26" s="1065"/>
      <c r="I26" s="1065"/>
      <c r="J26" s="1065"/>
      <c r="K26" s="1065"/>
      <c r="L26" s="1065"/>
      <c r="M26" s="1065"/>
      <c r="N26" s="1065"/>
      <c r="O26" s="1065"/>
      <c r="P26" s="1065"/>
      <c r="Q26" s="1065"/>
    </row>
    <row r="27" spans="1:17" ht="13.5" customHeight="1">
      <c r="A27" s="1081" t="s">
        <v>171</v>
      </c>
      <c r="B27" s="1071">
        <v>21</v>
      </c>
      <c r="C27" s="1072">
        <v>21</v>
      </c>
      <c r="D27" s="1077">
        <v>18</v>
      </c>
      <c r="E27" s="1078">
        <v>22</v>
      </c>
      <c r="F27" s="1079">
        <f t="shared" si="0"/>
        <v>4</v>
      </c>
      <c r="G27" s="1080">
        <f t="shared" si="1"/>
        <v>1.2222222222222223</v>
      </c>
      <c r="H27" s="1065"/>
      <c r="I27" s="1065"/>
      <c r="J27" s="1065"/>
      <c r="K27" s="1065"/>
      <c r="L27" s="1065"/>
      <c r="M27" s="1065"/>
      <c r="N27" s="1065"/>
      <c r="O27" s="1065"/>
      <c r="P27" s="1065"/>
      <c r="Q27" s="1065"/>
    </row>
    <row r="28" spans="1:17" ht="13.5" customHeight="1">
      <c r="A28" s="1081" t="s">
        <v>172</v>
      </c>
      <c r="B28" s="1071">
        <v>1579</v>
      </c>
      <c r="C28" s="1072">
        <v>1694.4</v>
      </c>
      <c r="D28" s="1077">
        <f>1678.26+95.54</f>
        <v>1773.8</v>
      </c>
      <c r="E28" s="1078">
        <v>1951.65</v>
      </c>
      <c r="F28" s="1079">
        <f t="shared" si="0"/>
        <v>177.85000000000014</v>
      </c>
      <c r="G28" s="1080">
        <f t="shared" si="1"/>
        <v>1.1002649678655994</v>
      </c>
      <c r="H28" s="1065"/>
      <c r="I28" s="1065"/>
      <c r="J28" s="1065"/>
      <c r="K28" s="1065"/>
      <c r="L28" s="1065"/>
      <c r="M28" s="1065"/>
      <c r="N28" s="1065"/>
      <c r="O28" s="1065"/>
      <c r="P28" s="1065"/>
      <c r="Q28" s="1065"/>
    </row>
    <row r="29" spans="1:17" ht="13.5" customHeight="1">
      <c r="A29" s="1093" t="s">
        <v>173</v>
      </c>
      <c r="B29" s="1071">
        <v>0</v>
      </c>
      <c r="C29" s="1072">
        <v>0</v>
      </c>
      <c r="D29" s="1077">
        <v>0</v>
      </c>
      <c r="E29" s="1078">
        <v>0</v>
      </c>
      <c r="F29" s="1079">
        <f t="shared" si="0"/>
        <v>0</v>
      </c>
      <c r="G29" s="1080"/>
      <c r="H29" s="1065"/>
      <c r="I29" s="1065"/>
      <c r="J29" s="1065"/>
      <c r="K29" s="1065"/>
      <c r="L29" s="1065"/>
      <c r="M29" s="1065"/>
      <c r="N29" s="1065"/>
      <c r="O29" s="1065"/>
      <c r="P29" s="1065"/>
      <c r="Q29" s="1065"/>
    </row>
    <row r="30" spans="1:17" ht="13.5" customHeight="1">
      <c r="A30" s="1093" t="s">
        <v>174</v>
      </c>
      <c r="B30" s="1071">
        <v>51</v>
      </c>
      <c r="C30" s="1072">
        <v>54.52</v>
      </c>
      <c r="D30" s="1077">
        <f>1.88+50.9</f>
        <v>52.78</v>
      </c>
      <c r="E30" s="1078">
        <v>59.82</v>
      </c>
      <c r="F30" s="1079">
        <f t="shared" si="0"/>
        <v>7.039999999999999</v>
      </c>
      <c r="G30" s="1080">
        <f>+E30/D30</f>
        <v>1.1333838575217885</v>
      </c>
      <c r="H30" s="1065"/>
      <c r="I30" s="1065"/>
      <c r="J30" s="1065"/>
      <c r="K30" s="1065"/>
      <c r="L30" s="1065"/>
      <c r="M30" s="1065"/>
      <c r="N30" s="1065"/>
      <c r="O30" s="1065"/>
      <c r="P30" s="1065"/>
      <c r="Q30" s="1065"/>
    </row>
    <row r="31" spans="1:17" ht="13.5" customHeight="1">
      <c r="A31" s="1081" t="s">
        <v>175</v>
      </c>
      <c r="B31" s="1071">
        <v>47</v>
      </c>
      <c r="C31" s="1072">
        <v>67.31</v>
      </c>
      <c r="D31" s="1077">
        <v>83.51</v>
      </c>
      <c r="E31" s="1078">
        <v>128.25</v>
      </c>
      <c r="F31" s="1079">
        <f t="shared" si="0"/>
        <v>44.739999999999995</v>
      </c>
      <c r="G31" s="1080">
        <f>+E31/D31</f>
        <v>1.5357442222488324</v>
      </c>
      <c r="H31" s="1065"/>
      <c r="I31" s="1065"/>
      <c r="J31" s="1065"/>
      <c r="K31" s="1065"/>
      <c r="L31" s="1065"/>
      <c r="M31" s="1065"/>
      <c r="N31" s="1065"/>
      <c r="O31" s="1065"/>
      <c r="P31" s="1065"/>
      <c r="Q31" s="1065"/>
    </row>
    <row r="32" spans="1:17" ht="20.25" customHeight="1">
      <c r="A32" s="1081" t="s">
        <v>176</v>
      </c>
      <c r="B32" s="1071">
        <v>47</v>
      </c>
      <c r="C32" s="1072">
        <v>67</v>
      </c>
      <c r="D32" s="1077">
        <v>83.51</v>
      </c>
      <c r="E32" s="1078">
        <v>128.25</v>
      </c>
      <c r="F32" s="1079">
        <f t="shared" si="0"/>
        <v>44.739999999999995</v>
      </c>
      <c r="G32" s="1080">
        <f>+E32/D32</f>
        <v>1.5357442222488324</v>
      </c>
      <c r="H32" s="1065"/>
      <c r="I32" s="1065"/>
      <c r="J32" s="1065"/>
      <c r="K32" s="1065"/>
      <c r="L32" s="1065"/>
      <c r="M32" s="1065"/>
      <c r="N32" s="1065"/>
      <c r="O32" s="1065"/>
      <c r="P32" s="1065"/>
      <c r="Q32" s="1065"/>
    </row>
    <row r="33" spans="1:17" ht="13.5" customHeight="1" thickBot="1">
      <c r="A33" s="1094" t="s">
        <v>177</v>
      </c>
      <c r="B33" s="1095">
        <v>0</v>
      </c>
      <c r="C33" s="1096">
        <v>0</v>
      </c>
      <c r="D33" s="1097">
        <v>0</v>
      </c>
      <c r="E33" s="1098">
        <v>0</v>
      </c>
      <c r="F33" s="1084">
        <f t="shared" si="0"/>
        <v>0</v>
      </c>
      <c r="G33" s="1085" t="e">
        <f>+E33/D33</f>
        <v>#DIV/0!</v>
      </c>
      <c r="H33" s="1065"/>
      <c r="I33" s="1065"/>
      <c r="J33" s="1065"/>
      <c r="K33" s="1065"/>
      <c r="L33" s="1065"/>
      <c r="M33" s="1065"/>
      <c r="N33" s="1065"/>
      <c r="O33" s="1065"/>
      <c r="P33" s="1065"/>
      <c r="Q33" s="1065"/>
    </row>
    <row r="34" spans="1:17" ht="13.5" customHeight="1" thickBot="1">
      <c r="A34" s="1086" t="s">
        <v>18</v>
      </c>
      <c r="B34" s="1099">
        <f>SUM(B16+B18+B19+B20+B21+B24+B29+B30+B31+B33)</f>
        <v>7677</v>
      </c>
      <c r="C34" s="1099">
        <f>SUM(C16+C18+C19+C20+C21+C24+C29+C30+C31+C33)</f>
        <v>8326.48</v>
      </c>
      <c r="D34" s="1099">
        <f>SUM(D16+D18+D19+D20+D21+D24+D29+D30+D31+D33)</f>
        <v>8671.69</v>
      </c>
      <c r="E34" s="1087">
        <f>SUM(E16+E18+E19+E20+E21+E24+E29+E30+E31+E33)</f>
        <v>9652.99</v>
      </c>
      <c r="F34" s="1089">
        <f t="shared" si="0"/>
        <v>981.2999999999993</v>
      </c>
      <c r="G34" s="1090">
        <f>+E34/D34</f>
        <v>1.1131613330273566</v>
      </c>
      <c r="H34" s="1065"/>
      <c r="I34" s="1065"/>
      <c r="J34" s="1065"/>
      <c r="K34" s="1065"/>
      <c r="L34" s="1065"/>
      <c r="M34" s="1065"/>
      <c r="N34" s="1065"/>
      <c r="O34" s="1065"/>
      <c r="P34" s="1065"/>
      <c r="Q34" s="1065"/>
    </row>
    <row r="35" spans="1:17" ht="18" customHeight="1" thickBot="1">
      <c r="A35" s="1086" t="s">
        <v>26</v>
      </c>
      <c r="B35" s="1100">
        <f>+B15-B34</f>
        <v>52</v>
      </c>
      <c r="C35" s="1100">
        <f>+C15-C34</f>
        <v>60.45000000000073</v>
      </c>
      <c r="D35" s="1100">
        <f>+D15-D34</f>
        <v>0</v>
      </c>
      <c r="E35" s="1100">
        <f>+E15-E34</f>
        <v>146.29999999999927</v>
      </c>
      <c r="F35" s="1821"/>
      <c r="G35" s="1822"/>
      <c r="H35" s="1065"/>
      <c r="I35" s="1065"/>
      <c r="J35" s="1065"/>
      <c r="K35" s="1065"/>
      <c r="L35" s="1065"/>
      <c r="M35" s="1065"/>
      <c r="N35" s="1065"/>
      <c r="O35" s="1065"/>
      <c r="P35" s="1065"/>
      <c r="Q35" s="1065"/>
    </row>
    <row r="36" spans="1:17" ht="20.25" customHeight="1" thickBot="1">
      <c r="A36" s="1101" t="s">
        <v>263</v>
      </c>
      <c r="B36" s="1102">
        <v>0</v>
      </c>
      <c r="C36" s="1100">
        <v>0</v>
      </c>
      <c r="D36" s="1100">
        <v>0</v>
      </c>
      <c r="E36" s="1100">
        <v>0</v>
      </c>
      <c r="F36" s="1065"/>
      <c r="G36" s="1065"/>
      <c r="H36" s="1065"/>
      <c r="I36" s="1065"/>
      <c r="J36" s="1065"/>
      <c r="K36" s="1065"/>
      <c r="L36" s="1065"/>
      <c r="M36" s="1065"/>
      <c r="N36" s="1065"/>
      <c r="O36" s="1065"/>
      <c r="P36" s="1065"/>
      <c r="Q36" s="1065"/>
    </row>
    <row r="37" spans="1:17" ht="18" customHeight="1" hidden="1" thickBot="1">
      <c r="A37" s="1103" t="s">
        <v>264</v>
      </c>
      <c r="B37" s="1102">
        <v>0</v>
      </c>
      <c r="C37" s="1100">
        <v>0</v>
      </c>
      <c r="D37" s="1100">
        <v>0</v>
      </c>
      <c r="E37" s="1100">
        <v>0</v>
      </c>
      <c r="F37" s="1065"/>
      <c r="G37" s="1065"/>
      <c r="H37" s="1065"/>
      <c r="I37" s="1065"/>
      <c r="J37" s="1065"/>
      <c r="K37" s="1065"/>
      <c r="L37" s="1065"/>
      <c r="M37" s="1065"/>
      <c r="N37" s="1065"/>
      <c r="O37" s="1065"/>
      <c r="P37" s="1065"/>
      <c r="Q37" s="1065"/>
    </row>
    <row r="38" spans="2:9" ht="6.75" customHeight="1" thickBot="1">
      <c r="B38" s="1063"/>
      <c r="C38" s="1063"/>
      <c r="D38" s="1104"/>
      <c r="E38" s="1104"/>
      <c r="F38" s="1063"/>
      <c r="G38" s="1063"/>
      <c r="H38" s="1063"/>
      <c r="I38" s="1063"/>
    </row>
    <row r="39" spans="1:17" s="1107" customFormat="1" ht="20.25" customHeight="1">
      <c r="A39" s="1170" t="s">
        <v>389</v>
      </c>
      <c r="B39" s="1118">
        <v>2005</v>
      </c>
      <c r="C39" s="1119">
        <v>2006</v>
      </c>
      <c r="D39" s="1105"/>
      <c r="E39" s="1105"/>
      <c r="F39" s="1105"/>
      <c r="G39" s="1105"/>
      <c r="H39" s="1105"/>
      <c r="I39" s="1105"/>
      <c r="J39" s="1106"/>
      <c r="K39" s="1106"/>
      <c r="L39" s="1106"/>
      <c r="M39" s="1106"/>
      <c r="N39" s="1106"/>
      <c r="O39" s="1106"/>
      <c r="P39" s="1106"/>
      <c r="Q39" s="1106"/>
    </row>
    <row r="40" spans="1:15" s="1064" customFormat="1" ht="19.5" customHeight="1" thickBot="1">
      <c r="A40" s="1167" t="s">
        <v>394</v>
      </c>
      <c r="B40" s="1124">
        <v>45</v>
      </c>
      <c r="C40" s="1125">
        <v>45</v>
      </c>
      <c r="D40" s="1114"/>
      <c r="E40" s="1114"/>
      <c r="F40" s="1114"/>
      <c r="G40" s="1115"/>
      <c r="H40" s="1115"/>
      <c r="I40" s="1114"/>
      <c r="J40" s="1114"/>
      <c r="K40" s="1114"/>
      <c r="L40" s="1114"/>
      <c r="M40" s="1115"/>
      <c r="O40" s="1168"/>
    </row>
    <row r="41" spans="1:15" ht="6" customHeight="1">
      <c r="A41" s="1113"/>
      <c r="B41" s="1114"/>
      <c r="C41" s="1114"/>
      <c r="D41" s="1114"/>
      <c r="E41" s="1114"/>
      <c r="F41" s="1114"/>
      <c r="G41" s="1114"/>
      <c r="H41" s="1114"/>
      <c r="I41" s="1114"/>
      <c r="J41" s="1114"/>
      <c r="K41" s="1114"/>
      <c r="L41" s="1114"/>
      <c r="M41" s="1114"/>
      <c r="O41" s="1112"/>
    </row>
    <row r="42" spans="1:15" ht="18" customHeight="1" thickBot="1">
      <c r="A42" s="1116"/>
      <c r="O42" s="1112"/>
    </row>
    <row r="43" spans="1:15" ht="13.5" thickBot="1">
      <c r="A43" s="1811" t="s">
        <v>387</v>
      </c>
      <c r="B43" s="1816" t="s">
        <v>24</v>
      </c>
      <c r="C43" s="1818" t="s">
        <v>388</v>
      </c>
      <c r="D43" s="1819"/>
      <c r="E43" s="1819"/>
      <c r="F43" s="1819"/>
      <c r="G43" s="1819"/>
      <c r="H43" s="1820"/>
      <c r="I43" s="1117"/>
      <c r="J43" s="1065"/>
      <c r="K43" s="1065"/>
      <c r="L43" s="1065"/>
      <c r="M43" s="1065"/>
      <c r="O43" s="1112"/>
    </row>
    <row r="44" spans="1:15" ht="13.5" thickBot="1">
      <c r="A44" s="1812"/>
      <c r="B44" s="1817"/>
      <c r="C44" s="1120" t="s">
        <v>46</v>
      </c>
      <c r="D44" s="1121" t="s">
        <v>390</v>
      </c>
      <c r="E44" s="1121" t="s">
        <v>391</v>
      </c>
      <c r="F44" s="1121" t="s">
        <v>392</v>
      </c>
      <c r="G44" s="1122" t="s">
        <v>393</v>
      </c>
      <c r="H44" s="1123" t="s">
        <v>129</v>
      </c>
      <c r="J44" s="1065"/>
      <c r="K44" s="1065"/>
      <c r="L44" s="1065"/>
      <c r="M44" s="1065"/>
      <c r="O44" s="1112"/>
    </row>
    <row r="45" spans="1:17" s="1108" customFormat="1" ht="20.25" customHeight="1">
      <c r="A45" s="1126" t="s">
        <v>395</v>
      </c>
      <c r="B45" s="1127">
        <v>0</v>
      </c>
      <c r="C45" s="1128">
        <v>0</v>
      </c>
      <c r="D45" s="1129">
        <v>0</v>
      </c>
      <c r="E45" s="1129">
        <v>0</v>
      </c>
      <c r="F45" s="1129">
        <v>0</v>
      </c>
      <c r="G45" s="1130">
        <v>0</v>
      </c>
      <c r="H45" s="1131">
        <f>SUM(C45:G45)</f>
        <v>0</v>
      </c>
      <c r="J45" s="1132"/>
      <c r="N45" s="1110"/>
      <c r="O45" s="1133"/>
      <c r="P45" s="1110"/>
      <c r="Q45" s="1110"/>
    </row>
    <row r="46" spans="1:17" s="1108" customFormat="1" ht="18.75" customHeight="1" thickBot="1">
      <c r="A46" s="1134" t="s">
        <v>359</v>
      </c>
      <c r="B46" s="1135">
        <v>0</v>
      </c>
      <c r="C46" s="1136">
        <v>0</v>
      </c>
      <c r="D46" s="1137">
        <v>0</v>
      </c>
      <c r="E46" s="1137">
        <v>0</v>
      </c>
      <c r="F46" s="1137">
        <v>0</v>
      </c>
      <c r="G46" s="1138">
        <v>0</v>
      </c>
      <c r="H46" s="1135">
        <f>SUM(C46:G46)</f>
        <v>0</v>
      </c>
      <c r="J46" s="1132"/>
      <c r="N46" s="1110"/>
      <c r="O46" s="1133"/>
      <c r="P46" s="1110"/>
      <c r="Q46" s="1110"/>
    </row>
    <row r="47" ht="5.25" customHeight="1">
      <c r="O47" s="1112"/>
    </row>
    <row r="48" spans="1:17" ht="13.5" hidden="1" thickBot="1">
      <c r="A48" s="1802" t="s">
        <v>396</v>
      </c>
      <c r="B48" s="1804">
        <v>2003</v>
      </c>
      <c r="C48" s="1805"/>
      <c r="D48" s="1805"/>
      <c r="E48" s="1805"/>
      <c r="F48" s="1805"/>
      <c r="G48" s="1805"/>
      <c r="H48" s="1806"/>
      <c r="I48" s="1117"/>
      <c r="N48" s="1112"/>
      <c r="Q48" s="1065"/>
    </row>
    <row r="49" spans="1:17" ht="19.5" customHeight="1" hidden="1" thickBot="1">
      <c r="A49" s="1803"/>
      <c r="B49" s="1139" t="s">
        <v>398</v>
      </c>
      <c r="C49" s="1140" t="s">
        <v>413</v>
      </c>
      <c r="D49" s="1140" t="s">
        <v>414</v>
      </c>
      <c r="E49" s="1140" t="s">
        <v>400</v>
      </c>
      <c r="F49" s="1140" t="s">
        <v>64</v>
      </c>
      <c r="G49" s="1141" t="s">
        <v>401</v>
      </c>
      <c r="H49" s="1142" t="s">
        <v>129</v>
      </c>
      <c r="N49" s="1112"/>
      <c r="Q49" s="1065"/>
    </row>
    <row r="50" spans="1:17" s="1108" customFormat="1" ht="13.5" hidden="1" thickBot="1">
      <c r="A50" s="1143" t="s">
        <v>402</v>
      </c>
      <c r="B50" s="1144">
        <v>47057</v>
      </c>
      <c r="C50" s="1145">
        <v>302914</v>
      </c>
      <c r="D50" s="1145"/>
      <c r="E50" s="1145">
        <v>2661891</v>
      </c>
      <c r="F50" s="1145">
        <v>421928</v>
      </c>
      <c r="G50" s="1146">
        <v>844210</v>
      </c>
      <c r="H50" s="1147">
        <f>SUM(B50:G50)</f>
        <v>4278000</v>
      </c>
      <c r="J50" s="1110"/>
      <c r="K50" s="1110"/>
      <c r="L50" s="1110"/>
      <c r="M50" s="1110"/>
      <c r="N50" s="1110"/>
      <c r="O50" s="1133"/>
      <c r="P50" s="1110"/>
      <c r="Q50" s="1110"/>
    </row>
    <row r="51" spans="1:15" ht="14.25" hidden="1" thickBot="1" thickTop="1">
      <c r="A51" s="1148" t="s">
        <v>403</v>
      </c>
      <c r="B51" s="1149">
        <v>0.2</v>
      </c>
      <c r="C51" s="1150">
        <v>2.2</v>
      </c>
      <c r="D51" s="1150"/>
      <c r="E51" s="1150">
        <v>12.82</v>
      </c>
      <c r="F51" s="1150">
        <v>2</v>
      </c>
      <c r="G51" s="1151">
        <v>6.9</v>
      </c>
      <c r="H51" s="1152">
        <f>SUM(B51:G51)</f>
        <v>24.119999999999997</v>
      </c>
      <c r="O51" s="1112"/>
    </row>
    <row r="52" spans="1:15" ht="13.5" hidden="1" thickBot="1">
      <c r="A52" s="1153" t="s">
        <v>404</v>
      </c>
      <c r="B52" s="1154">
        <f>+B50/B51/12</f>
        <v>19607.083333333332</v>
      </c>
      <c r="C52" s="1154">
        <f>+C50/C51/12</f>
        <v>11474.01515151515</v>
      </c>
      <c r="D52" s="1154"/>
      <c r="E52" s="1154">
        <f>+E50/E51/12</f>
        <v>17302.983619344774</v>
      </c>
      <c r="F52" s="1154">
        <f>+F50/F51/12</f>
        <v>17580.333333333332</v>
      </c>
      <c r="G52" s="1155">
        <f>+G50/G51/12</f>
        <v>10195.772946859903</v>
      </c>
      <c r="H52" s="1156">
        <f>+H50/H51/12</f>
        <v>14780.265339966834</v>
      </c>
      <c r="O52" s="1112"/>
    </row>
    <row r="53" spans="1:15" ht="6.75" customHeight="1" thickBot="1">
      <c r="A53" s="1065"/>
      <c r="O53" s="1112"/>
    </row>
    <row r="54" spans="1:15" ht="13.5" thickBot="1">
      <c r="A54" s="1802" t="s">
        <v>396</v>
      </c>
      <c r="B54" s="1804">
        <v>2004</v>
      </c>
      <c r="C54" s="1805"/>
      <c r="D54" s="1805"/>
      <c r="E54" s="1805"/>
      <c r="F54" s="1805"/>
      <c r="G54" s="1805"/>
      <c r="H54" s="1806"/>
      <c r="I54" s="1111"/>
      <c r="O54" s="1112"/>
    </row>
    <row r="55" spans="1:15" ht="29.25" customHeight="1" thickBot="1">
      <c r="A55" s="1808"/>
      <c r="B55" s="1157" t="s">
        <v>408</v>
      </c>
      <c r="C55" s="1158" t="s">
        <v>415</v>
      </c>
      <c r="D55" s="1158" t="s">
        <v>409</v>
      </c>
      <c r="E55" s="1159" t="s">
        <v>416</v>
      </c>
      <c r="F55" s="1140" t="s">
        <v>64</v>
      </c>
      <c r="G55" s="1141" t="s">
        <v>401</v>
      </c>
      <c r="H55" s="1142" t="s">
        <v>129</v>
      </c>
      <c r="O55" s="1112"/>
    </row>
    <row r="56" spans="1:15" ht="13.5" thickBot="1">
      <c r="A56" s="1143" t="s">
        <v>402</v>
      </c>
      <c r="B56" s="1160">
        <v>2766838</v>
      </c>
      <c r="C56" s="1145">
        <v>54582</v>
      </c>
      <c r="D56" s="1145">
        <v>56410</v>
      </c>
      <c r="E56" s="1145">
        <v>135911</v>
      </c>
      <c r="F56" s="1145">
        <v>664886</v>
      </c>
      <c r="G56" s="1146">
        <v>900087</v>
      </c>
      <c r="H56" s="1147">
        <f>SUM(B56:G56)</f>
        <v>4578714</v>
      </c>
      <c r="O56" s="1112"/>
    </row>
    <row r="57" spans="1:15" ht="14.25" thickBot="1" thickTop="1">
      <c r="A57" s="1148" t="s">
        <v>403</v>
      </c>
      <c r="B57" s="1161">
        <v>13.05</v>
      </c>
      <c r="C57" s="1150">
        <v>0.2</v>
      </c>
      <c r="D57" s="1150">
        <v>0.33</v>
      </c>
      <c r="E57" s="1150">
        <v>1.02</v>
      </c>
      <c r="F57" s="1150">
        <v>2.67</v>
      </c>
      <c r="G57" s="1151">
        <v>6.93</v>
      </c>
      <c r="H57" s="1152">
        <f>SUM(B57:G57)</f>
        <v>24.2</v>
      </c>
      <c r="O57" s="1112"/>
    </row>
    <row r="58" spans="1:15" ht="13.5" thickBot="1">
      <c r="A58" s="1153" t="s">
        <v>404</v>
      </c>
      <c r="B58" s="1162">
        <f aca="true" t="shared" si="2" ref="B58:H58">+B56/B57/12</f>
        <v>17668.186462324393</v>
      </c>
      <c r="C58" s="1154">
        <f t="shared" si="2"/>
        <v>22742.5</v>
      </c>
      <c r="D58" s="1154">
        <f t="shared" si="2"/>
        <v>14244.949494949493</v>
      </c>
      <c r="E58" s="1154">
        <f t="shared" si="2"/>
        <v>11103.839869281046</v>
      </c>
      <c r="F58" s="1154">
        <f t="shared" si="2"/>
        <v>20751.74781523096</v>
      </c>
      <c r="G58" s="1155">
        <f t="shared" si="2"/>
        <v>10823.556998556998</v>
      </c>
      <c r="H58" s="1156">
        <f t="shared" si="2"/>
        <v>15766.921487603306</v>
      </c>
      <c r="O58" s="1112"/>
    </row>
    <row r="59" spans="1:15" ht="9" customHeight="1" thickBot="1">
      <c r="A59" s="1065"/>
      <c r="O59" s="1112"/>
    </row>
    <row r="60" spans="1:15" ht="13.5" thickBot="1">
      <c r="A60" s="1807" t="s">
        <v>396</v>
      </c>
      <c r="B60" s="1804">
        <v>2005</v>
      </c>
      <c r="C60" s="1805"/>
      <c r="D60" s="1805"/>
      <c r="E60" s="1805"/>
      <c r="F60" s="1805"/>
      <c r="G60" s="1805"/>
      <c r="H60" s="1806"/>
      <c r="I60" s="1111"/>
      <c r="O60" s="1112"/>
    </row>
    <row r="61" spans="1:15" ht="36.75" thickBot="1">
      <c r="A61" s="1808"/>
      <c r="B61" s="1157" t="s">
        <v>408</v>
      </c>
      <c r="C61" s="1158" t="s">
        <v>417</v>
      </c>
      <c r="D61" s="1158" t="s">
        <v>418</v>
      </c>
      <c r="E61" s="1158" t="s">
        <v>419</v>
      </c>
      <c r="F61" s="1158" t="s">
        <v>64</v>
      </c>
      <c r="G61" s="1159" t="s">
        <v>412</v>
      </c>
      <c r="H61" s="1163" t="s">
        <v>129</v>
      </c>
      <c r="O61" s="1112"/>
    </row>
    <row r="62" spans="1:15" ht="13.5" thickBot="1">
      <c r="A62" s="1143" t="s">
        <v>402</v>
      </c>
      <c r="B62" s="1160">
        <f>2380514</f>
        <v>2380514</v>
      </c>
      <c r="C62" s="1145">
        <v>36045</v>
      </c>
      <c r="D62" s="1145">
        <v>756138</v>
      </c>
      <c r="E62" s="1145">
        <v>186596</v>
      </c>
      <c r="F62" s="1145">
        <v>578070</v>
      </c>
      <c r="G62" s="1146">
        <v>839637</v>
      </c>
      <c r="H62" s="1147">
        <f>SUM(B62:G62)</f>
        <v>4777000</v>
      </c>
      <c r="O62" s="1112"/>
    </row>
    <row r="63" spans="1:15" ht="14.25" thickBot="1" thickTop="1">
      <c r="A63" s="1148" t="s">
        <v>403</v>
      </c>
      <c r="B63" s="1169">
        <v>10.93</v>
      </c>
      <c r="C63" s="1165">
        <v>0.2</v>
      </c>
      <c r="D63" s="1165">
        <v>5.15</v>
      </c>
      <c r="E63" s="1165">
        <v>1</v>
      </c>
      <c r="F63" s="1165">
        <v>2</v>
      </c>
      <c r="G63" s="1164">
        <v>6.99</v>
      </c>
      <c r="H63" s="1152">
        <f>+E63+D63+B63+F63+G63</f>
        <v>26.07</v>
      </c>
      <c r="O63" s="1112"/>
    </row>
    <row r="64" spans="1:15" ht="13.5" thickBot="1">
      <c r="A64" s="1153" t="s">
        <v>404</v>
      </c>
      <c r="B64" s="1162">
        <f>+B62/B63/12</f>
        <v>18149.695028972248</v>
      </c>
      <c r="C64" s="1154">
        <f>+C62/12/C63</f>
        <v>15018.75</v>
      </c>
      <c r="D64" s="1154">
        <f>+D62/D63/12</f>
        <v>12235.242718446601</v>
      </c>
      <c r="E64" s="1154">
        <f>+E62/E63/12</f>
        <v>15549.666666666666</v>
      </c>
      <c r="F64" s="1154">
        <f>+F62/F63/12</f>
        <v>24086.25</v>
      </c>
      <c r="G64" s="1155">
        <f>+G62/G63/12</f>
        <v>10009.978540772532</v>
      </c>
      <c r="H64" s="1156">
        <f>+H62/H63/12</f>
        <v>15269.786472318117</v>
      </c>
      <c r="O64" s="1112"/>
    </row>
    <row r="65" ht="6" customHeight="1" thickBot="1">
      <c r="A65" s="1065"/>
    </row>
    <row r="66" spans="1:8" ht="13.5" thickBot="1">
      <c r="A66" s="1802" t="s">
        <v>396</v>
      </c>
      <c r="B66" s="1804">
        <v>2006</v>
      </c>
      <c r="C66" s="1805"/>
      <c r="D66" s="1805"/>
      <c r="E66" s="1805"/>
      <c r="F66" s="1805"/>
      <c r="G66" s="1805"/>
      <c r="H66" s="1806"/>
    </row>
    <row r="67" spans="1:17" ht="46.5" customHeight="1" thickBot="1">
      <c r="A67" s="1803"/>
      <c r="B67" s="1159" t="s">
        <v>408</v>
      </c>
      <c r="C67" s="1158" t="s">
        <v>417</v>
      </c>
      <c r="D67" s="1158" t="s">
        <v>418</v>
      </c>
      <c r="E67" s="1158" t="s">
        <v>419</v>
      </c>
      <c r="F67" s="1158" t="s">
        <v>64</v>
      </c>
      <c r="G67" s="1159" t="s">
        <v>412</v>
      </c>
      <c r="H67" s="1142" t="s">
        <v>129</v>
      </c>
      <c r="I67" s="1063"/>
      <c r="Q67" s="1065"/>
    </row>
    <row r="68" spans="1:16" s="1108" customFormat="1" ht="13.5" customHeight="1" thickBot="1">
      <c r="A68" s="1143" t="s">
        <v>402</v>
      </c>
      <c r="B68" s="1144">
        <v>2810452</v>
      </c>
      <c r="C68" s="1145">
        <v>55998</v>
      </c>
      <c r="D68" s="1145">
        <v>673195</v>
      </c>
      <c r="E68" s="1146">
        <v>196184</v>
      </c>
      <c r="F68" s="1145">
        <v>652768</v>
      </c>
      <c r="G68" s="1146">
        <v>865278</v>
      </c>
      <c r="H68" s="1147">
        <f>SUM(B68:G68)</f>
        <v>5253875</v>
      </c>
      <c r="I68" s="1110"/>
      <c r="J68" s="1110"/>
      <c r="K68" s="1110"/>
      <c r="L68" s="1110"/>
      <c r="M68" s="1110"/>
      <c r="N68" s="1110"/>
      <c r="O68" s="1110"/>
      <c r="P68" s="1110"/>
    </row>
    <row r="69" spans="1:17" s="1108" customFormat="1" ht="13.5" customHeight="1" thickBot="1" thickTop="1">
      <c r="A69" s="1148" t="s">
        <v>403</v>
      </c>
      <c r="B69" s="1166">
        <v>11.29</v>
      </c>
      <c r="C69" s="1165">
        <v>0.2</v>
      </c>
      <c r="D69" s="1165">
        <v>4</v>
      </c>
      <c r="E69" s="1164">
        <v>1</v>
      </c>
      <c r="F69" s="1165">
        <v>2</v>
      </c>
      <c r="G69" s="1164">
        <v>7.39</v>
      </c>
      <c r="H69" s="1152">
        <f>SUM(B69:G69)</f>
        <v>25.88</v>
      </c>
      <c r="I69" s="1109"/>
      <c r="J69" s="1110"/>
      <c r="K69" s="1110"/>
      <c r="L69" s="1110"/>
      <c r="M69" s="1110"/>
      <c r="N69" s="1110"/>
      <c r="O69" s="1110"/>
      <c r="P69" s="1110"/>
      <c r="Q69" s="1110"/>
    </row>
    <row r="70" spans="1:17" s="1108" customFormat="1" ht="13.5" customHeight="1" thickBot="1">
      <c r="A70" s="1153" t="s">
        <v>404</v>
      </c>
      <c r="B70" s="1154">
        <f aca="true" t="shared" si="3" ref="B70:H70">+B68/B69/12</f>
        <v>20744.405078240332</v>
      </c>
      <c r="C70" s="1154">
        <f t="shared" si="3"/>
        <v>23332.5</v>
      </c>
      <c r="D70" s="1154">
        <f t="shared" si="3"/>
        <v>14024.895833333334</v>
      </c>
      <c r="E70" s="1154">
        <f t="shared" si="3"/>
        <v>16348.666666666666</v>
      </c>
      <c r="F70" s="1154">
        <f t="shared" si="3"/>
        <v>27198.666666666668</v>
      </c>
      <c r="G70" s="1155">
        <f t="shared" si="3"/>
        <v>9757.307171853858</v>
      </c>
      <c r="H70" s="1156">
        <f t="shared" si="3"/>
        <v>16917.423364245235</v>
      </c>
      <c r="I70" s="1109"/>
      <c r="J70" s="1110"/>
      <c r="K70" s="1110"/>
      <c r="L70" s="1110"/>
      <c r="M70" s="1110"/>
      <c r="N70" s="1110"/>
      <c r="O70" s="1110"/>
      <c r="P70" s="1110"/>
      <c r="Q70" s="1110"/>
    </row>
  </sheetData>
  <mergeCells count="19">
    <mergeCell ref="A43:A44"/>
    <mergeCell ref="A2:A5"/>
    <mergeCell ref="B3:B5"/>
    <mergeCell ref="E3:E5"/>
    <mergeCell ref="B2:G2"/>
    <mergeCell ref="B43:B44"/>
    <mergeCell ref="C43:H43"/>
    <mergeCell ref="F35:G35"/>
    <mergeCell ref="C3:C5"/>
    <mergeCell ref="D3:D5"/>
    <mergeCell ref="A48:A49"/>
    <mergeCell ref="A66:A67"/>
    <mergeCell ref="B48:H48"/>
    <mergeCell ref="B54:H54"/>
    <mergeCell ref="B60:H60"/>
    <mergeCell ref="B66:H66"/>
    <mergeCell ref="A60:A61"/>
    <mergeCell ref="A54:A55"/>
    <mergeCell ref="F3:G3"/>
  </mergeCells>
  <printOptions horizontalCentered="1"/>
  <pageMargins left="0.2362204724409449" right="0.2755905511811024" top="0.25" bottom="0.2362204724409449" header="0.2362204724409449" footer="0.1968503937007874"/>
  <pageSetup horizontalDpi="600" verticalDpi="600" orientation="portrait" paperSize="9" scale="85" r:id="rId1"/>
  <headerFooter alignWithMargins="0">
    <oddFooter>&amp;Cstr. &amp;P / &amp;N</oddFooter>
  </headerFooter>
</worksheet>
</file>

<file path=xl/worksheets/sheet13.xml><?xml version="1.0" encoding="utf-8"?>
<worksheet xmlns="http://schemas.openxmlformats.org/spreadsheetml/2006/main" xmlns:r="http://schemas.openxmlformats.org/officeDocument/2006/relationships">
  <sheetPr codeName="List12"/>
  <dimension ref="A1:I35"/>
  <sheetViews>
    <sheetView workbookViewId="0" topLeftCell="A1">
      <selection activeCell="A16" sqref="A16"/>
    </sheetView>
  </sheetViews>
  <sheetFormatPr defaultColWidth="9.00390625" defaultRowHeight="12.75"/>
  <cols>
    <col min="1" max="1" width="33.125" style="1171" customWidth="1"/>
    <col min="2" max="2" width="10.875" style="1172" customWidth="1"/>
    <col min="3" max="3" width="9.75390625" style="1173" customWidth="1"/>
    <col min="4" max="4" width="9.25390625" style="1173" customWidth="1"/>
    <col min="5" max="5" width="10.25390625" style="1173" customWidth="1"/>
    <col min="6" max="6" width="10.125" style="1173" customWidth="1"/>
    <col min="7" max="7" width="8.875" style="1173" customWidth="1"/>
    <col min="8" max="8" width="9.125" style="1171" customWidth="1"/>
    <col min="9" max="10" width="7.625" style="1171" customWidth="1"/>
    <col min="11" max="16384" width="9.125" style="1171" customWidth="1"/>
  </cols>
  <sheetData>
    <row r="1" spans="1:2" ht="27" customHeight="1" thickBot="1">
      <c r="A1" s="1175" t="s">
        <v>1</v>
      </c>
      <c r="B1" s="1175"/>
    </row>
    <row r="2" spans="1:9" s="1174" customFormat="1" ht="20.25" customHeight="1">
      <c r="A2" s="1783" t="s">
        <v>8</v>
      </c>
      <c r="B2" s="1830" t="s">
        <v>178</v>
      </c>
      <c r="C2" s="1831"/>
      <c r="D2" s="1832"/>
      <c r="E2" s="1830" t="s">
        <v>261</v>
      </c>
      <c r="F2" s="1841"/>
      <c r="G2" s="1841"/>
      <c r="H2" s="1837" t="s">
        <v>2</v>
      </c>
      <c r="I2" s="1838"/>
    </row>
    <row r="3" spans="1:9" s="1174" customFormat="1" ht="6" customHeight="1">
      <c r="A3" s="1784"/>
      <c r="B3" s="1833"/>
      <c r="C3" s="1834"/>
      <c r="D3" s="1630"/>
      <c r="E3" s="1842"/>
      <c r="F3" s="1843"/>
      <c r="G3" s="1843"/>
      <c r="H3" s="1839"/>
      <c r="I3" s="1840"/>
    </row>
    <row r="4" spans="1:9" s="1174" customFormat="1" ht="12.75" customHeight="1">
      <c r="A4" s="1784"/>
      <c r="B4" s="1824" t="s">
        <v>3</v>
      </c>
      <c r="C4" s="1826" t="s">
        <v>4</v>
      </c>
      <c r="D4" s="1828" t="s">
        <v>5</v>
      </c>
      <c r="E4" s="1824" t="s">
        <v>3</v>
      </c>
      <c r="F4" s="1826" t="s">
        <v>4</v>
      </c>
      <c r="G4" s="1828" t="s">
        <v>5</v>
      </c>
      <c r="H4" s="1844" t="s">
        <v>6</v>
      </c>
      <c r="I4" s="1846" t="s">
        <v>386</v>
      </c>
    </row>
    <row r="5" spans="1:9" s="1174" customFormat="1" ht="13.5" customHeight="1" thickBot="1">
      <c r="A5" s="1785"/>
      <c r="B5" s="1825"/>
      <c r="C5" s="1827"/>
      <c r="D5" s="1829"/>
      <c r="E5" s="1825"/>
      <c r="F5" s="1827"/>
      <c r="G5" s="1829"/>
      <c r="H5" s="1845"/>
      <c r="I5" s="1847"/>
    </row>
    <row r="6" spans="1:9" s="1174" customFormat="1" ht="16.5" customHeight="1">
      <c r="A6" s="1176" t="s">
        <v>151</v>
      </c>
      <c r="B6" s="1177">
        <v>0</v>
      </c>
      <c r="C6" s="1178"/>
      <c r="D6" s="1179"/>
      <c r="E6" s="1177">
        <v>0</v>
      </c>
      <c r="F6" s="1178"/>
      <c r="G6" s="1179"/>
      <c r="H6" s="1180"/>
      <c r="I6" s="1181"/>
    </row>
    <row r="7" spans="1:9" s="1174" customFormat="1" ht="16.5" customHeight="1">
      <c r="A7" s="1182" t="s">
        <v>152</v>
      </c>
      <c r="B7" s="1183">
        <v>55950</v>
      </c>
      <c r="C7" s="1178"/>
      <c r="D7" s="1179">
        <v>55950</v>
      </c>
      <c r="E7" s="1183">
        <v>59387</v>
      </c>
      <c r="F7" s="1178"/>
      <c r="G7" s="1179">
        <f>+E7+F7</f>
        <v>59387</v>
      </c>
      <c r="H7" s="1177">
        <f>+G7-D7</f>
        <v>3437</v>
      </c>
      <c r="I7" s="1184">
        <f>+G7/D7</f>
        <v>1.0614298480786417</v>
      </c>
    </row>
    <row r="8" spans="1:9" s="1174" customFormat="1" ht="16.5" customHeight="1">
      <c r="A8" s="1182" t="s">
        <v>153</v>
      </c>
      <c r="B8" s="1183">
        <v>0</v>
      </c>
      <c r="C8" s="1178"/>
      <c r="D8" s="1179"/>
      <c r="E8" s="1183">
        <v>0</v>
      </c>
      <c r="F8" s="1178"/>
      <c r="G8" s="1179"/>
      <c r="H8" s="1177">
        <f aca="true" t="shared" si="0" ref="H8:H34">+G8-D8</f>
        <v>0</v>
      </c>
      <c r="I8" s="1184"/>
    </row>
    <row r="9" spans="1:9" s="1174" customFormat="1" ht="16.5" customHeight="1">
      <c r="A9" s="1182" t="s">
        <v>154</v>
      </c>
      <c r="B9" s="1183">
        <v>0</v>
      </c>
      <c r="C9" s="1178"/>
      <c r="D9" s="1179"/>
      <c r="E9" s="1183">
        <v>0</v>
      </c>
      <c r="F9" s="1178"/>
      <c r="G9" s="1179"/>
      <c r="H9" s="1177">
        <f t="shared" si="0"/>
        <v>0</v>
      </c>
      <c r="I9" s="1184"/>
    </row>
    <row r="10" spans="1:9" s="1174" customFormat="1" ht="16.5" customHeight="1">
      <c r="A10" s="1182" t="s">
        <v>155</v>
      </c>
      <c r="B10" s="1183">
        <v>1774</v>
      </c>
      <c r="C10" s="1178"/>
      <c r="D10" s="1179">
        <v>1774</v>
      </c>
      <c r="E10" s="1183">
        <v>2675</v>
      </c>
      <c r="F10" s="1178"/>
      <c r="G10" s="1179">
        <f>+E10+F10</f>
        <v>2675</v>
      </c>
      <c r="H10" s="1177">
        <f t="shared" si="0"/>
        <v>901</v>
      </c>
      <c r="I10" s="1184">
        <f aca="true" t="shared" si="1" ref="I10:I34">+G10/D10</f>
        <v>1.507891770011274</v>
      </c>
    </row>
    <row r="11" spans="1:9" s="1174" customFormat="1" ht="16.5" customHeight="1">
      <c r="A11" s="1182" t="s">
        <v>156</v>
      </c>
      <c r="B11" s="1183">
        <v>313</v>
      </c>
      <c r="C11" s="1178"/>
      <c r="D11" s="1179">
        <v>313</v>
      </c>
      <c r="E11" s="1183">
        <v>186</v>
      </c>
      <c r="F11" s="1178"/>
      <c r="G11" s="1179">
        <f>+E11</f>
        <v>186</v>
      </c>
      <c r="H11" s="1177">
        <f t="shared" si="0"/>
        <v>-127</v>
      </c>
      <c r="I11" s="1184">
        <f t="shared" si="1"/>
        <v>0.5942492012779552</v>
      </c>
    </row>
    <row r="12" spans="1:9" s="1174" customFormat="1" ht="16.5" customHeight="1">
      <c r="A12" s="1182" t="s">
        <v>157</v>
      </c>
      <c r="B12" s="1183"/>
      <c r="C12" s="1178"/>
      <c r="D12" s="1179"/>
      <c r="E12" s="1183">
        <v>0</v>
      </c>
      <c r="F12" s="1178"/>
      <c r="G12" s="1179"/>
      <c r="H12" s="1177">
        <f t="shared" si="0"/>
        <v>0</v>
      </c>
      <c r="I12" s="1184"/>
    </row>
    <row r="13" spans="1:9" s="1174" customFormat="1" ht="16.5" customHeight="1">
      <c r="A13" s="1182" t="s">
        <v>158</v>
      </c>
      <c r="B13" s="1183"/>
      <c r="C13" s="1178"/>
      <c r="D13" s="1179"/>
      <c r="E13" s="1183">
        <v>0</v>
      </c>
      <c r="F13" s="1178"/>
      <c r="G13" s="1179"/>
      <c r="H13" s="1177">
        <f t="shared" si="0"/>
        <v>0</v>
      </c>
      <c r="I13" s="1184"/>
    </row>
    <row r="14" spans="1:9" s="1174" customFormat="1" ht="16.5" customHeight="1" thickBot="1">
      <c r="A14" s="1185" t="s">
        <v>159</v>
      </c>
      <c r="B14" s="1183">
        <v>111657</v>
      </c>
      <c r="C14" s="1178"/>
      <c r="D14" s="1179">
        <v>111657</v>
      </c>
      <c r="E14" s="1183">
        <v>128421</v>
      </c>
      <c r="F14" s="1178"/>
      <c r="G14" s="1179">
        <f>+E14+F14</f>
        <v>128421</v>
      </c>
      <c r="H14" s="1209">
        <f t="shared" si="0"/>
        <v>16764</v>
      </c>
      <c r="I14" s="1206">
        <f t="shared" si="1"/>
        <v>1.1501383701872698</v>
      </c>
    </row>
    <row r="15" spans="1:9" s="1192" customFormat="1" ht="17.25" customHeight="1" thickBot="1">
      <c r="A15" s="1186" t="s">
        <v>19</v>
      </c>
      <c r="B15" s="1187">
        <v>169381</v>
      </c>
      <c r="C15" s="1188"/>
      <c r="D15" s="1189">
        <v>169381</v>
      </c>
      <c r="E15" s="1187">
        <f>+E7+E10+E14</f>
        <v>190483</v>
      </c>
      <c r="F15" s="1188"/>
      <c r="G15" s="1189">
        <f>+G7+G10+G14</f>
        <v>190483</v>
      </c>
      <c r="H15" s="1190">
        <f t="shared" si="0"/>
        <v>21102</v>
      </c>
      <c r="I15" s="1191">
        <f t="shared" si="1"/>
        <v>1.1245830406007757</v>
      </c>
    </row>
    <row r="16" spans="1:9" s="1174" customFormat="1" ht="17.25" customHeight="1">
      <c r="A16" s="1193" t="s">
        <v>160</v>
      </c>
      <c r="B16" s="1194">
        <v>15073</v>
      </c>
      <c r="C16" s="1195"/>
      <c r="D16" s="1196">
        <f>+B16+C16</f>
        <v>15073</v>
      </c>
      <c r="E16" s="1194">
        <v>14264</v>
      </c>
      <c r="F16" s="1195"/>
      <c r="G16" s="1197">
        <f aca="true" t="shared" si="2" ref="G16:G33">+E16+F16</f>
        <v>14264</v>
      </c>
      <c r="H16" s="1210">
        <f t="shared" si="0"/>
        <v>-809</v>
      </c>
      <c r="I16" s="1181">
        <f t="shared" si="1"/>
        <v>0.9463278710276654</v>
      </c>
    </row>
    <row r="17" spans="1:9" s="1174" customFormat="1" ht="17.25" customHeight="1">
      <c r="A17" s="1182" t="s">
        <v>161</v>
      </c>
      <c r="B17" s="1183">
        <v>2415</v>
      </c>
      <c r="C17" s="1195"/>
      <c r="D17" s="1196">
        <f>+B17+C17</f>
        <v>2415</v>
      </c>
      <c r="E17" s="1183">
        <v>2810</v>
      </c>
      <c r="F17" s="1195"/>
      <c r="G17" s="1179">
        <f t="shared" si="2"/>
        <v>2810</v>
      </c>
      <c r="H17" s="1177">
        <f t="shared" si="0"/>
        <v>395</v>
      </c>
      <c r="I17" s="1184">
        <f t="shared" si="1"/>
        <v>1.1635610766045548</v>
      </c>
    </row>
    <row r="18" spans="1:9" s="1174" customFormat="1" ht="17.25" customHeight="1">
      <c r="A18" s="1182" t="s">
        <v>162</v>
      </c>
      <c r="B18" s="1183">
        <v>2555</v>
      </c>
      <c r="C18" s="1178"/>
      <c r="D18" s="1196">
        <f>+B18+C18</f>
        <v>2555</v>
      </c>
      <c r="E18" s="1183">
        <v>2414</v>
      </c>
      <c r="F18" s="1178"/>
      <c r="G18" s="1179">
        <f t="shared" si="2"/>
        <v>2414</v>
      </c>
      <c r="H18" s="1177">
        <f t="shared" si="0"/>
        <v>-141</v>
      </c>
      <c r="I18" s="1184">
        <f t="shared" si="1"/>
        <v>0.9448140900195695</v>
      </c>
    </row>
    <row r="19" spans="1:9" s="1174" customFormat="1" ht="17.25" customHeight="1">
      <c r="A19" s="1182" t="s">
        <v>163</v>
      </c>
      <c r="B19" s="1183"/>
      <c r="C19" s="1178"/>
      <c r="D19" s="1196"/>
      <c r="E19" s="1183">
        <v>0</v>
      </c>
      <c r="F19" s="1178"/>
      <c r="G19" s="1179">
        <f t="shared" si="2"/>
        <v>0</v>
      </c>
      <c r="H19" s="1177">
        <f t="shared" si="0"/>
        <v>0</v>
      </c>
      <c r="I19" s="1184"/>
    </row>
    <row r="20" spans="1:9" s="1174" customFormat="1" ht="17.25" customHeight="1">
      <c r="A20" s="1182" t="s">
        <v>164</v>
      </c>
      <c r="B20" s="1198"/>
      <c r="C20" s="1178"/>
      <c r="D20" s="1196"/>
      <c r="E20" s="1198">
        <v>0</v>
      </c>
      <c r="F20" s="1178"/>
      <c r="G20" s="1179">
        <f t="shared" si="2"/>
        <v>0</v>
      </c>
      <c r="H20" s="1177">
        <f t="shared" si="0"/>
        <v>0</v>
      </c>
      <c r="I20" s="1184"/>
    </row>
    <row r="21" spans="1:9" s="1174" customFormat="1" ht="17.25" customHeight="1">
      <c r="A21" s="1182" t="s">
        <v>165</v>
      </c>
      <c r="B21" s="1183">
        <v>10728</v>
      </c>
      <c r="C21" s="1178"/>
      <c r="D21" s="1196">
        <f aca="true" t="shared" si="3" ref="D21:D33">+B21+C21</f>
        <v>10728</v>
      </c>
      <c r="E21" s="1183">
        <v>15995</v>
      </c>
      <c r="F21" s="1178"/>
      <c r="G21" s="1179">
        <f t="shared" si="2"/>
        <v>15995</v>
      </c>
      <c r="H21" s="1177">
        <f t="shared" si="0"/>
        <v>5267</v>
      </c>
      <c r="I21" s="1184">
        <f t="shared" si="1"/>
        <v>1.490958240119314</v>
      </c>
    </row>
    <row r="22" spans="1:9" s="1174" customFormat="1" ht="17.25" customHeight="1">
      <c r="A22" s="1182" t="s">
        <v>166</v>
      </c>
      <c r="B22" s="1183">
        <v>953</v>
      </c>
      <c r="C22" s="1178"/>
      <c r="D22" s="1196">
        <f t="shared" si="3"/>
        <v>953</v>
      </c>
      <c r="E22" s="1183">
        <v>1558</v>
      </c>
      <c r="F22" s="1178"/>
      <c r="G22" s="1179">
        <f t="shared" si="2"/>
        <v>1558</v>
      </c>
      <c r="H22" s="1177">
        <f t="shared" si="0"/>
        <v>605</v>
      </c>
      <c r="I22" s="1184">
        <f t="shared" si="1"/>
        <v>1.6348373557187827</v>
      </c>
    </row>
    <row r="23" spans="1:9" s="1174" customFormat="1" ht="17.25" customHeight="1">
      <c r="A23" s="1182" t="s">
        <v>167</v>
      </c>
      <c r="B23" s="1183">
        <v>9600</v>
      </c>
      <c r="C23" s="1178"/>
      <c r="D23" s="1196">
        <f t="shared" si="3"/>
        <v>9600</v>
      </c>
      <c r="E23" s="1183">
        <v>14056</v>
      </c>
      <c r="F23" s="1178"/>
      <c r="G23" s="1179">
        <f t="shared" si="2"/>
        <v>14056</v>
      </c>
      <c r="H23" s="1177">
        <f t="shared" si="0"/>
        <v>4456</v>
      </c>
      <c r="I23" s="1184">
        <f t="shared" si="1"/>
        <v>1.4641666666666666</v>
      </c>
    </row>
    <row r="24" spans="1:9" s="1174" customFormat="1" ht="17.25" customHeight="1">
      <c r="A24" s="1199" t="s">
        <v>168</v>
      </c>
      <c r="B24" s="1183">
        <v>128036</v>
      </c>
      <c r="C24" s="1178"/>
      <c r="D24" s="1196">
        <f t="shared" si="3"/>
        <v>128036</v>
      </c>
      <c r="E24" s="1200">
        <v>143309</v>
      </c>
      <c r="F24" s="1201"/>
      <c r="G24" s="1179">
        <f t="shared" si="2"/>
        <v>143309</v>
      </c>
      <c r="H24" s="1177">
        <f t="shared" si="0"/>
        <v>15273</v>
      </c>
      <c r="I24" s="1184">
        <f t="shared" si="1"/>
        <v>1.1192867630978787</v>
      </c>
    </row>
    <row r="25" spans="1:9" s="1174" customFormat="1" ht="17.25" customHeight="1">
      <c r="A25" s="1182" t="s">
        <v>169</v>
      </c>
      <c r="B25" s="1177">
        <v>93710</v>
      </c>
      <c r="C25" s="1178"/>
      <c r="D25" s="1196">
        <f t="shared" si="3"/>
        <v>93710</v>
      </c>
      <c r="E25" s="1200">
        <v>104810</v>
      </c>
      <c r="F25" s="1201"/>
      <c r="G25" s="1179">
        <f t="shared" si="2"/>
        <v>104810</v>
      </c>
      <c r="H25" s="1177">
        <f t="shared" si="0"/>
        <v>11100</v>
      </c>
      <c r="I25" s="1184">
        <f t="shared" si="1"/>
        <v>1.118450538896596</v>
      </c>
    </row>
    <row r="26" spans="1:9" s="1174" customFormat="1" ht="17.25" customHeight="1">
      <c r="A26" s="1199" t="s">
        <v>170</v>
      </c>
      <c r="B26" s="1183">
        <v>86286</v>
      </c>
      <c r="C26" s="1178"/>
      <c r="D26" s="1196">
        <f t="shared" si="3"/>
        <v>86286</v>
      </c>
      <c r="E26" s="1200">
        <v>97174</v>
      </c>
      <c r="F26" s="1201"/>
      <c r="G26" s="1179">
        <f t="shared" si="2"/>
        <v>97174</v>
      </c>
      <c r="H26" s="1177">
        <f t="shared" si="0"/>
        <v>10888</v>
      </c>
      <c r="I26" s="1184">
        <f t="shared" si="1"/>
        <v>1.1261850126324084</v>
      </c>
    </row>
    <row r="27" spans="1:9" s="1174" customFormat="1" ht="17.25" customHeight="1">
      <c r="A27" s="1182" t="s">
        <v>171</v>
      </c>
      <c r="B27" s="1183">
        <v>7424</v>
      </c>
      <c r="C27" s="1178"/>
      <c r="D27" s="1196">
        <f t="shared" si="3"/>
        <v>7424</v>
      </c>
      <c r="E27" s="1200">
        <v>7636</v>
      </c>
      <c r="F27" s="1201"/>
      <c r="G27" s="1179">
        <f t="shared" si="2"/>
        <v>7636</v>
      </c>
      <c r="H27" s="1177">
        <f t="shared" si="0"/>
        <v>212</v>
      </c>
      <c r="I27" s="1184">
        <f t="shared" si="1"/>
        <v>1.0285560344827587</v>
      </c>
    </row>
    <row r="28" spans="1:9" s="1174" customFormat="1" ht="17.25" customHeight="1">
      <c r="A28" s="1182" t="s">
        <v>172</v>
      </c>
      <c r="B28" s="1183">
        <v>34326</v>
      </c>
      <c r="C28" s="1178"/>
      <c r="D28" s="1196">
        <f t="shared" si="3"/>
        <v>34326</v>
      </c>
      <c r="E28" s="1200">
        <v>38499</v>
      </c>
      <c r="F28" s="1201"/>
      <c r="G28" s="1179">
        <f t="shared" si="2"/>
        <v>38499</v>
      </c>
      <c r="H28" s="1177">
        <f t="shared" si="0"/>
        <v>4173</v>
      </c>
      <c r="I28" s="1184">
        <f t="shared" si="1"/>
        <v>1.1215696556546058</v>
      </c>
    </row>
    <row r="29" spans="1:9" s="1174" customFormat="1" ht="17.25" customHeight="1">
      <c r="A29" s="1199" t="s">
        <v>173</v>
      </c>
      <c r="B29" s="1183">
        <v>5</v>
      </c>
      <c r="C29" s="1178"/>
      <c r="D29" s="1196">
        <f t="shared" si="3"/>
        <v>5</v>
      </c>
      <c r="E29" s="1183">
        <v>5</v>
      </c>
      <c r="F29" s="1178"/>
      <c r="G29" s="1179">
        <f t="shared" si="2"/>
        <v>5</v>
      </c>
      <c r="H29" s="1177">
        <f t="shared" si="0"/>
        <v>0</v>
      </c>
      <c r="I29" s="1184">
        <f t="shared" si="1"/>
        <v>1</v>
      </c>
    </row>
    <row r="30" spans="1:9" s="1174" customFormat="1" ht="17.25" customHeight="1">
      <c r="A30" s="1199" t="s">
        <v>174</v>
      </c>
      <c r="B30" s="1183">
        <v>3307</v>
      </c>
      <c r="C30" s="1178"/>
      <c r="D30" s="1196">
        <f t="shared" si="3"/>
        <v>3307</v>
      </c>
      <c r="E30" s="1183">
        <v>3409</v>
      </c>
      <c r="F30" s="1178"/>
      <c r="G30" s="1179">
        <f t="shared" si="2"/>
        <v>3409</v>
      </c>
      <c r="H30" s="1177">
        <f t="shared" si="0"/>
        <v>102</v>
      </c>
      <c r="I30" s="1184">
        <f t="shared" si="1"/>
        <v>1.0308436649531296</v>
      </c>
    </row>
    <row r="31" spans="1:9" s="1174" customFormat="1" ht="17.25" customHeight="1">
      <c r="A31" s="1182" t="s">
        <v>175</v>
      </c>
      <c r="B31" s="1183">
        <v>9709</v>
      </c>
      <c r="C31" s="1178"/>
      <c r="D31" s="1196">
        <f t="shared" si="3"/>
        <v>9709</v>
      </c>
      <c r="E31" s="1183">
        <v>11087</v>
      </c>
      <c r="F31" s="1178"/>
      <c r="G31" s="1179">
        <f t="shared" si="2"/>
        <v>11087</v>
      </c>
      <c r="H31" s="1177">
        <f t="shared" si="0"/>
        <v>1378</v>
      </c>
      <c r="I31" s="1184">
        <f t="shared" si="1"/>
        <v>1.1419301678854672</v>
      </c>
    </row>
    <row r="32" spans="1:9" s="1174" customFormat="1" ht="17.25" customHeight="1">
      <c r="A32" s="1182" t="s">
        <v>7</v>
      </c>
      <c r="B32" s="1183">
        <v>9709</v>
      </c>
      <c r="C32" s="1178"/>
      <c r="D32" s="1196">
        <f t="shared" si="3"/>
        <v>9709</v>
      </c>
      <c r="E32" s="1183">
        <v>11087</v>
      </c>
      <c r="F32" s="1178"/>
      <c r="G32" s="1179">
        <f t="shared" si="2"/>
        <v>11087</v>
      </c>
      <c r="H32" s="1177">
        <f t="shared" si="0"/>
        <v>1378</v>
      </c>
      <c r="I32" s="1184">
        <f t="shared" si="1"/>
        <v>1.1419301678854672</v>
      </c>
    </row>
    <row r="33" spans="1:9" s="1174" customFormat="1" ht="17.25" customHeight="1" thickBot="1">
      <c r="A33" s="1202" t="s">
        <v>177</v>
      </c>
      <c r="B33" s="1203">
        <v>-129</v>
      </c>
      <c r="C33" s="1204"/>
      <c r="D33" s="1196">
        <f t="shared" si="3"/>
        <v>-129</v>
      </c>
      <c r="E33" s="1203">
        <v>0</v>
      </c>
      <c r="F33" s="1204"/>
      <c r="G33" s="1205">
        <f t="shared" si="2"/>
        <v>0</v>
      </c>
      <c r="H33" s="1177">
        <f t="shared" si="0"/>
        <v>129</v>
      </c>
      <c r="I33" s="1184">
        <f t="shared" si="1"/>
        <v>0</v>
      </c>
    </row>
    <row r="34" spans="1:9" s="1192" customFormat="1" ht="16.5" customHeight="1" thickBot="1">
      <c r="A34" s="1186" t="s">
        <v>18</v>
      </c>
      <c r="B34" s="1187">
        <f>+B16+B18+B19+B20+B21+B24+B29+B30+B31+B33</f>
        <v>169284</v>
      </c>
      <c r="C34" s="1188"/>
      <c r="D34" s="1189">
        <f>+D16+D18+D19+D20+D21+D24+D29+D30+D31+D33</f>
        <v>169284</v>
      </c>
      <c r="E34" s="1187">
        <f>+E16+E18+E19+E20+E21+E24+E29+E30+E31+E33</f>
        <v>190483</v>
      </c>
      <c r="F34" s="1207">
        <f>+F16+F18+F19+F20+F21+F24+F29+F30+F31+F33</f>
        <v>0</v>
      </c>
      <c r="G34" s="1208">
        <f>+G16+G18+G19+G20+G21+G24+G29+G30+G31+G33</f>
        <v>190483</v>
      </c>
      <c r="H34" s="1190">
        <f t="shared" si="0"/>
        <v>21199</v>
      </c>
      <c r="I34" s="1191">
        <f t="shared" si="1"/>
        <v>1.1252274284634105</v>
      </c>
    </row>
    <row r="35" spans="1:9" s="1192" customFormat="1" ht="16.5" customHeight="1" thickBot="1">
      <c r="A35" s="1186" t="s">
        <v>26</v>
      </c>
      <c r="B35" s="1187">
        <v>97</v>
      </c>
      <c r="C35" s="1188"/>
      <c r="D35" s="1189">
        <v>97</v>
      </c>
      <c r="E35" s="1187">
        <f>+E15-E34</f>
        <v>0</v>
      </c>
      <c r="F35" s="1188"/>
      <c r="G35" s="1189">
        <f>+G15-G34</f>
        <v>0</v>
      </c>
      <c r="H35" s="1835"/>
      <c r="I35" s="1836"/>
    </row>
    <row r="36" ht="5.25" customHeight="1"/>
  </sheetData>
  <mergeCells count="13">
    <mergeCell ref="H35:I35"/>
    <mergeCell ref="H2:I3"/>
    <mergeCell ref="E2:G3"/>
    <mergeCell ref="H4:H5"/>
    <mergeCell ref="I4:I5"/>
    <mergeCell ref="F4:F5"/>
    <mergeCell ref="G4:G5"/>
    <mergeCell ref="E4:E5"/>
    <mergeCell ref="B4:B5"/>
    <mergeCell ref="C4:C5"/>
    <mergeCell ref="D4:D5"/>
    <mergeCell ref="A2:A5"/>
    <mergeCell ref="B2:D3"/>
  </mergeCells>
  <printOptions horizontalCentered="1"/>
  <pageMargins left="0.15748031496062992" right="0.15748031496062992" top="0.42" bottom="0.33" header="0.2755905511811024" footer="0.15748031496062992"/>
  <pageSetup horizontalDpi="600" verticalDpi="600" orientation="portrait" paperSize="9" scale="8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V25"/>
  <sheetViews>
    <sheetView workbookViewId="0" topLeftCell="B1">
      <selection activeCell="V25" sqref="V25"/>
    </sheetView>
  </sheetViews>
  <sheetFormatPr defaultColWidth="9.00390625" defaultRowHeight="12.75"/>
  <cols>
    <col min="1" max="1" width="22.125" style="135" customWidth="1"/>
    <col min="2" max="3" width="5.875" style="136" customWidth="1"/>
    <col min="4" max="5" width="5.875" style="132" customWidth="1"/>
    <col min="6" max="7" width="5.875" style="0" customWidth="1"/>
    <col min="8" max="9" width="5.875" style="132" customWidth="1"/>
    <col min="10" max="11" width="5.875" style="0" customWidth="1"/>
    <col min="12" max="13" width="5.875" style="147" customWidth="1"/>
    <col min="14" max="15" width="5.875" style="0" customWidth="1"/>
    <col min="16" max="17" width="5.875" style="147" customWidth="1"/>
    <col min="18" max="19" width="5.875" style="0" customWidth="1"/>
    <col min="20" max="21" width="5.875" style="147" customWidth="1"/>
    <col min="22" max="22" width="7.25390625" style="0" customWidth="1"/>
  </cols>
  <sheetData>
    <row r="1" spans="20:21" ht="15.75">
      <c r="T1" s="148"/>
      <c r="U1" s="148"/>
    </row>
    <row r="2" spans="1:22" ht="43.5" customHeight="1" thickBot="1">
      <c r="A2" s="16" t="s">
        <v>11</v>
      </c>
      <c r="S2" s="1282"/>
      <c r="T2" s="1283"/>
      <c r="U2" s="1283"/>
      <c r="V2" s="1283"/>
    </row>
    <row r="3" spans="1:22" s="137" customFormat="1" ht="20.25" customHeight="1">
      <c r="A3" s="1277" t="s">
        <v>69</v>
      </c>
      <c r="B3" s="1267" t="s">
        <v>23</v>
      </c>
      <c r="C3" s="1268"/>
      <c r="D3" s="1269"/>
      <c r="E3" s="1269"/>
      <c r="F3" s="1267" t="s">
        <v>22</v>
      </c>
      <c r="G3" s="1268"/>
      <c r="H3" s="1269"/>
      <c r="I3" s="1270"/>
      <c r="J3" s="1267" t="s">
        <v>21</v>
      </c>
      <c r="K3" s="1268"/>
      <c r="L3" s="1269"/>
      <c r="M3" s="1270"/>
      <c r="N3" s="1268" t="s">
        <v>20</v>
      </c>
      <c r="O3" s="1268"/>
      <c r="P3" s="1269"/>
      <c r="Q3" s="1270"/>
      <c r="R3" s="1268" t="s">
        <v>99</v>
      </c>
      <c r="S3" s="1268"/>
      <c r="T3" s="1269"/>
      <c r="U3" s="1270"/>
      <c r="V3" s="1280" t="s">
        <v>247</v>
      </c>
    </row>
    <row r="4" spans="1:22" s="138" customFormat="1" ht="20.25" customHeight="1" thickBot="1">
      <c r="A4" s="1278"/>
      <c r="B4" s="65">
        <v>2003</v>
      </c>
      <c r="C4" s="58">
        <v>2004</v>
      </c>
      <c r="D4" s="151">
        <v>2005</v>
      </c>
      <c r="E4" s="151">
        <v>2006</v>
      </c>
      <c r="F4" s="65">
        <v>2003</v>
      </c>
      <c r="G4" s="58">
        <v>2004</v>
      </c>
      <c r="H4" s="151">
        <v>2005</v>
      </c>
      <c r="I4" s="152">
        <v>2006</v>
      </c>
      <c r="J4" s="65">
        <v>2003</v>
      </c>
      <c r="K4" s="58">
        <v>2004</v>
      </c>
      <c r="L4" s="151">
        <v>2005</v>
      </c>
      <c r="M4" s="152">
        <v>2006</v>
      </c>
      <c r="N4" s="301">
        <v>2003</v>
      </c>
      <c r="O4" s="58">
        <v>2004</v>
      </c>
      <c r="P4" s="151">
        <v>2005</v>
      </c>
      <c r="Q4" s="152">
        <v>2006</v>
      </c>
      <c r="R4" s="70">
        <v>2003</v>
      </c>
      <c r="S4" s="58">
        <v>2004</v>
      </c>
      <c r="T4" s="151">
        <v>2005</v>
      </c>
      <c r="U4" s="152">
        <v>2006</v>
      </c>
      <c r="V4" s="1281"/>
    </row>
    <row r="5" spans="1:22" s="24" customFormat="1" ht="19.5" customHeight="1">
      <c r="A5" s="348" t="s">
        <v>73</v>
      </c>
      <c r="B5" s="149">
        <v>114</v>
      </c>
      <c r="C5" s="150">
        <v>114</v>
      </c>
      <c r="D5" s="218">
        <v>114</v>
      </c>
      <c r="E5" s="464">
        <v>114</v>
      </c>
      <c r="F5" s="149">
        <v>124</v>
      </c>
      <c r="G5" s="95">
        <v>124</v>
      </c>
      <c r="H5" s="241">
        <v>124</v>
      </c>
      <c r="I5" s="295">
        <v>124</v>
      </c>
      <c r="J5" s="149">
        <v>80</v>
      </c>
      <c r="K5" s="150">
        <v>80</v>
      </c>
      <c r="L5" s="95">
        <v>80</v>
      </c>
      <c r="M5" s="299">
        <v>80</v>
      </c>
      <c r="N5" s="344">
        <v>100</v>
      </c>
      <c r="O5" s="150">
        <v>100</v>
      </c>
      <c r="P5" s="95">
        <v>100</v>
      </c>
      <c r="Q5" s="98">
        <v>100</v>
      </c>
      <c r="R5" s="93">
        <v>122</v>
      </c>
      <c r="S5" s="150">
        <v>122</v>
      </c>
      <c r="T5" s="218">
        <v>122</v>
      </c>
      <c r="U5" s="299">
        <v>122</v>
      </c>
      <c r="V5" s="131">
        <f aca="true" t="shared" si="0" ref="V5:V22">+U5+Q5+M5+I5+E5</f>
        <v>540</v>
      </c>
    </row>
    <row r="6" spans="1:22" s="24" customFormat="1" ht="19.5" customHeight="1">
      <c r="A6" s="349" t="s">
        <v>74</v>
      </c>
      <c r="B6" s="139">
        <v>18</v>
      </c>
      <c r="C6" s="140">
        <v>24</v>
      </c>
      <c r="D6" s="219">
        <v>24</v>
      </c>
      <c r="E6" s="471">
        <v>24</v>
      </c>
      <c r="F6" s="139">
        <v>40</v>
      </c>
      <c r="G6" s="100">
        <v>40</v>
      </c>
      <c r="H6" s="242">
        <v>40</v>
      </c>
      <c r="I6" s="296">
        <v>40</v>
      </c>
      <c r="J6" s="139"/>
      <c r="K6" s="140"/>
      <c r="L6" s="100"/>
      <c r="M6" s="300"/>
      <c r="N6" s="345">
        <v>28</v>
      </c>
      <c r="O6" s="140">
        <v>28</v>
      </c>
      <c r="P6" s="100">
        <v>28</v>
      </c>
      <c r="Q6" s="102">
        <v>28</v>
      </c>
      <c r="R6" s="99">
        <v>22</v>
      </c>
      <c r="S6" s="140">
        <v>22</v>
      </c>
      <c r="T6" s="219">
        <v>22</v>
      </c>
      <c r="U6" s="300">
        <v>22</v>
      </c>
      <c r="V6" s="131">
        <f t="shared" si="0"/>
        <v>114</v>
      </c>
    </row>
    <row r="7" spans="1:22" s="24" customFormat="1" ht="19.5" customHeight="1">
      <c r="A7" s="349" t="s">
        <v>75</v>
      </c>
      <c r="B7" s="139">
        <v>24</v>
      </c>
      <c r="C7" s="140">
        <v>24</v>
      </c>
      <c r="D7" s="219">
        <v>24</v>
      </c>
      <c r="E7" s="471">
        <v>24</v>
      </c>
      <c r="F7" s="139">
        <v>30</v>
      </c>
      <c r="G7" s="100">
        <v>30</v>
      </c>
      <c r="H7" s="242">
        <v>30</v>
      </c>
      <c r="I7" s="296">
        <v>30</v>
      </c>
      <c r="J7" s="139"/>
      <c r="K7" s="140"/>
      <c r="L7" s="100"/>
      <c r="M7" s="300"/>
      <c r="N7" s="345">
        <v>24</v>
      </c>
      <c r="O7" s="140">
        <v>24</v>
      </c>
      <c r="P7" s="100">
        <v>24</v>
      </c>
      <c r="Q7" s="102">
        <v>24</v>
      </c>
      <c r="R7" s="99"/>
      <c r="S7" s="140"/>
      <c r="T7" s="219"/>
      <c r="U7" s="300"/>
      <c r="V7" s="131">
        <f t="shared" si="0"/>
        <v>78</v>
      </c>
    </row>
    <row r="8" spans="1:22" s="24" customFormat="1" ht="19.5" customHeight="1">
      <c r="A8" s="349" t="s">
        <v>76</v>
      </c>
      <c r="B8" s="139">
        <v>24</v>
      </c>
      <c r="C8" s="140">
        <v>24</v>
      </c>
      <c r="D8" s="219">
        <v>24</v>
      </c>
      <c r="E8" s="471">
        <v>24</v>
      </c>
      <c r="F8" s="139">
        <v>47</v>
      </c>
      <c r="G8" s="100">
        <v>50</v>
      </c>
      <c r="H8" s="242">
        <v>50</v>
      </c>
      <c r="I8" s="296">
        <v>50</v>
      </c>
      <c r="J8" s="139">
        <v>24</v>
      </c>
      <c r="K8" s="140">
        <v>24</v>
      </c>
      <c r="L8" s="100">
        <v>24</v>
      </c>
      <c r="M8" s="300">
        <v>24</v>
      </c>
      <c r="N8" s="345">
        <v>30</v>
      </c>
      <c r="O8" s="140">
        <v>30</v>
      </c>
      <c r="P8" s="100">
        <v>30</v>
      </c>
      <c r="Q8" s="102">
        <v>30</v>
      </c>
      <c r="R8" s="99">
        <v>44</v>
      </c>
      <c r="S8" s="140">
        <v>44</v>
      </c>
      <c r="T8" s="219">
        <v>44</v>
      </c>
      <c r="U8" s="300">
        <v>37</v>
      </c>
      <c r="V8" s="131">
        <f t="shared" si="0"/>
        <v>165</v>
      </c>
    </row>
    <row r="9" spans="1:22" s="24" customFormat="1" ht="19.5" customHeight="1">
      <c r="A9" s="349" t="s">
        <v>110</v>
      </c>
      <c r="B9" s="139"/>
      <c r="C9" s="140"/>
      <c r="D9" s="219"/>
      <c r="E9" s="471"/>
      <c r="F9" s="139"/>
      <c r="G9" s="100"/>
      <c r="H9" s="242"/>
      <c r="I9" s="296"/>
      <c r="J9" s="139"/>
      <c r="K9" s="140"/>
      <c r="L9" s="100"/>
      <c r="M9" s="300"/>
      <c r="N9" s="345">
        <v>60</v>
      </c>
      <c r="O9" s="140">
        <v>50</v>
      </c>
      <c r="P9" s="100">
        <v>0</v>
      </c>
      <c r="Q9" s="102"/>
      <c r="R9" s="99"/>
      <c r="S9" s="140"/>
      <c r="T9" s="219"/>
      <c r="U9" s="300"/>
      <c r="V9" s="131">
        <f t="shared" si="0"/>
        <v>0</v>
      </c>
    </row>
    <row r="10" spans="1:22" s="24" customFormat="1" ht="19.5" customHeight="1">
      <c r="A10" s="349" t="s">
        <v>111</v>
      </c>
      <c r="B10" s="139">
        <v>70</v>
      </c>
      <c r="C10" s="140">
        <v>70</v>
      </c>
      <c r="D10" s="219">
        <v>68</v>
      </c>
      <c r="E10" s="471">
        <v>68</v>
      </c>
      <c r="F10" s="139">
        <v>66</v>
      </c>
      <c r="G10" s="100">
        <v>66</v>
      </c>
      <c r="H10" s="242">
        <v>66</v>
      </c>
      <c r="I10" s="296">
        <v>66</v>
      </c>
      <c r="J10" s="139">
        <v>44</v>
      </c>
      <c r="K10" s="140">
        <v>44</v>
      </c>
      <c r="L10" s="100">
        <v>44</v>
      </c>
      <c r="M10" s="300">
        <v>54</v>
      </c>
      <c r="N10" s="345">
        <v>52</v>
      </c>
      <c r="O10" s="140">
        <v>52</v>
      </c>
      <c r="P10" s="100">
        <v>52</v>
      </c>
      <c r="Q10" s="102">
        <v>52</v>
      </c>
      <c r="R10" s="99">
        <v>50</v>
      </c>
      <c r="S10" s="140">
        <v>50</v>
      </c>
      <c r="T10" s="219">
        <v>50</v>
      </c>
      <c r="U10" s="300">
        <v>53</v>
      </c>
      <c r="V10" s="131">
        <f t="shared" si="0"/>
        <v>293</v>
      </c>
    </row>
    <row r="11" spans="1:22" s="24" customFormat="1" ht="19.5" customHeight="1">
      <c r="A11" s="349" t="s">
        <v>112</v>
      </c>
      <c r="B11" s="139">
        <v>53</v>
      </c>
      <c r="C11" s="140">
        <v>53</v>
      </c>
      <c r="D11" s="219">
        <v>53</v>
      </c>
      <c r="E11" s="471">
        <v>53</v>
      </c>
      <c r="F11" s="139">
        <v>54</v>
      </c>
      <c r="G11" s="100">
        <v>60</v>
      </c>
      <c r="H11" s="242">
        <v>60</v>
      </c>
      <c r="I11" s="296">
        <v>60</v>
      </c>
      <c r="J11" s="139">
        <v>41</v>
      </c>
      <c r="K11" s="140">
        <v>41</v>
      </c>
      <c r="L11" s="100">
        <v>41</v>
      </c>
      <c r="M11" s="300">
        <v>31</v>
      </c>
      <c r="N11" s="345">
        <v>84</v>
      </c>
      <c r="O11" s="140">
        <v>63</v>
      </c>
      <c r="P11" s="100">
        <v>56</v>
      </c>
      <c r="Q11" s="102">
        <v>56</v>
      </c>
      <c r="R11" s="99">
        <v>59</v>
      </c>
      <c r="S11" s="140">
        <v>59</v>
      </c>
      <c r="T11" s="219">
        <v>59</v>
      </c>
      <c r="U11" s="300">
        <v>54</v>
      </c>
      <c r="V11" s="131">
        <f t="shared" si="0"/>
        <v>254</v>
      </c>
    </row>
    <row r="12" spans="1:22" s="24" customFormat="1" ht="19.5" customHeight="1">
      <c r="A12" s="349" t="s">
        <v>80</v>
      </c>
      <c r="B12" s="139">
        <v>71</v>
      </c>
      <c r="C12" s="140">
        <v>70</v>
      </c>
      <c r="D12" s="219">
        <v>70</v>
      </c>
      <c r="E12" s="471">
        <v>70</v>
      </c>
      <c r="F12" s="139">
        <v>107</v>
      </c>
      <c r="G12" s="100">
        <v>107</v>
      </c>
      <c r="H12" s="242">
        <v>107</v>
      </c>
      <c r="I12" s="296">
        <v>107</v>
      </c>
      <c r="J12" s="139">
        <v>67</v>
      </c>
      <c r="K12" s="140">
        <v>66</v>
      </c>
      <c r="L12" s="100">
        <v>66</v>
      </c>
      <c r="M12" s="300">
        <v>66</v>
      </c>
      <c r="N12" s="345">
        <v>102</v>
      </c>
      <c r="O12" s="140">
        <v>102</v>
      </c>
      <c r="P12" s="100">
        <v>102</v>
      </c>
      <c r="Q12" s="102">
        <v>102</v>
      </c>
      <c r="R12" s="99">
        <v>82</v>
      </c>
      <c r="S12" s="140">
        <v>82</v>
      </c>
      <c r="T12" s="219">
        <v>82</v>
      </c>
      <c r="U12" s="300">
        <v>82</v>
      </c>
      <c r="V12" s="131">
        <f t="shared" si="0"/>
        <v>427</v>
      </c>
    </row>
    <row r="13" spans="1:22" s="24" customFormat="1" ht="19.5" customHeight="1">
      <c r="A13" s="349" t="s">
        <v>81</v>
      </c>
      <c r="B13" s="139">
        <v>5</v>
      </c>
      <c r="C13" s="140">
        <v>6</v>
      </c>
      <c r="D13" s="219">
        <v>6</v>
      </c>
      <c r="E13" s="471">
        <v>6</v>
      </c>
      <c r="F13" s="139">
        <v>5</v>
      </c>
      <c r="G13" s="100">
        <v>5</v>
      </c>
      <c r="H13" s="242">
        <v>5</v>
      </c>
      <c r="I13" s="296">
        <v>5</v>
      </c>
      <c r="J13" s="139">
        <v>5</v>
      </c>
      <c r="K13" s="140">
        <v>5</v>
      </c>
      <c r="L13" s="100">
        <v>5</v>
      </c>
      <c r="M13" s="300">
        <v>5</v>
      </c>
      <c r="N13" s="345">
        <v>5</v>
      </c>
      <c r="O13" s="140">
        <v>5</v>
      </c>
      <c r="P13" s="100">
        <v>5</v>
      </c>
      <c r="Q13" s="102">
        <v>5</v>
      </c>
      <c r="R13" s="99">
        <v>6</v>
      </c>
      <c r="S13" s="140">
        <v>6</v>
      </c>
      <c r="T13" s="219">
        <v>6</v>
      </c>
      <c r="U13" s="300">
        <v>6</v>
      </c>
      <c r="V13" s="131">
        <f t="shared" si="0"/>
        <v>27</v>
      </c>
    </row>
    <row r="14" spans="1:22" s="24" customFormat="1" ht="19.5" customHeight="1">
      <c r="A14" s="349" t="s">
        <v>82</v>
      </c>
      <c r="B14" s="139">
        <v>30</v>
      </c>
      <c r="C14" s="140">
        <v>32</v>
      </c>
      <c r="D14" s="219">
        <v>32</v>
      </c>
      <c r="E14" s="471">
        <v>32</v>
      </c>
      <c r="F14" s="139">
        <v>20</v>
      </c>
      <c r="G14" s="100">
        <v>26</v>
      </c>
      <c r="H14" s="242">
        <v>26</v>
      </c>
      <c r="I14" s="296">
        <v>26</v>
      </c>
      <c r="J14" s="139">
        <v>24</v>
      </c>
      <c r="K14" s="140">
        <v>24</v>
      </c>
      <c r="L14" s="100">
        <v>24</v>
      </c>
      <c r="M14" s="300">
        <v>24</v>
      </c>
      <c r="N14" s="345">
        <v>42</v>
      </c>
      <c r="O14" s="140">
        <v>42</v>
      </c>
      <c r="P14" s="100">
        <v>42</v>
      </c>
      <c r="Q14" s="102">
        <v>42</v>
      </c>
      <c r="R14" s="99">
        <v>27</v>
      </c>
      <c r="S14" s="140">
        <v>30</v>
      </c>
      <c r="T14" s="219">
        <v>30</v>
      </c>
      <c r="U14" s="300">
        <v>30</v>
      </c>
      <c r="V14" s="131">
        <f t="shared" si="0"/>
        <v>154</v>
      </c>
    </row>
    <row r="15" spans="1:22" s="24" customFormat="1" ht="19.5" customHeight="1">
      <c r="A15" s="349" t="s">
        <v>83</v>
      </c>
      <c r="B15" s="139">
        <v>22</v>
      </c>
      <c r="C15" s="140">
        <v>20</v>
      </c>
      <c r="D15" s="219">
        <v>20</v>
      </c>
      <c r="E15" s="471">
        <v>20</v>
      </c>
      <c r="F15" s="139">
        <v>17</v>
      </c>
      <c r="G15" s="100">
        <v>20</v>
      </c>
      <c r="H15" s="242">
        <v>20</v>
      </c>
      <c r="I15" s="296">
        <v>20</v>
      </c>
      <c r="J15" s="139">
        <v>20</v>
      </c>
      <c r="K15" s="140">
        <v>20</v>
      </c>
      <c r="L15" s="100">
        <v>20</v>
      </c>
      <c r="M15" s="300">
        <v>20</v>
      </c>
      <c r="N15" s="345">
        <v>32</v>
      </c>
      <c r="O15" s="140">
        <v>32</v>
      </c>
      <c r="P15" s="100">
        <v>24</v>
      </c>
      <c r="Q15" s="102">
        <v>24</v>
      </c>
      <c r="R15" s="99">
        <v>21</v>
      </c>
      <c r="S15" s="140">
        <v>21</v>
      </c>
      <c r="T15" s="219">
        <v>21</v>
      </c>
      <c r="U15" s="300">
        <v>21</v>
      </c>
      <c r="V15" s="131">
        <f t="shared" si="0"/>
        <v>105</v>
      </c>
    </row>
    <row r="16" spans="1:22" s="24" customFormat="1" ht="19.5" customHeight="1">
      <c r="A16" s="349" t="s">
        <v>84</v>
      </c>
      <c r="B16" s="139">
        <v>23</v>
      </c>
      <c r="C16" s="140">
        <v>20</v>
      </c>
      <c r="D16" s="219">
        <v>15</v>
      </c>
      <c r="E16" s="471">
        <v>15</v>
      </c>
      <c r="F16" s="139">
        <v>30</v>
      </c>
      <c r="G16" s="100">
        <v>30</v>
      </c>
      <c r="H16" s="242">
        <v>30</v>
      </c>
      <c r="I16" s="296">
        <v>30</v>
      </c>
      <c r="J16" s="139"/>
      <c r="K16" s="140"/>
      <c r="L16" s="100"/>
      <c r="M16" s="300"/>
      <c r="N16" s="345">
        <v>15</v>
      </c>
      <c r="O16" s="140">
        <v>15</v>
      </c>
      <c r="P16" s="100">
        <v>15</v>
      </c>
      <c r="Q16" s="102">
        <v>15</v>
      </c>
      <c r="R16" s="99">
        <v>20</v>
      </c>
      <c r="S16" s="140">
        <v>11</v>
      </c>
      <c r="T16" s="219">
        <v>11</v>
      </c>
      <c r="U16" s="300">
        <v>11</v>
      </c>
      <c r="V16" s="131">
        <f t="shared" si="0"/>
        <v>71</v>
      </c>
    </row>
    <row r="17" spans="1:22" s="24" customFormat="1" ht="19.5" customHeight="1">
      <c r="A17" s="349" t="s">
        <v>113</v>
      </c>
      <c r="B17" s="139">
        <v>25</v>
      </c>
      <c r="C17" s="140">
        <v>20</v>
      </c>
      <c r="D17" s="219">
        <v>12</v>
      </c>
      <c r="E17" s="471">
        <v>12</v>
      </c>
      <c r="F17" s="139">
        <v>20</v>
      </c>
      <c r="G17" s="100">
        <v>20</v>
      </c>
      <c r="H17" s="242">
        <v>20</v>
      </c>
      <c r="I17" s="296">
        <v>20</v>
      </c>
      <c r="J17" s="139"/>
      <c r="K17" s="140"/>
      <c r="L17" s="100"/>
      <c r="M17" s="300"/>
      <c r="N17" s="345">
        <v>18</v>
      </c>
      <c r="O17" s="140">
        <v>18</v>
      </c>
      <c r="P17" s="100">
        <v>18</v>
      </c>
      <c r="Q17" s="102">
        <v>18</v>
      </c>
      <c r="R17" s="99">
        <v>12</v>
      </c>
      <c r="S17" s="140">
        <v>11</v>
      </c>
      <c r="T17" s="219">
        <v>11</v>
      </c>
      <c r="U17" s="300">
        <v>11</v>
      </c>
      <c r="V17" s="131">
        <f t="shared" si="0"/>
        <v>61</v>
      </c>
    </row>
    <row r="18" spans="1:22" s="24" customFormat="1" ht="19.5" customHeight="1">
      <c r="A18" s="349" t="s">
        <v>86</v>
      </c>
      <c r="B18" s="139">
        <v>15</v>
      </c>
      <c r="C18" s="140">
        <v>0</v>
      </c>
      <c r="D18" s="219"/>
      <c r="E18" s="471"/>
      <c r="F18" s="139">
        <v>20</v>
      </c>
      <c r="G18" s="100">
        <v>20</v>
      </c>
      <c r="H18" s="242">
        <v>20</v>
      </c>
      <c r="I18" s="296">
        <v>20</v>
      </c>
      <c r="J18" s="139"/>
      <c r="K18" s="140"/>
      <c r="L18" s="100"/>
      <c r="M18" s="300"/>
      <c r="N18" s="345">
        <v>20</v>
      </c>
      <c r="O18" s="140">
        <v>20</v>
      </c>
      <c r="P18" s="100">
        <v>24</v>
      </c>
      <c r="Q18" s="102">
        <v>24</v>
      </c>
      <c r="R18" s="99">
        <v>20</v>
      </c>
      <c r="S18" s="140">
        <v>20</v>
      </c>
      <c r="T18" s="219">
        <v>20</v>
      </c>
      <c r="U18" s="300">
        <v>20</v>
      </c>
      <c r="V18" s="131">
        <f t="shared" si="0"/>
        <v>64</v>
      </c>
    </row>
    <row r="19" spans="1:22" s="24" customFormat="1" ht="19.5" customHeight="1">
      <c r="A19" s="349" t="s">
        <v>87</v>
      </c>
      <c r="B19" s="139">
        <v>20</v>
      </c>
      <c r="C19" s="140">
        <v>20</v>
      </c>
      <c r="D19" s="219">
        <v>20</v>
      </c>
      <c r="E19" s="471">
        <v>20</v>
      </c>
      <c r="F19" s="139">
        <v>52</v>
      </c>
      <c r="G19" s="100">
        <v>52</v>
      </c>
      <c r="H19" s="242">
        <v>52</v>
      </c>
      <c r="I19" s="296">
        <v>52</v>
      </c>
      <c r="J19" s="139"/>
      <c r="K19" s="140"/>
      <c r="L19" s="100"/>
      <c r="M19" s="300"/>
      <c r="N19" s="345"/>
      <c r="O19" s="140"/>
      <c r="P19" s="100"/>
      <c r="Q19" s="102"/>
      <c r="R19" s="99"/>
      <c r="S19" s="140"/>
      <c r="T19" s="146"/>
      <c r="U19" s="176"/>
      <c r="V19" s="131">
        <f t="shared" si="0"/>
        <v>72</v>
      </c>
    </row>
    <row r="20" spans="1:22" s="24" customFormat="1" ht="19.5" customHeight="1">
      <c r="A20" s="349" t="s">
        <v>88</v>
      </c>
      <c r="B20" s="139">
        <v>25</v>
      </c>
      <c r="C20" s="140">
        <v>25</v>
      </c>
      <c r="D20" s="219">
        <v>25</v>
      </c>
      <c r="E20" s="471">
        <v>25</v>
      </c>
      <c r="F20" s="139">
        <v>20</v>
      </c>
      <c r="G20" s="100">
        <v>20</v>
      </c>
      <c r="H20" s="242">
        <v>20</v>
      </c>
      <c r="I20" s="296">
        <v>20</v>
      </c>
      <c r="J20" s="139"/>
      <c r="K20" s="140"/>
      <c r="L20" s="100"/>
      <c r="M20" s="300"/>
      <c r="N20" s="345">
        <v>15</v>
      </c>
      <c r="O20" s="140">
        <v>21</v>
      </c>
      <c r="P20" s="100">
        <v>23</v>
      </c>
      <c r="Q20" s="102">
        <v>23</v>
      </c>
      <c r="R20" s="99"/>
      <c r="S20" s="140"/>
      <c r="T20" s="146"/>
      <c r="U20" s="176"/>
      <c r="V20" s="131">
        <f t="shared" si="0"/>
        <v>68</v>
      </c>
    </row>
    <row r="21" spans="1:22" s="24" customFormat="1" ht="19.5" customHeight="1">
      <c r="A21" s="349" t="s">
        <v>89</v>
      </c>
      <c r="B21" s="139">
        <v>26</v>
      </c>
      <c r="C21" s="140">
        <v>44</v>
      </c>
      <c r="D21" s="219">
        <v>44</v>
      </c>
      <c r="E21" s="471">
        <v>44</v>
      </c>
      <c r="F21" s="139">
        <v>88</v>
      </c>
      <c r="G21" s="100">
        <v>88</v>
      </c>
      <c r="H21" s="242">
        <v>88</v>
      </c>
      <c r="I21" s="296">
        <v>88</v>
      </c>
      <c r="J21" s="139">
        <v>46</v>
      </c>
      <c r="K21" s="140">
        <v>46</v>
      </c>
      <c r="L21" s="100">
        <v>46</v>
      </c>
      <c r="M21" s="300">
        <v>46</v>
      </c>
      <c r="N21" s="345">
        <v>20</v>
      </c>
      <c r="O21" s="140">
        <v>41</v>
      </c>
      <c r="P21" s="100">
        <v>41</v>
      </c>
      <c r="Q21" s="102">
        <v>55</v>
      </c>
      <c r="R21" s="99"/>
      <c r="S21" s="140"/>
      <c r="T21" s="146"/>
      <c r="U21" s="176"/>
      <c r="V21" s="131">
        <f t="shared" si="0"/>
        <v>233</v>
      </c>
    </row>
    <row r="22" spans="1:22" s="24" customFormat="1" ht="19.5" customHeight="1" thickBot="1">
      <c r="A22" s="350" t="s">
        <v>90</v>
      </c>
      <c r="B22" s="141">
        <v>10</v>
      </c>
      <c r="C22" s="142">
        <v>10</v>
      </c>
      <c r="D22" s="220">
        <v>10</v>
      </c>
      <c r="E22" s="476">
        <v>10</v>
      </c>
      <c r="F22" s="141"/>
      <c r="G22" s="104"/>
      <c r="H22" s="243"/>
      <c r="I22" s="297"/>
      <c r="J22" s="141"/>
      <c r="K22" s="142"/>
      <c r="L22" s="104"/>
      <c r="M22" s="106"/>
      <c r="N22" s="346"/>
      <c r="O22" s="142"/>
      <c r="P22" s="104"/>
      <c r="Q22" s="106"/>
      <c r="R22" s="103"/>
      <c r="S22" s="142"/>
      <c r="T22" s="298"/>
      <c r="U22" s="177"/>
      <c r="V22" s="131">
        <f t="shared" si="0"/>
        <v>10</v>
      </c>
    </row>
    <row r="23" spans="1:22" s="24" customFormat="1" ht="19.5" customHeight="1" thickBot="1">
      <c r="A23" s="351" t="s">
        <v>24</v>
      </c>
      <c r="B23" s="120">
        <f>SUM(B5:B22)</f>
        <v>575</v>
      </c>
      <c r="C23" s="178">
        <f>SUM(C5:C22)</f>
        <v>576</v>
      </c>
      <c r="D23" s="178">
        <f>SUM(D5:D22)</f>
        <v>561</v>
      </c>
      <c r="E23" s="178">
        <f>SUM(E5:E22)</f>
        <v>561</v>
      </c>
      <c r="F23" s="120">
        <f>SUM(F5:F22)</f>
        <v>740</v>
      </c>
      <c r="G23" s="178">
        <f>SUM(G5:G21)</f>
        <v>758</v>
      </c>
      <c r="H23" s="178">
        <f aca="true" t="shared" si="1" ref="H23:V23">SUM(H5:H22)</f>
        <v>758</v>
      </c>
      <c r="I23" s="179">
        <f t="shared" si="1"/>
        <v>758</v>
      </c>
      <c r="J23" s="120">
        <f t="shared" si="1"/>
        <v>351</v>
      </c>
      <c r="K23" s="178">
        <f t="shared" si="1"/>
        <v>350</v>
      </c>
      <c r="L23" s="178">
        <f t="shared" si="1"/>
        <v>350</v>
      </c>
      <c r="M23" s="179">
        <f t="shared" si="1"/>
        <v>350</v>
      </c>
      <c r="N23" s="347">
        <f t="shared" si="1"/>
        <v>647</v>
      </c>
      <c r="O23" s="178">
        <f t="shared" si="1"/>
        <v>643</v>
      </c>
      <c r="P23" s="178">
        <f t="shared" si="1"/>
        <v>584</v>
      </c>
      <c r="Q23" s="179">
        <f t="shared" si="1"/>
        <v>598</v>
      </c>
      <c r="R23" s="121">
        <f t="shared" si="1"/>
        <v>485</v>
      </c>
      <c r="S23" s="178">
        <f t="shared" si="1"/>
        <v>478</v>
      </c>
      <c r="T23" s="178">
        <f t="shared" si="1"/>
        <v>478</v>
      </c>
      <c r="U23" s="179">
        <f t="shared" si="1"/>
        <v>469</v>
      </c>
      <c r="V23" s="84">
        <f t="shared" si="1"/>
        <v>2736</v>
      </c>
    </row>
    <row r="24" spans="1:22" s="143" customFormat="1" ht="47.25" customHeight="1" thickBot="1">
      <c r="A24" s="352" t="s">
        <v>136</v>
      </c>
      <c r="B24" s="1279"/>
      <c r="C24" s="1271"/>
      <c r="D24" s="1272"/>
      <c r="E24" s="1273"/>
      <c r="F24" s="1271"/>
      <c r="G24" s="1271"/>
      <c r="H24" s="1272"/>
      <c r="I24" s="1273"/>
      <c r="J24" s="1271"/>
      <c r="K24" s="1271"/>
      <c r="L24" s="1272"/>
      <c r="M24" s="1273"/>
      <c r="N24" s="1274" t="s">
        <v>329</v>
      </c>
      <c r="O24" s="1274"/>
      <c r="P24" s="1275"/>
      <c r="Q24" s="1276"/>
      <c r="R24" s="1274" t="s">
        <v>330</v>
      </c>
      <c r="S24" s="1274"/>
      <c r="T24" s="1275"/>
      <c r="U24" s="1276"/>
      <c r="V24" s="84">
        <v>241</v>
      </c>
    </row>
    <row r="25" spans="1:21" ht="13.5" customHeight="1">
      <c r="A25"/>
      <c r="B25"/>
      <c r="C25"/>
      <c r="D25"/>
      <c r="E25"/>
      <c r="H25"/>
      <c r="I25"/>
      <c r="L25"/>
      <c r="M25"/>
      <c r="P25"/>
      <c r="Q25"/>
      <c r="T25"/>
      <c r="U25"/>
    </row>
  </sheetData>
  <mergeCells count="13">
    <mergeCell ref="R3:U3"/>
    <mergeCell ref="R24:U24"/>
    <mergeCell ref="V3:V4"/>
    <mergeCell ref="S2:V2"/>
    <mergeCell ref="A3:A4"/>
    <mergeCell ref="B3:E3"/>
    <mergeCell ref="B24:E24"/>
    <mergeCell ref="F3:I3"/>
    <mergeCell ref="F24:I24"/>
    <mergeCell ref="J3:M3"/>
    <mergeCell ref="J24:M24"/>
    <mergeCell ref="N3:Q3"/>
    <mergeCell ref="N24:Q24"/>
  </mergeCells>
  <printOptions horizontalCentered="1"/>
  <pageMargins left="0.17" right="0.17" top="0.2755905511811024" bottom="0.2362204724409449" header="0.2362204724409449" footer="0.1968503937007874"/>
  <pageSetup horizontalDpi="600" verticalDpi="600" orientation="landscape" paperSize="9" scale="95" r:id="rId1"/>
  <headerFooter alignWithMargins="0">
    <oddFooter>&amp;C&amp;P / 25
</oddFooter>
  </headerFooter>
</worksheet>
</file>

<file path=xl/worksheets/sheet3.xml><?xml version="1.0" encoding="utf-8"?>
<worksheet xmlns="http://schemas.openxmlformats.org/spreadsheetml/2006/main" xmlns:r="http://schemas.openxmlformats.org/officeDocument/2006/relationships">
  <dimension ref="A1:P45"/>
  <sheetViews>
    <sheetView workbookViewId="0" topLeftCell="A27">
      <selection activeCell="D51" sqref="D51"/>
    </sheetView>
  </sheetViews>
  <sheetFormatPr defaultColWidth="9.00390625" defaultRowHeight="12.75"/>
  <cols>
    <col min="1" max="1" width="12.375" style="875" customWidth="1"/>
    <col min="2" max="9" width="11.375" style="876" customWidth="1"/>
    <col min="10" max="13" width="10.875" style="876" customWidth="1"/>
    <col min="14" max="14" width="11.25390625" style="876" customWidth="1"/>
    <col min="15" max="15" width="10.875" style="876" customWidth="1"/>
    <col min="16" max="16384" width="9.125" style="878" customWidth="1"/>
  </cols>
  <sheetData>
    <row r="1" ht="3.75" customHeight="1">
      <c r="J1" s="877"/>
    </row>
    <row r="2" ht="3.75" customHeight="1">
      <c r="J2" s="877"/>
    </row>
    <row r="3" spans="1:10" s="880" customFormat="1" ht="27.75" customHeight="1" thickBot="1">
      <c r="A3" s="879" t="s">
        <v>346</v>
      </c>
      <c r="J3" s="881" t="s">
        <v>116</v>
      </c>
    </row>
    <row r="4" spans="1:11" s="882" customFormat="1" ht="12" customHeight="1">
      <c r="A4" s="1297" t="s">
        <v>17</v>
      </c>
      <c r="B4" s="1305" t="s">
        <v>347</v>
      </c>
      <c r="C4" s="1306"/>
      <c r="D4" s="1307" t="s">
        <v>348</v>
      </c>
      <c r="E4" s="1308"/>
      <c r="F4" s="1309"/>
      <c r="G4" s="1307" t="s">
        <v>349</v>
      </c>
      <c r="H4" s="1308"/>
      <c r="I4" s="1309"/>
      <c r="J4" s="1319" t="s">
        <v>350</v>
      </c>
      <c r="K4" s="1319" t="s">
        <v>351</v>
      </c>
    </row>
    <row r="5" spans="1:11" s="882" customFormat="1" ht="7.5" customHeight="1">
      <c r="A5" s="1298"/>
      <c r="B5" s="1300" t="s">
        <v>24</v>
      </c>
      <c r="C5" s="883"/>
      <c r="D5" s="1302" t="s">
        <v>24</v>
      </c>
      <c r="E5" s="884"/>
      <c r="F5" s="885"/>
      <c r="G5" s="1302" t="s">
        <v>24</v>
      </c>
      <c r="H5" s="884"/>
      <c r="I5" s="885"/>
      <c r="J5" s="1320"/>
      <c r="K5" s="1320"/>
    </row>
    <row r="6" spans="1:11" s="891" customFormat="1" ht="32.25" customHeight="1" thickBot="1">
      <c r="A6" s="1299"/>
      <c r="B6" s="1301"/>
      <c r="C6" s="886" t="s">
        <v>352</v>
      </c>
      <c r="D6" s="1303"/>
      <c r="E6" s="887" t="s">
        <v>353</v>
      </c>
      <c r="F6" s="888" t="s">
        <v>354</v>
      </c>
      <c r="G6" s="1303"/>
      <c r="H6" s="889" t="s">
        <v>355</v>
      </c>
      <c r="I6" s="890" t="s">
        <v>356</v>
      </c>
      <c r="J6" s="1321"/>
      <c r="K6" s="1321"/>
    </row>
    <row r="7" spans="1:15" s="903" customFormat="1" ht="12" customHeight="1">
      <c r="A7" s="892"/>
      <c r="B7" s="893">
        <v>1</v>
      </c>
      <c r="C7" s="894"/>
      <c r="D7" s="895">
        <v>2</v>
      </c>
      <c r="E7" s="896"/>
      <c r="F7" s="897"/>
      <c r="G7" s="898">
        <v>3</v>
      </c>
      <c r="H7" s="899"/>
      <c r="I7" s="900"/>
      <c r="J7" s="901">
        <v>4</v>
      </c>
      <c r="K7" s="900" t="s">
        <v>357</v>
      </c>
      <c r="L7" s="902"/>
      <c r="M7" s="902"/>
      <c r="N7" s="902"/>
      <c r="O7" s="902"/>
    </row>
    <row r="8" spans="1:11" s="882" customFormat="1" ht="18.75" customHeight="1">
      <c r="A8" s="904" t="s">
        <v>23</v>
      </c>
      <c r="B8" s="905">
        <v>74799.21</v>
      </c>
      <c r="C8" s="906">
        <v>74505.61</v>
      </c>
      <c r="D8" s="907">
        <v>19246.17</v>
      </c>
      <c r="E8" s="908">
        <v>14629.26</v>
      </c>
      <c r="F8" s="909">
        <v>3113.73</v>
      </c>
      <c r="G8" s="907">
        <v>55819.77</v>
      </c>
      <c r="H8" s="908">
        <v>52614.01</v>
      </c>
      <c r="I8" s="909">
        <v>9.48</v>
      </c>
      <c r="J8" s="910">
        <v>2898.53</v>
      </c>
      <c r="K8" s="910">
        <f>+B8+D8+G8+J8</f>
        <v>152763.68</v>
      </c>
    </row>
    <row r="9" spans="1:11" s="882" customFormat="1" ht="18.75" customHeight="1">
      <c r="A9" s="911" t="s">
        <v>22</v>
      </c>
      <c r="B9" s="912">
        <v>98872.01</v>
      </c>
      <c r="C9" s="913">
        <v>96927.03</v>
      </c>
      <c r="D9" s="914">
        <v>14151.83</v>
      </c>
      <c r="E9" s="915">
        <v>8527.2</v>
      </c>
      <c r="F9" s="916">
        <v>5082.48</v>
      </c>
      <c r="G9" s="914">
        <v>21503.25</v>
      </c>
      <c r="H9" s="915">
        <v>15064.28</v>
      </c>
      <c r="I9" s="916">
        <v>3091.61</v>
      </c>
      <c r="J9" s="917">
        <v>-3913.44</v>
      </c>
      <c r="K9" s="910">
        <f>+B9+D9+G9+J9</f>
        <v>130613.65</v>
      </c>
    </row>
    <row r="10" spans="1:11" s="882" customFormat="1" ht="18.75" customHeight="1">
      <c r="A10" s="911" t="s">
        <v>21</v>
      </c>
      <c r="B10" s="905">
        <v>44801.6</v>
      </c>
      <c r="C10" s="906">
        <v>44677.18</v>
      </c>
      <c r="D10" s="914">
        <v>16770.88</v>
      </c>
      <c r="E10" s="915">
        <v>9759.5</v>
      </c>
      <c r="F10" s="916">
        <v>6990.75</v>
      </c>
      <c r="G10" s="914">
        <v>42620.28</v>
      </c>
      <c r="H10" s="915">
        <v>39741.67</v>
      </c>
      <c r="I10" s="916">
        <v>1554.89</v>
      </c>
      <c r="J10" s="917">
        <v>330.86</v>
      </c>
      <c r="K10" s="910">
        <f>+B10+D10+G10+J10</f>
        <v>104523.62</v>
      </c>
    </row>
    <row r="11" spans="1:11" s="882" customFormat="1" ht="18.75" customHeight="1">
      <c r="A11" s="911" t="s">
        <v>20</v>
      </c>
      <c r="B11" s="912">
        <v>74927.22</v>
      </c>
      <c r="C11" s="913">
        <v>73005.72</v>
      </c>
      <c r="D11" s="914">
        <v>9614.1</v>
      </c>
      <c r="E11" s="915">
        <v>7441.4</v>
      </c>
      <c r="F11" s="916">
        <v>1.04</v>
      </c>
      <c r="G11" s="914">
        <v>35083.73</v>
      </c>
      <c r="H11" s="915">
        <v>11908.61</v>
      </c>
      <c r="I11" s="916">
        <v>1583.56</v>
      </c>
      <c r="J11" s="917">
        <v>2046.09</v>
      </c>
      <c r="K11" s="910">
        <f>+B11+D11+G11+J11</f>
        <v>121671.14000000001</v>
      </c>
    </row>
    <row r="12" spans="1:11" s="882" customFormat="1" ht="22.5" customHeight="1" thickBot="1">
      <c r="A12" s="918" t="s">
        <v>99</v>
      </c>
      <c r="B12" s="919">
        <v>63359.7</v>
      </c>
      <c r="C12" s="920">
        <v>62294.63</v>
      </c>
      <c r="D12" s="921">
        <v>17007.46</v>
      </c>
      <c r="E12" s="922">
        <v>11326.1</v>
      </c>
      <c r="F12" s="923">
        <v>4557.03</v>
      </c>
      <c r="G12" s="921">
        <v>78486.4</v>
      </c>
      <c r="H12" s="922">
        <v>78071.94</v>
      </c>
      <c r="I12" s="923">
        <v>4.44</v>
      </c>
      <c r="J12" s="924">
        <v>-4540.53</v>
      </c>
      <c r="K12" s="910">
        <f>+B12+D12+G12+J12</f>
        <v>154313.03</v>
      </c>
    </row>
    <row r="13" spans="1:11" s="882" customFormat="1" ht="22.5" customHeight="1" thickBot="1">
      <c r="A13" s="925" t="s">
        <v>24</v>
      </c>
      <c r="B13" s="926">
        <f aca="true" t="shared" si="0" ref="B13:K13">SUM(B8:B12)</f>
        <v>356759.74000000005</v>
      </c>
      <c r="C13" s="927">
        <f t="shared" si="0"/>
        <v>351410.17000000004</v>
      </c>
      <c r="D13" s="928">
        <f t="shared" si="0"/>
        <v>76790.44</v>
      </c>
      <c r="E13" s="929">
        <f t="shared" si="0"/>
        <v>51683.46</v>
      </c>
      <c r="F13" s="930">
        <f t="shared" si="0"/>
        <v>19745.03</v>
      </c>
      <c r="G13" s="928">
        <f t="shared" si="0"/>
        <v>233513.43</v>
      </c>
      <c r="H13" s="929">
        <f t="shared" si="0"/>
        <v>197400.51</v>
      </c>
      <c r="I13" s="930">
        <f t="shared" si="0"/>
        <v>6243.9800000000005</v>
      </c>
      <c r="J13" s="931">
        <f t="shared" si="0"/>
        <v>-3178.49</v>
      </c>
      <c r="K13" s="931">
        <f t="shared" si="0"/>
        <v>663885.12</v>
      </c>
    </row>
    <row r="14" ht="4.5" customHeight="1"/>
    <row r="15" s="880" customFormat="1" ht="22.5" customHeight="1" thickBot="1">
      <c r="A15" s="879" t="s">
        <v>358</v>
      </c>
    </row>
    <row r="16" spans="1:15" s="882" customFormat="1" ht="10.5" customHeight="1">
      <c r="A16" s="1297" t="s">
        <v>17</v>
      </c>
      <c r="B16" s="1310" t="s">
        <v>359</v>
      </c>
      <c r="C16" s="1310"/>
      <c r="D16" s="1310"/>
      <c r="E16" s="1310"/>
      <c r="F16" s="1311"/>
      <c r="G16" s="1322" t="s">
        <v>360</v>
      </c>
      <c r="H16" s="1324" t="s">
        <v>26</v>
      </c>
      <c r="I16" s="1327" t="s">
        <v>361</v>
      </c>
      <c r="J16" s="1322" t="s">
        <v>362</v>
      </c>
      <c r="K16" s="1322" t="s">
        <v>363</v>
      </c>
      <c r="L16" s="878"/>
      <c r="M16" s="878"/>
      <c r="N16" s="878"/>
      <c r="O16" s="878"/>
    </row>
    <row r="17" spans="1:15" s="882" customFormat="1" ht="7.5" customHeight="1">
      <c r="A17" s="1298"/>
      <c r="B17" s="1304" t="s">
        <v>364</v>
      </c>
      <c r="C17" s="884"/>
      <c r="D17" s="884"/>
      <c r="E17" s="1314" t="s">
        <v>365</v>
      </c>
      <c r="F17" s="1312" t="s">
        <v>366</v>
      </c>
      <c r="G17" s="1312"/>
      <c r="H17" s="1325"/>
      <c r="I17" s="1314"/>
      <c r="J17" s="1312"/>
      <c r="K17" s="1312"/>
      <c r="L17" s="878"/>
      <c r="M17" s="878"/>
      <c r="N17" s="878"/>
      <c r="O17" s="878"/>
    </row>
    <row r="18" spans="1:15" s="891" customFormat="1" ht="36.75" customHeight="1" thickBot="1">
      <c r="A18" s="1299"/>
      <c r="B18" s="1301"/>
      <c r="C18" s="887" t="s">
        <v>352</v>
      </c>
      <c r="D18" s="887" t="s">
        <v>367</v>
      </c>
      <c r="E18" s="1315"/>
      <c r="F18" s="1313"/>
      <c r="G18" s="1323"/>
      <c r="H18" s="1326"/>
      <c r="I18" s="1328" t="s">
        <v>368</v>
      </c>
      <c r="J18" s="1323"/>
      <c r="K18" s="1323"/>
      <c r="L18" s="878"/>
      <c r="M18" s="878"/>
      <c r="N18" s="878"/>
      <c r="O18" s="878"/>
    </row>
    <row r="19" spans="1:15" s="903" customFormat="1" ht="12" customHeight="1">
      <c r="A19" s="892"/>
      <c r="B19" s="893">
        <v>5</v>
      </c>
      <c r="C19" s="932"/>
      <c r="D19" s="932"/>
      <c r="E19" s="896">
        <v>6</v>
      </c>
      <c r="F19" s="897" t="s">
        <v>369</v>
      </c>
      <c r="G19" s="900">
        <v>7</v>
      </c>
      <c r="H19" s="898">
        <v>8</v>
      </c>
      <c r="I19" s="894">
        <v>9</v>
      </c>
      <c r="J19" s="900" t="s">
        <v>370</v>
      </c>
      <c r="K19" s="900" t="s">
        <v>371</v>
      </c>
      <c r="L19" s="902"/>
      <c r="M19" s="902"/>
      <c r="N19" s="902"/>
      <c r="O19" s="902"/>
    </row>
    <row r="20" spans="1:15" s="882" customFormat="1" ht="18.75" customHeight="1">
      <c r="A20" s="904" t="s">
        <v>23</v>
      </c>
      <c r="B20" s="905">
        <v>148524.19</v>
      </c>
      <c r="C20" s="908">
        <v>119144</v>
      </c>
      <c r="D20" s="908">
        <f>17277.68+9155.29</f>
        <v>26432.97</v>
      </c>
      <c r="E20" s="906">
        <v>130.4</v>
      </c>
      <c r="F20" s="909">
        <f>+B20+E20</f>
        <v>148654.59</v>
      </c>
      <c r="G20" s="909">
        <v>4026.84</v>
      </c>
      <c r="H20" s="933">
        <v>5116.54</v>
      </c>
      <c r="I20" s="906">
        <v>-44086.64</v>
      </c>
      <c r="J20" s="909">
        <f>+H20+I20</f>
        <v>-38970.1</v>
      </c>
      <c r="K20" s="909">
        <f>+F20+G20</f>
        <v>152681.43</v>
      </c>
      <c r="L20" s="878"/>
      <c r="M20" s="878"/>
      <c r="N20" s="878"/>
      <c r="O20" s="878"/>
    </row>
    <row r="21" spans="1:15" s="882" customFormat="1" ht="18.75" customHeight="1">
      <c r="A21" s="911" t="s">
        <v>22</v>
      </c>
      <c r="B21" s="912">
        <v>143648.58</v>
      </c>
      <c r="C21" s="912">
        <v>109520.34</v>
      </c>
      <c r="D21" s="915">
        <f>19370.39+10825.56</f>
        <v>30195.949999999997</v>
      </c>
      <c r="E21" s="913">
        <v>7082.7</v>
      </c>
      <c r="F21" s="909">
        <f>+B21+E21</f>
        <v>150731.28</v>
      </c>
      <c r="G21" s="916">
        <v>-280.91</v>
      </c>
      <c r="H21" s="934">
        <v>23803.11</v>
      </c>
      <c r="I21" s="913">
        <v>-93340.48</v>
      </c>
      <c r="J21" s="909">
        <f>+H21+I21</f>
        <v>-69537.37</v>
      </c>
      <c r="K21" s="909">
        <f>+F21+G21</f>
        <v>150450.37</v>
      </c>
      <c r="L21" s="878"/>
      <c r="M21" s="935"/>
      <c r="N21" s="878"/>
      <c r="O21" s="878"/>
    </row>
    <row r="22" spans="1:15" s="882" customFormat="1" ht="18.75" customHeight="1">
      <c r="A22" s="911" t="s">
        <v>21</v>
      </c>
      <c r="B22" s="912">
        <v>51814.61</v>
      </c>
      <c r="C22" s="915">
        <v>32603.55</v>
      </c>
      <c r="D22" s="915">
        <f>11335.79+6127.53</f>
        <v>17463.32</v>
      </c>
      <c r="E22" s="913">
        <v>0</v>
      </c>
      <c r="F22" s="909">
        <f>+B22+E22</f>
        <v>51814.61</v>
      </c>
      <c r="G22" s="916">
        <v>280.57</v>
      </c>
      <c r="H22" s="934">
        <v>180.58</v>
      </c>
      <c r="I22" s="913">
        <v>0</v>
      </c>
      <c r="J22" s="909">
        <f>+H22+I22</f>
        <v>180.58</v>
      </c>
      <c r="K22" s="909">
        <f>+F22+G22</f>
        <v>52095.18</v>
      </c>
      <c r="L22" s="878"/>
      <c r="M22" s="878"/>
      <c r="N22" s="878"/>
      <c r="O22" s="878"/>
    </row>
    <row r="23" spans="1:15" s="882" customFormat="1" ht="18.75" customHeight="1">
      <c r="A23" s="911" t="s">
        <v>20</v>
      </c>
      <c r="B23" s="912">
        <v>84560.78</v>
      </c>
      <c r="C23" s="915">
        <v>56996.1</v>
      </c>
      <c r="D23" s="915">
        <f>14859.65+8613.05</f>
        <v>23472.699999999997</v>
      </c>
      <c r="E23" s="913">
        <v>3323.86</v>
      </c>
      <c r="F23" s="909">
        <f>+B23+E23</f>
        <v>87884.64</v>
      </c>
      <c r="G23" s="916">
        <v>10995.53</v>
      </c>
      <c r="H23" s="934">
        <v>1.62</v>
      </c>
      <c r="I23" s="913">
        <v>-18876.04</v>
      </c>
      <c r="J23" s="909">
        <f>+H23+I23</f>
        <v>-18874.420000000002</v>
      </c>
      <c r="K23" s="909">
        <f>+F23+G23</f>
        <v>98880.17</v>
      </c>
      <c r="L23" s="878"/>
      <c r="M23" s="878"/>
      <c r="N23" s="878"/>
      <c r="O23" s="878"/>
    </row>
    <row r="24" spans="1:15" s="882" customFormat="1" ht="22.5" customHeight="1" thickBot="1">
      <c r="A24" s="918" t="s">
        <v>99</v>
      </c>
      <c r="B24" s="919">
        <v>56021.06</v>
      </c>
      <c r="C24" s="922">
        <v>28903.42</v>
      </c>
      <c r="D24" s="922">
        <f>15774.47+8684.72</f>
        <v>24459.19</v>
      </c>
      <c r="E24" s="920">
        <v>127.5</v>
      </c>
      <c r="F24" s="909">
        <f>+B24+E24</f>
        <v>56148.56</v>
      </c>
      <c r="G24" s="923">
        <v>133.15</v>
      </c>
      <c r="H24" s="936">
        <v>49.01</v>
      </c>
      <c r="I24" s="920">
        <v>0</v>
      </c>
      <c r="J24" s="909">
        <f>+H24+I24</f>
        <v>49.01</v>
      </c>
      <c r="K24" s="909">
        <f>+F24+G24</f>
        <v>56281.71</v>
      </c>
      <c r="L24" s="878"/>
      <c r="M24" s="878"/>
      <c r="N24" s="878"/>
      <c r="O24" s="878"/>
    </row>
    <row r="25" spans="1:15" s="882" customFormat="1" ht="18.75" customHeight="1" thickBot="1">
      <c r="A25" s="925" t="s">
        <v>24</v>
      </c>
      <c r="B25" s="926">
        <f aca="true" t="shared" si="1" ref="B25:K25">SUM(B20:B24)</f>
        <v>484569.22000000003</v>
      </c>
      <c r="C25" s="929">
        <f t="shared" si="1"/>
        <v>347167.41</v>
      </c>
      <c r="D25" s="929">
        <f t="shared" si="1"/>
        <v>122024.12999999999</v>
      </c>
      <c r="E25" s="927">
        <f t="shared" si="1"/>
        <v>10664.46</v>
      </c>
      <c r="F25" s="930">
        <f t="shared" si="1"/>
        <v>495233.68</v>
      </c>
      <c r="G25" s="930">
        <f t="shared" si="1"/>
        <v>15155.18</v>
      </c>
      <c r="H25" s="929">
        <f t="shared" si="1"/>
        <v>29150.86</v>
      </c>
      <c r="I25" s="927">
        <f t="shared" si="1"/>
        <v>-156303.16</v>
      </c>
      <c r="J25" s="930">
        <f t="shared" si="1"/>
        <v>-127152.3</v>
      </c>
      <c r="K25" s="930">
        <f t="shared" si="1"/>
        <v>510388.86</v>
      </c>
      <c r="L25" s="878"/>
      <c r="M25" s="878"/>
      <c r="N25" s="878"/>
      <c r="O25" s="878"/>
    </row>
    <row r="26" ht="5.25" customHeight="1"/>
    <row r="27" s="880" customFormat="1" ht="20.25" customHeight="1" thickBot="1">
      <c r="A27" s="879" t="s">
        <v>372</v>
      </c>
    </row>
    <row r="28" spans="1:16" s="943" customFormat="1" ht="16.5" customHeight="1" thickBot="1">
      <c r="A28" s="937" t="s">
        <v>17</v>
      </c>
      <c r="B28" s="938" t="s">
        <v>373</v>
      </c>
      <c r="C28" s="939" t="s">
        <v>374</v>
      </c>
      <c r="D28" s="939" t="s">
        <v>375</v>
      </c>
      <c r="E28" s="939" t="s">
        <v>376</v>
      </c>
      <c r="F28" s="940" t="s">
        <v>377</v>
      </c>
      <c r="G28" s="940" t="s">
        <v>378</v>
      </c>
      <c r="H28" s="941">
        <v>38717</v>
      </c>
      <c r="I28" s="1316">
        <v>39082</v>
      </c>
      <c r="J28" s="1317"/>
      <c r="K28" s="1318"/>
      <c r="L28" s="942"/>
      <c r="M28" s="942"/>
      <c r="N28" s="942"/>
      <c r="O28" s="942"/>
      <c r="P28" s="942"/>
    </row>
    <row r="29" spans="1:16" s="953" customFormat="1" ht="9.75" customHeight="1">
      <c r="A29" s="944"/>
      <c r="B29" s="945"/>
      <c r="C29" s="946"/>
      <c r="D29" s="945"/>
      <c r="E29" s="946"/>
      <c r="F29" s="945"/>
      <c r="G29" s="947"/>
      <c r="H29" s="948" t="s">
        <v>379</v>
      </c>
      <c r="I29" s="949" t="s">
        <v>379</v>
      </c>
      <c r="J29" s="950" t="s">
        <v>380</v>
      </c>
      <c r="K29" s="951" t="s">
        <v>381</v>
      </c>
      <c r="L29" s="952"/>
      <c r="M29" s="952"/>
      <c r="N29" s="952"/>
      <c r="O29" s="952"/>
      <c r="P29" s="952"/>
    </row>
    <row r="30" spans="1:16" s="882" customFormat="1" ht="19.5" customHeight="1">
      <c r="A30" s="904" t="s">
        <v>23</v>
      </c>
      <c r="B30" s="954">
        <v>-21941.29</v>
      </c>
      <c r="C30" s="908">
        <v>-32603.85</v>
      </c>
      <c r="D30" s="954">
        <v>-40544.79</v>
      </c>
      <c r="E30" s="908">
        <v>-15777.38</v>
      </c>
      <c r="F30" s="954">
        <v>-29645.05</v>
      </c>
      <c r="G30" s="906">
        <v>-10101.77</v>
      </c>
      <c r="H30" s="906">
        <v>-8899.290000000034</v>
      </c>
      <c r="I30" s="933">
        <f>+K8-K20</f>
        <v>82.25</v>
      </c>
      <c r="J30" s="1212">
        <f>+(B8+D8+G8)/(B20)</f>
        <v>1.009028562956647</v>
      </c>
      <c r="K30" s="909">
        <f>+G8/B20</f>
        <v>0.37582948609246747</v>
      </c>
      <c r="L30" s="878"/>
      <c r="M30" s="878"/>
      <c r="N30" s="878"/>
      <c r="O30" s="878"/>
      <c r="P30" s="878"/>
    </row>
    <row r="31" spans="1:16" s="882" customFormat="1" ht="19.5" customHeight="1">
      <c r="A31" s="911" t="s">
        <v>22</v>
      </c>
      <c r="B31" s="955">
        <v>-57593.9</v>
      </c>
      <c r="C31" s="915">
        <v>-153332.37572</v>
      </c>
      <c r="D31" s="955">
        <v>-129969.62</v>
      </c>
      <c r="E31" s="915">
        <v>-120623.62</v>
      </c>
      <c r="F31" s="955">
        <v>-107199.57</v>
      </c>
      <c r="G31" s="913">
        <v>-109867.76</v>
      </c>
      <c r="H31" s="913">
        <v>-62760.61</v>
      </c>
      <c r="I31" s="933">
        <f>+K9-K21</f>
        <v>-19836.72</v>
      </c>
      <c r="J31" s="1212">
        <f>+(B9+D9+G9)/(B21)</f>
        <v>0.9365013562960386</v>
      </c>
      <c r="K31" s="909">
        <f>+G9/B21</f>
        <v>0.14969343936431534</v>
      </c>
      <c r="L31" s="878"/>
      <c r="M31" s="878"/>
      <c r="N31" s="878"/>
      <c r="O31" s="878"/>
      <c r="P31" s="878"/>
    </row>
    <row r="32" spans="1:16" s="882" customFormat="1" ht="19.5" customHeight="1">
      <c r="A32" s="911" t="s">
        <v>21</v>
      </c>
      <c r="B32" s="955">
        <v>60715.35</v>
      </c>
      <c r="C32" s="915">
        <v>49823.76421</v>
      </c>
      <c r="D32" s="955">
        <v>63925.74</v>
      </c>
      <c r="E32" s="915">
        <v>76159.03</v>
      </c>
      <c r="F32" s="955">
        <v>64629.44</v>
      </c>
      <c r="G32" s="913">
        <v>59493.29</v>
      </c>
      <c r="H32" s="913">
        <v>54183.62</v>
      </c>
      <c r="I32" s="933">
        <f>+K10-K22</f>
        <v>52428.439999999995</v>
      </c>
      <c r="J32" s="1212">
        <f>+(B10+D10+G10)/(B22)</f>
        <v>2.0108760830198276</v>
      </c>
      <c r="K32" s="909">
        <f>+G10/B22</f>
        <v>0.8225533300356791</v>
      </c>
      <c r="L32" s="878"/>
      <c r="M32" s="878"/>
      <c r="N32" s="878"/>
      <c r="O32" s="878"/>
      <c r="P32" s="878"/>
    </row>
    <row r="33" spans="1:16" s="882" customFormat="1" ht="19.5" customHeight="1">
      <c r="A33" s="911" t="s">
        <v>20</v>
      </c>
      <c r="B33" s="955">
        <v>-32177.65</v>
      </c>
      <c r="C33" s="915">
        <v>-40623.71</v>
      </c>
      <c r="D33" s="955">
        <v>-5201.33</v>
      </c>
      <c r="E33" s="915">
        <v>18604.08</v>
      </c>
      <c r="F33" s="955">
        <v>16701.53</v>
      </c>
      <c r="G33" s="913">
        <v>-4444.8000000000075</v>
      </c>
      <c r="H33" s="913">
        <v>12204.01</v>
      </c>
      <c r="I33" s="933">
        <f>+K11-K23</f>
        <v>22790.970000000016</v>
      </c>
      <c r="J33" s="1212">
        <f>+(B11+D11+G11)/(B23)</f>
        <v>1.4146635118550233</v>
      </c>
      <c r="K33" s="909">
        <f>+G11/B23</f>
        <v>0.4148936421825816</v>
      </c>
      <c r="L33" s="878"/>
      <c r="M33" s="878"/>
      <c r="N33" s="878"/>
      <c r="O33" s="878"/>
      <c r="P33" s="878"/>
    </row>
    <row r="34" spans="1:16" s="882" customFormat="1" ht="23.25" customHeight="1" thickBot="1">
      <c r="A34" s="918" t="s">
        <v>99</v>
      </c>
      <c r="B34" s="956">
        <v>54951.141070000005</v>
      </c>
      <c r="C34" s="922">
        <v>34888.48135</v>
      </c>
      <c r="D34" s="956">
        <v>79629.95</v>
      </c>
      <c r="E34" s="922">
        <v>68021.53</v>
      </c>
      <c r="F34" s="956">
        <v>84041.91</v>
      </c>
      <c r="G34" s="920">
        <v>88998.16</v>
      </c>
      <c r="H34" s="920">
        <v>87896.17</v>
      </c>
      <c r="I34" s="933">
        <f>+K12-K24</f>
        <v>98031.32</v>
      </c>
      <c r="J34" s="1212">
        <f>+(B12+D12+G12)/(B24)</f>
        <v>2.83560432451653</v>
      </c>
      <c r="K34" s="909">
        <f>+G12/B24</f>
        <v>1.4010159750636635</v>
      </c>
      <c r="L34" s="878"/>
      <c r="M34" s="878"/>
      <c r="N34" s="878"/>
      <c r="O34" s="878"/>
      <c r="P34" s="878"/>
    </row>
    <row r="35" spans="1:16" s="882" customFormat="1" ht="19.5" customHeight="1" thickBot="1">
      <c r="A35" s="925" t="s">
        <v>24</v>
      </c>
      <c r="B35" s="957">
        <f aca="true" t="shared" si="2" ref="B35:G35">SUM(B30:B34)</f>
        <v>3953.65107</v>
      </c>
      <c r="C35" s="927">
        <f t="shared" si="2"/>
        <v>-141847.69016</v>
      </c>
      <c r="D35" s="927">
        <f t="shared" si="2"/>
        <v>-32160.050000000017</v>
      </c>
      <c r="E35" s="927">
        <f t="shared" si="2"/>
        <v>26383.64</v>
      </c>
      <c r="F35" s="927">
        <f t="shared" si="2"/>
        <v>28528.26000000001</v>
      </c>
      <c r="G35" s="927">
        <f t="shared" si="2"/>
        <v>24077.119999999995</v>
      </c>
      <c r="H35" s="927">
        <v>82623.89999999994</v>
      </c>
      <c r="I35" s="958">
        <f>SUM(I30:I34)</f>
        <v>153496.26</v>
      </c>
      <c r="J35" s="927"/>
      <c r="K35" s="930"/>
      <c r="L35" s="878"/>
      <c r="M35" s="878"/>
      <c r="N35" s="878"/>
      <c r="O35" s="878"/>
      <c r="P35" s="878"/>
    </row>
    <row r="36" ht="4.5" customHeight="1"/>
    <row r="37" spans="1:11" ht="15" customHeight="1">
      <c r="A37" s="1284" t="s">
        <v>383</v>
      </c>
      <c r="B37" s="1285"/>
      <c r="C37" s="1285"/>
      <c r="D37" s="1285"/>
      <c r="E37" s="1285"/>
      <c r="F37" s="1285"/>
      <c r="G37" s="1285"/>
      <c r="H37" s="1285"/>
      <c r="I37" s="1285"/>
      <c r="J37" s="1285"/>
      <c r="K37" s="1286"/>
    </row>
    <row r="38" spans="1:11" ht="15" customHeight="1">
      <c r="A38" s="1287"/>
      <c r="B38" s="1288"/>
      <c r="C38" s="1288"/>
      <c r="D38" s="1288"/>
      <c r="E38" s="1288"/>
      <c r="F38" s="1288"/>
      <c r="G38" s="1288"/>
      <c r="H38" s="1288"/>
      <c r="I38" s="1288"/>
      <c r="J38" s="1288"/>
      <c r="K38" s="1289"/>
    </row>
    <row r="39" spans="1:11" ht="7.5" customHeight="1">
      <c r="A39" s="1290"/>
      <c r="B39" s="1291"/>
      <c r="C39" s="1291"/>
      <c r="D39" s="1291"/>
      <c r="E39" s="1291"/>
      <c r="F39" s="1291"/>
      <c r="G39" s="1291"/>
      <c r="H39" s="1291"/>
      <c r="I39" s="1291"/>
      <c r="J39" s="1291"/>
      <c r="K39" s="1292"/>
    </row>
    <row r="40" ht="3.75" customHeight="1"/>
    <row r="41" spans="1:8" ht="16.5">
      <c r="A41" s="1295"/>
      <c r="B41" s="1296"/>
      <c r="C41" s="1296"/>
      <c r="D41" s="1296"/>
      <c r="E41" s="1296"/>
      <c r="F41" s="1296"/>
      <c r="G41" s="1296"/>
      <c r="H41" s="959"/>
    </row>
    <row r="42" spans="1:9" ht="16.5">
      <c r="A42" s="1295"/>
      <c r="B42" s="1296"/>
      <c r="C42" s="1296"/>
      <c r="D42" s="1296"/>
      <c r="E42" s="1296"/>
      <c r="F42" s="1296"/>
      <c r="G42" s="1296"/>
      <c r="I42" s="959"/>
    </row>
    <row r="45" spans="1:3" ht="12.75">
      <c r="A45" s="1293"/>
      <c r="B45" s="1294"/>
      <c r="C45" s="1294"/>
    </row>
  </sheetData>
  <mergeCells count="24">
    <mergeCell ref="I28:K28"/>
    <mergeCell ref="K4:K6"/>
    <mergeCell ref="K16:K18"/>
    <mergeCell ref="H16:H18"/>
    <mergeCell ref="I16:I18"/>
    <mergeCell ref="J4:J6"/>
    <mergeCell ref="J16:J18"/>
    <mergeCell ref="G4:I4"/>
    <mergeCell ref="G5:G6"/>
    <mergeCell ref="G16:G18"/>
    <mergeCell ref="A4:A6"/>
    <mergeCell ref="B5:B6"/>
    <mergeCell ref="D5:D6"/>
    <mergeCell ref="B17:B18"/>
    <mergeCell ref="B4:C4"/>
    <mergeCell ref="D4:F4"/>
    <mergeCell ref="B16:F16"/>
    <mergeCell ref="F17:F18"/>
    <mergeCell ref="A16:A18"/>
    <mergeCell ref="E17:E18"/>
    <mergeCell ref="A37:K39"/>
    <mergeCell ref="A45:C45"/>
    <mergeCell ref="A41:G41"/>
    <mergeCell ref="A42:G42"/>
  </mergeCells>
  <printOptions horizontalCentered="1"/>
  <pageMargins left="0.2" right="0.21" top="0.27" bottom="0.25" header="0.21" footer="0.17"/>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List1"/>
  <dimension ref="A2:N197"/>
  <sheetViews>
    <sheetView workbookViewId="0" topLeftCell="A1">
      <selection activeCell="A1" sqref="A1"/>
    </sheetView>
  </sheetViews>
  <sheetFormatPr defaultColWidth="9.00390625" defaultRowHeight="12.75"/>
  <cols>
    <col min="1" max="1" width="12.375" style="0" customWidth="1"/>
    <col min="2" max="8" width="10.125" style="0" customWidth="1"/>
    <col min="9" max="9" width="10.75390625" style="0" customWidth="1"/>
    <col min="10" max="11" width="10.125" style="0" customWidth="1"/>
    <col min="12" max="12" width="10.75390625" style="0" customWidth="1"/>
    <col min="13" max="13" width="10.75390625" style="0" bestFit="1" customWidth="1"/>
    <col min="14" max="14" width="22.125" style="0" customWidth="1"/>
  </cols>
  <sheetData>
    <row r="2" spans="1:12" ht="18">
      <c r="A2" s="1399" t="s">
        <v>57</v>
      </c>
      <c r="B2" s="1400"/>
      <c r="C2" s="1400"/>
      <c r="D2" s="1400"/>
      <c r="E2" s="1400"/>
      <c r="F2" s="1400"/>
      <c r="G2" s="1400"/>
      <c r="H2" s="1400"/>
      <c r="I2" s="1400"/>
      <c r="J2" s="1400"/>
      <c r="K2" s="1400"/>
      <c r="L2" s="1401"/>
    </row>
    <row r="3" ht="4.5" customHeight="1">
      <c r="A3" s="16"/>
    </row>
    <row r="4" spans="1:12" ht="17.25" customHeight="1" thickBot="1">
      <c r="A4" s="68" t="s">
        <v>54</v>
      </c>
      <c r="L4" s="167" t="s">
        <v>116</v>
      </c>
    </row>
    <row r="5" spans="1:12" ht="15" customHeight="1">
      <c r="A5" s="1339" t="s">
        <v>32</v>
      </c>
      <c r="B5" s="1357" t="s">
        <v>18</v>
      </c>
      <c r="C5" s="1358"/>
      <c r="D5" s="1344" t="s">
        <v>128</v>
      </c>
      <c r="E5" s="1345"/>
      <c r="F5" s="1346"/>
      <c r="G5" s="1347"/>
      <c r="H5" s="1344" t="s">
        <v>26</v>
      </c>
      <c r="I5" s="1346"/>
      <c r="J5" s="1346"/>
      <c r="K5" s="1346"/>
      <c r="L5" s="1347"/>
    </row>
    <row r="6" spans="1:12" ht="12.75" customHeight="1">
      <c r="A6" s="1340"/>
      <c r="B6" s="1396">
        <v>2005</v>
      </c>
      <c r="C6" s="1397">
        <v>2006</v>
      </c>
      <c r="D6" s="1359">
        <v>2005</v>
      </c>
      <c r="E6" s="1360"/>
      <c r="F6" s="1342">
        <v>2006</v>
      </c>
      <c r="G6" s="1343"/>
      <c r="H6" s="1359">
        <v>2005</v>
      </c>
      <c r="I6" s="1360"/>
      <c r="J6" s="1342">
        <v>2006</v>
      </c>
      <c r="K6" s="1361" t="s">
        <v>127</v>
      </c>
      <c r="L6" s="1362" t="s">
        <v>141</v>
      </c>
    </row>
    <row r="7" spans="1:12" ht="23.25" thickBot="1">
      <c r="A7" s="1341"/>
      <c r="B7" s="1341"/>
      <c r="C7" s="1398"/>
      <c r="D7" s="485" t="s">
        <v>129</v>
      </c>
      <c r="E7" s="486" t="s">
        <v>130</v>
      </c>
      <c r="F7" s="486" t="s">
        <v>129</v>
      </c>
      <c r="G7" s="540" t="s">
        <v>130</v>
      </c>
      <c r="H7" s="485" t="s">
        <v>131</v>
      </c>
      <c r="I7" s="486" t="s">
        <v>127</v>
      </c>
      <c r="J7" s="486" t="s">
        <v>131</v>
      </c>
      <c r="K7" s="487" t="s">
        <v>127</v>
      </c>
      <c r="L7" s="1363"/>
    </row>
    <row r="8" spans="1:12" s="24" customFormat="1" ht="12.75" customHeight="1">
      <c r="A8" s="535" t="s">
        <v>33</v>
      </c>
      <c r="B8" s="541">
        <v>45713</v>
      </c>
      <c r="C8" s="542">
        <v>44575</v>
      </c>
      <c r="D8" s="541">
        <v>45247</v>
      </c>
      <c r="E8" s="543">
        <v>1547</v>
      </c>
      <c r="F8" s="544">
        <v>47437</v>
      </c>
      <c r="G8" s="545">
        <v>122</v>
      </c>
      <c r="H8" s="546">
        <f aca="true" t="shared" si="0" ref="H8:H13">+D8-B8</f>
        <v>-466</v>
      </c>
      <c r="I8" s="547">
        <f aca="true" t="shared" si="1" ref="I8:I13">+D8-B8-E8</f>
        <v>-2013</v>
      </c>
      <c r="J8" s="547">
        <f aca="true" t="shared" si="2" ref="J8:J13">+F8-C8</f>
        <v>2862</v>
      </c>
      <c r="K8" s="547">
        <f>+J8-G8</f>
        <v>2740</v>
      </c>
      <c r="L8" s="545">
        <f aca="true" t="shared" si="3" ref="L8:L13">+J8-H8</f>
        <v>3328</v>
      </c>
    </row>
    <row r="9" spans="1:12" s="24" customFormat="1" ht="12.75">
      <c r="A9" s="509" t="s">
        <v>34</v>
      </c>
      <c r="B9" s="537">
        <v>89563</v>
      </c>
      <c r="C9" s="548">
        <v>89441</v>
      </c>
      <c r="D9" s="537">
        <v>91213</v>
      </c>
      <c r="E9" s="548">
        <v>3338</v>
      </c>
      <c r="F9" s="538">
        <v>94550</v>
      </c>
      <c r="G9" s="549">
        <v>249</v>
      </c>
      <c r="H9" s="550">
        <f t="shared" si="0"/>
        <v>1650</v>
      </c>
      <c r="I9" s="547">
        <f t="shared" si="1"/>
        <v>-1688</v>
      </c>
      <c r="J9" s="538">
        <f t="shared" si="2"/>
        <v>5109</v>
      </c>
      <c r="K9" s="547">
        <f aca="true" t="shared" si="4" ref="K9:K19">+J9-G9</f>
        <v>4860</v>
      </c>
      <c r="L9" s="545">
        <f t="shared" si="3"/>
        <v>3459</v>
      </c>
    </row>
    <row r="10" spans="1:12" s="24" customFormat="1" ht="12.75">
      <c r="A10" s="509" t="s">
        <v>35</v>
      </c>
      <c r="B10" s="537">
        <v>130839</v>
      </c>
      <c r="C10" s="548">
        <f>+'Hospodaření str1-2'!F9</f>
        <v>144532</v>
      </c>
      <c r="D10" s="537">
        <v>134917</v>
      </c>
      <c r="E10" s="548">
        <v>366</v>
      </c>
      <c r="F10" s="538">
        <f>+'Hospodaření str1-2'!J9</f>
        <v>147491</v>
      </c>
      <c r="G10" s="549">
        <v>4696</v>
      </c>
      <c r="H10" s="550">
        <f t="shared" si="0"/>
        <v>4078</v>
      </c>
      <c r="I10" s="547">
        <f t="shared" si="1"/>
        <v>3712</v>
      </c>
      <c r="J10" s="538">
        <f t="shared" si="2"/>
        <v>2959</v>
      </c>
      <c r="K10" s="547">
        <f t="shared" si="4"/>
        <v>-1737</v>
      </c>
      <c r="L10" s="545">
        <f t="shared" si="3"/>
        <v>-1119</v>
      </c>
    </row>
    <row r="11" spans="1:12" s="24" customFormat="1" ht="12.75">
      <c r="A11" s="509" t="s">
        <v>36</v>
      </c>
      <c r="B11" s="537">
        <v>178565</v>
      </c>
      <c r="C11" s="548">
        <f>+'Hospodaření str1-2'!F10</f>
        <v>195662</v>
      </c>
      <c r="D11" s="537">
        <v>188893</v>
      </c>
      <c r="E11" s="548">
        <v>9031</v>
      </c>
      <c r="F11" s="538">
        <f>+'Hospodaření str1-2'!J10</f>
        <v>196577</v>
      </c>
      <c r="G11" s="549">
        <v>6282</v>
      </c>
      <c r="H11" s="550">
        <f t="shared" si="0"/>
        <v>10328</v>
      </c>
      <c r="I11" s="547">
        <f t="shared" si="1"/>
        <v>1297</v>
      </c>
      <c r="J11" s="538">
        <f t="shared" si="2"/>
        <v>915</v>
      </c>
      <c r="K11" s="547">
        <f t="shared" si="4"/>
        <v>-5367</v>
      </c>
      <c r="L11" s="545">
        <f t="shared" si="3"/>
        <v>-9413</v>
      </c>
    </row>
    <row r="12" spans="1:12" s="24" customFormat="1" ht="12.75">
      <c r="A12" s="509" t="s">
        <v>37</v>
      </c>
      <c r="B12" s="537">
        <v>225803</v>
      </c>
      <c r="C12" s="548">
        <f>+'Hospodaření str1-2'!F11</f>
        <v>245855</v>
      </c>
      <c r="D12" s="537">
        <v>237124</v>
      </c>
      <c r="E12" s="548">
        <v>11245</v>
      </c>
      <c r="F12" s="538">
        <f>+'Hospodaření str1-2'!J11</f>
        <v>246885</v>
      </c>
      <c r="G12" s="549">
        <v>7932</v>
      </c>
      <c r="H12" s="550">
        <f t="shared" si="0"/>
        <v>11321</v>
      </c>
      <c r="I12" s="538">
        <f t="shared" si="1"/>
        <v>76</v>
      </c>
      <c r="J12" s="538">
        <f t="shared" si="2"/>
        <v>1030</v>
      </c>
      <c r="K12" s="547">
        <f t="shared" si="4"/>
        <v>-6902</v>
      </c>
      <c r="L12" s="549">
        <f t="shared" si="3"/>
        <v>-10291</v>
      </c>
    </row>
    <row r="13" spans="1:12" s="24" customFormat="1" ht="13.5" thickBot="1">
      <c r="A13" s="515" t="s">
        <v>38</v>
      </c>
      <c r="B13" s="551">
        <v>274775</v>
      </c>
      <c r="C13" s="552">
        <f>+'Hospodaření str1-2'!F12</f>
        <v>300770</v>
      </c>
      <c r="D13" s="551">
        <v>286101</v>
      </c>
      <c r="E13" s="552">
        <v>13518</v>
      </c>
      <c r="F13" s="553">
        <f>+'Hospodaření str1-2'!J12</f>
        <v>301123</v>
      </c>
      <c r="G13" s="554">
        <v>9652</v>
      </c>
      <c r="H13" s="555">
        <f t="shared" si="0"/>
        <v>11326</v>
      </c>
      <c r="I13" s="556">
        <f t="shared" si="1"/>
        <v>-2192</v>
      </c>
      <c r="J13" s="556">
        <f t="shared" si="2"/>
        <v>353</v>
      </c>
      <c r="K13" s="553">
        <f t="shared" si="4"/>
        <v>-9299</v>
      </c>
      <c r="L13" s="554">
        <f t="shared" si="3"/>
        <v>-10973</v>
      </c>
    </row>
    <row r="14" spans="1:12" s="24" customFormat="1" ht="12.75">
      <c r="A14" s="353" t="s">
        <v>39</v>
      </c>
      <c r="B14" s="231">
        <v>321044</v>
      </c>
      <c r="C14" s="30">
        <v>353406</v>
      </c>
      <c r="D14" s="60">
        <v>332146</v>
      </c>
      <c r="E14" s="11">
        <v>15316</v>
      </c>
      <c r="F14" s="9">
        <v>351603</v>
      </c>
      <c r="G14" s="3">
        <v>11216</v>
      </c>
      <c r="H14" s="231">
        <f aca="true" t="shared" si="5" ref="H14:H19">+D14-B14</f>
        <v>11102</v>
      </c>
      <c r="I14" s="11">
        <f aca="true" t="shared" si="6" ref="I14:I19">+D14-B14-E14</f>
        <v>-4214</v>
      </c>
      <c r="J14" s="9">
        <f aca="true" t="shared" si="7" ref="J14:J19">+F14-C14</f>
        <v>-1803</v>
      </c>
      <c r="K14" s="547">
        <f t="shared" si="4"/>
        <v>-13019</v>
      </c>
      <c r="L14" s="3">
        <f aca="true" t="shared" si="8" ref="L14:L19">+J14-H14</f>
        <v>-12905</v>
      </c>
    </row>
    <row r="15" spans="1:12" s="24" customFormat="1" ht="12.75">
      <c r="A15" s="49" t="s">
        <v>40</v>
      </c>
      <c r="B15" s="232">
        <v>366254</v>
      </c>
      <c r="C15" s="28">
        <v>402965</v>
      </c>
      <c r="D15" s="61">
        <v>380110</v>
      </c>
      <c r="E15" s="12">
        <v>16810</v>
      </c>
      <c r="F15" s="8">
        <v>401296</v>
      </c>
      <c r="G15" s="5">
        <v>12780</v>
      </c>
      <c r="H15" s="232">
        <f t="shared" si="5"/>
        <v>13856</v>
      </c>
      <c r="I15" s="12">
        <f t="shared" si="6"/>
        <v>-2954</v>
      </c>
      <c r="J15" s="8">
        <f t="shared" si="7"/>
        <v>-1669</v>
      </c>
      <c r="K15" s="547">
        <f t="shared" si="4"/>
        <v>-14449</v>
      </c>
      <c r="L15" s="5">
        <f t="shared" si="8"/>
        <v>-15525</v>
      </c>
    </row>
    <row r="16" spans="1:12" s="24" customFormat="1" ht="12.75">
      <c r="A16" s="49" t="s">
        <v>41</v>
      </c>
      <c r="B16" s="232">
        <v>413097</v>
      </c>
      <c r="C16" s="28">
        <v>453339</v>
      </c>
      <c r="D16" s="61">
        <v>427436</v>
      </c>
      <c r="E16" s="12">
        <v>18378</v>
      </c>
      <c r="F16" s="8">
        <v>452360</v>
      </c>
      <c r="G16" s="5">
        <v>16218</v>
      </c>
      <c r="H16" s="232">
        <f t="shared" si="5"/>
        <v>14339</v>
      </c>
      <c r="I16" s="12">
        <f t="shared" si="6"/>
        <v>-4039</v>
      </c>
      <c r="J16" s="8">
        <f t="shared" si="7"/>
        <v>-979</v>
      </c>
      <c r="K16" s="547">
        <f t="shared" si="4"/>
        <v>-17197</v>
      </c>
      <c r="L16" s="5">
        <f t="shared" si="8"/>
        <v>-15318</v>
      </c>
    </row>
    <row r="17" spans="1:12" s="24" customFormat="1" ht="12.75">
      <c r="A17" s="49" t="s">
        <v>42</v>
      </c>
      <c r="B17" s="232">
        <v>463507</v>
      </c>
      <c r="C17" s="28">
        <v>508847</v>
      </c>
      <c r="D17" s="61">
        <v>475706</v>
      </c>
      <c r="E17" s="12">
        <v>20405</v>
      </c>
      <c r="F17" s="8">
        <v>504931</v>
      </c>
      <c r="G17" s="5">
        <v>17990</v>
      </c>
      <c r="H17" s="232">
        <f t="shared" si="5"/>
        <v>12199</v>
      </c>
      <c r="I17" s="12">
        <f t="shared" si="6"/>
        <v>-8206</v>
      </c>
      <c r="J17" s="8">
        <f t="shared" si="7"/>
        <v>-3916</v>
      </c>
      <c r="K17" s="547">
        <f t="shared" si="4"/>
        <v>-21906</v>
      </c>
      <c r="L17" s="5">
        <f t="shared" si="8"/>
        <v>-16115</v>
      </c>
    </row>
    <row r="18" spans="1:12" s="24" customFormat="1" ht="12.75">
      <c r="A18" s="49" t="s">
        <v>43</v>
      </c>
      <c r="B18" s="232">
        <v>514741</v>
      </c>
      <c r="C18" s="28">
        <v>559419</v>
      </c>
      <c r="D18" s="61">
        <v>521104</v>
      </c>
      <c r="E18" s="12">
        <v>18644</v>
      </c>
      <c r="F18" s="8">
        <v>559252</v>
      </c>
      <c r="G18" s="5">
        <v>19831</v>
      </c>
      <c r="H18" s="232">
        <f t="shared" si="5"/>
        <v>6363</v>
      </c>
      <c r="I18" s="12">
        <f t="shared" si="6"/>
        <v>-12281</v>
      </c>
      <c r="J18" s="8">
        <f t="shared" si="7"/>
        <v>-167</v>
      </c>
      <c r="K18" s="547">
        <f t="shared" si="4"/>
        <v>-19998</v>
      </c>
      <c r="L18" s="5">
        <f t="shared" si="8"/>
        <v>-6530</v>
      </c>
    </row>
    <row r="19" spans="1:12" s="24" customFormat="1" ht="13.5" thickBot="1">
      <c r="A19" s="183" t="s">
        <v>44</v>
      </c>
      <c r="B19" s="233">
        <v>568705</v>
      </c>
      <c r="C19" s="7">
        <v>618523</v>
      </c>
      <c r="D19" s="6">
        <v>568890</v>
      </c>
      <c r="E19" s="62">
        <v>15532</v>
      </c>
      <c r="F19" s="6">
        <v>623639</v>
      </c>
      <c r="G19" s="7">
        <v>23205</v>
      </c>
      <c r="H19" s="233">
        <f t="shared" si="5"/>
        <v>185</v>
      </c>
      <c r="I19" s="62">
        <f t="shared" si="6"/>
        <v>-15347</v>
      </c>
      <c r="J19" s="6">
        <f t="shared" si="7"/>
        <v>5116</v>
      </c>
      <c r="K19" s="553">
        <f t="shared" si="4"/>
        <v>-18089</v>
      </c>
      <c r="L19" s="117">
        <f t="shared" si="8"/>
        <v>4931</v>
      </c>
    </row>
    <row r="21" spans="1:12" ht="12.75" customHeight="1">
      <c r="A21" s="1348" t="s">
        <v>270</v>
      </c>
      <c r="B21" s="1349"/>
      <c r="C21" s="1349"/>
      <c r="D21" s="1349"/>
      <c r="E21" s="1349"/>
      <c r="F21" s="1349"/>
      <c r="G21" s="1349"/>
      <c r="H21" s="1349"/>
      <c r="I21" s="1349"/>
      <c r="J21" s="1349"/>
      <c r="K21" s="1349"/>
      <c r="L21" s="1350"/>
    </row>
    <row r="22" spans="1:13" ht="12.75">
      <c r="A22" s="1351"/>
      <c r="B22" s="1352"/>
      <c r="C22" s="1352"/>
      <c r="D22" s="1352"/>
      <c r="E22" s="1352"/>
      <c r="F22" s="1352"/>
      <c r="G22" s="1352"/>
      <c r="H22" s="1352"/>
      <c r="I22" s="1352"/>
      <c r="J22" s="1352"/>
      <c r="K22" s="1352"/>
      <c r="L22" s="1353"/>
      <c r="M22" s="175"/>
    </row>
    <row r="23" spans="1:13" ht="12.75">
      <c r="A23" s="1351"/>
      <c r="B23" s="1352"/>
      <c r="C23" s="1352"/>
      <c r="D23" s="1352"/>
      <c r="E23" s="1352"/>
      <c r="F23" s="1352"/>
      <c r="G23" s="1352"/>
      <c r="H23" s="1352"/>
      <c r="I23" s="1352"/>
      <c r="J23" s="1352"/>
      <c r="K23" s="1352"/>
      <c r="L23" s="1353"/>
      <c r="M23" s="175"/>
    </row>
    <row r="24" spans="1:13" ht="12.75">
      <c r="A24" s="1351"/>
      <c r="B24" s="1352"/>
      <c r="C24" s="1352"/>
      <c r="D24" s="1352"/>
      <c r="E24" s="1352"/>
      <c r="F24" s="1352"/>
      <c r="G24" s="1352"/>
      <c r="H24" s="1352"/>
      <c r="I24" s="1352"/>
      <c r="J24" s="1352"/>
      <c r="K24" s="1352"/>
      <c r="L24" s="1353"/>
      <c r="M24" s="175"/>
    </row>
    <row r="25" spans="1:13" ht="12.75">
      <c r="A25" s="1351"/>
      <c r="B25" s="1352"/>
      <c r="C25" s="1352"/>
      <c r="D25" s="1352"/>
      <c r="E25" s="1352"/>
      <c r="F25" s="1352"/>
      <c r="G25" s="1352"/>
      <c r="H25" s="1352"/>
      <c r="I25" s="1352"/>
      <c r="J25" s="1352"/>
      <c r="K25" s="1352"/>
      <c r="L25" s="1353"/>
      <c r="M25" s="175"/>
    </row>
    <row r="26" spans="1:13" ht="16.5" customHeight="1">
      <c r="A26" s="1354"/>
      <c r="B26" s="1355"/>
      <c r="C26" s="1355"/>
      <c r="D26" s="1355"/>
      <c r="E26" s="1355"/>
      <c r="F26" s="1355"/>
      <c r="G26" s="1355"/>
      <c r="H26" s="1355"/>
      <c r="I26" s="1355"/>
      <c r="J26" s="1355"/>
      <c r="K26" s="1355"/>
      <c r="L26" s="1356"/>
      <c r="M26" s="175"/>
    </row>
    <row r="27" spans="1:13" ht="10.5" customHeight="1">
      <c r="A27" s="760"/>
      <c r="B27" s="760"/>
      <c r="C27" s="760"/>
      <c r="D27" s="760"/>
      <c r="E27" s="760"/>
      <c r="F27" s="760"/>
      <c r="G27" s="760"/>
      <c r="H27" s="760"/>
      <c r="I27" s="760"/>
      <c r="J27" s="760"/>
      <c r="K27" s="760"/>
      <c r="L27" s="760"/>
      <c r="M27" s="175"/>
    </row>
    <row r="28" spans="1:13" ht="10.5" customHeight="1">
      <c r="A28" s="760"/>
      <c r="B28" s="760"/>
      <c r="C28" s="760"/>
      <c r="D28" s="760"/>
      <c r="E28" s="760"/>
      <c r="F28" s="760"/>
      <c r="G28" s="760"/>
      <c r="H28" s="760"/>
      <c r="I28" s="760"/>
      <c r="J28" s="760"/>
      <c r="K28" s="760"/>
      <c r="L28" s="760"/>
      <c r="M28" s="175"/>
    </row>
    <row r="29" spans="1:12" ht="16.5" thickBot="1">
      <c r="A29" s="16" t="s">
        <v>55</v>
      </c>
      <c r="L29" s="167" t="s">
        <v>116</v>
      </c>
    </row>
    <row r="30" spans="1:12" ht="12.75" customHeight="1">
      <c r="A30" s="1392" t="s">
        <v>28</v>
      </c>
      <c r="B30" s="1402" t="s">
        <v>29</v>
      </c>
      <c r="C30" s="1380" t="s">
        <v>30</v>
      </c>
      <c r="D30" s="1380" t="s">
        <v>31</v>
      </c>
      <c r="E30" s="1382" t="s">
        <v>24</v>
      </c>
      <c r="F30" s="1394" t="s">
        <v>45</v>
      </c>
      <c r="G30" s="1384"/>
      <c r="H30" s="1384"/>
      <c r="I30" s="1384"/>
      <c r="J30" s="1384"/>
      <c r="K30" s="1395"/>
      <c r="L30" s="1390" t="s">
        <v>12</v>
      </c>
    </row>
    <row r="31" spans="1:12" s="24" customFormat="1" ht="18" customHeight="1" thickBot="1">
      <c r="A31" s="1393"/>
      <c r="B31" s="1403"/>
      <c r="C31" s="1381" t="s">
        <v>30</v>
      </c>
      <c r="D31" s="1381" t="s">
        <v>31</v>
      </c>
      <c r="E31" s="1383" t="s">
        <v>24</v>
      </c>
      <c r="F31" s="523" t="s">
        <v>46</v>
      </c>
      <c r="G31" s="523" t="s">
        <v>47</v>
      </c>
      <c r="H31" s="523" t="s">
        <v>48</v>
      </c>
      <c r="I31" s="523" t="s">
        <v>49</v>
      </c>
      <c r="J31" s="523" t="s">
        <v>50</v>
      </c>
      <c r="K31" s="524" t="s">
        <v>24</v>
      </c>
      <c r="L31" s="1391"/>
    </row>
    <row r="32" spans="1:12" ht="12.75">
      <c r="A32" s="488">
        <v>37986</v>
      </c>
      <c r="B32" s="489">
        <v>109481</v>
      </c>
      <c r="C32" s="490">
        <v>380</v>
      </c>
      <c r="D32" s="490">
        <v>956</v>
      </c>
      <c r="E32" s="491">
        <f>SUM(B32:D32)</f>
        <v>110817</v>
      </c>
      <c r="F32" s="492">
        <v>14818</v>
      </c>
      <c r="G32" s="492">
        <v>30902</v>
      </c>
      <c r="H32" s="492">
        <v>25806</v>
      </c>
      <c r="I32" s="492">
        <v>20389</v>
      </c>
      <c r="J32" s="492">
        <v>1172</v>
      </c>
      <c r="K32" s="493">
        <f>SUM(F32:J32)</f>
        <v>93087</v>
      </c>
      <c r="L32" s="494"/>
    </row>
    <row r="33" spans="1:12" ht="12.75">
      <c r="A33" s="495">
        <v>38352</v>
      </c>
      <c r="B33" s="496">
        <v>117506</v>
      </c>
      <c r="C33" s="497">
        <v>385</v>
      </c>
      <c r="D33" s="497">
        <v>659</v>
      </c>
      <c r="E33" s="498">
        <v>118550</v>
      </c>
      <c r="F33" s="499">
        <v>17539</v>
      </c>
      <c r="G33" s="497">
        <v>37226</v>
      </c>
      <c r="H33" s="497">
        <v>20212</v>
      </c>
      <c r="I33" s="497">
        <v>21647</v>
      </c>
      <c r="J33" s="497">
        <v>68</v>
      </c>
      <c r="K33" s="500">
        <v>96692</v>
      </c>
      <c r="L33" s="525">
        <v>13750</v>
      </c>
    </row>
    <row r="34" spans="1:12" ht="13.5" thickBot="1">
      <c r="A34" s="502">
        <v>38717</v>
      </c>
      <c r="B34" s="503">
        <v>125175</v>
      </c>
      <c r="C34" s="504">
        <v>201</v>
      </c>
      <c r="D34" s="504">
        <v>419</v>
      </c>
      <c r="E34" s="505">
        <f aca="true" t="shared" si="9" ref="E34:E40">SUM(B34:D34)</f>
        <v>125795</v>
      </c>
      <c r="F34" s="506">
        <v>19161</v>
      </c>
      <c r="G34" s="504">
        <v>29272</v>
      </c>
      <c r="H34" s="504">
        <v>28543</v>
      </c>
      <c r="I34" s="504">
        <v>23370</v>
      </c>
      <c r="J34" s="504">
        <v>40</v>
      </c>
      <c r="K34" s="526">
        <f aca="true" t="shared" si="10" ref="K34:K40">SUM(F34:J34)</f>
        <v>100386</v>
      </c>
      <c r="L34" s="527">
        <v>8500</v>
      </c>
    </row>
    <row r="35" spans="1:12" ht="12.75">
      <c r="A35" s="528">
        <v>38748</v>
      </c>
      <c r="B35" s="529">
        <v>124481</v>
      </c>
      <c r="C35" s="530">
        <v>203</v>
      </c>
      <c r="D35" s="530">
        <v>439</v>
      </c>
      <c r="E35" s="531">
        <f t="shared" si="9"/>
        <v>125123</v>
      </c>
      <c r="F35" s="532">
        <v>15166</v>
      </c>
      <c r="G35" s="530">
        <v>28313</v>
      </c>
      <c r="H35" s="530">
        <v>30349</v>
      </c>
      <c r="I35" s="530">
        <v>25859</v>
      </c>
      <c r="J35" s="530">
        <v>40</v>
      </c>
      <c r="K35" s="533">
        <f t="shared" si="10"/>
        <v>99727</v>
      </c>
      <c r="L35" s="534">
        <v>8500</v>
      </c>
    </row>
    <row r="36" spans="1:12" ht="12.75">
      <c r="A36" s="509">
        <v>38776</v>
      </c>
      <c r="B36" s="510">
        <v>125233</v>
      </c>
      <c r="C36" s="484">
        <v>206</v>
      </c>
      <c r="D36" s="484">
        <v>419</v>
      </c>
      <c r="E36" s="511">
        <f t="shared" si="9"/>
        <v>125858</v>
      </c>
      <c r="F36" s="512">
        <v>15798</v>
      </c>
      <c r="G36" s="484">
        <v>25241</v>
      </c>
      <c r="H36" s="484">
        <v>29270</v>
      </c>
      <c r="I36" s="484">
        <v>25478</v>
      </c>
      <c r="J36" s="484">
        <v>223</v>
      </c>
      <c r="K36" s="513">
        <f t="shared" si="10"/>
        <v>96010</v>
      </c>
      <c r="L36" s="514">
        <v>8500</v>
      </c>
    </row>
    <row r="37" spans="1:12" ht="12.75">
      <c r="A37" s="535">
        <v>38807</v>
      </c>
      <c r="B37" s="510">
        <v>119955</v>
      </c>
      <c r="C37" s="484">
        <v>208</v>
      </c>
      <c r="D37" s="484">
        <v>9049</v>
      </c>
      <c r="E37" s="511">
        <f t="shared" si="9"/>
        <v>129212</v>
      </c>
      <c r="F37" s="512">
        <v>16489</v>
      </c>
      <c r="G37" s="484">
        <v>24366</v>
      </c>
      <c r="H37" s="484">
        <v>28961</v>
      </c>
      <c r="I37" s="484">
        <v>21670</v>
      </c>
      <c r="J37" s="484">
        <v>40</v>
      </c>
      <c r="K37" s="513">
        <f t="shared" si="10"/>
        <v>91526</v>
      </c>
      <c r="L37" s="536">
        <v>8500</v>
      </c>
    </row>
    <row r="38" spans="1:12" ht="12.75">
      <c r="A38" s="509">
        <v>38837</v>
      </c>
      <c r="B38" s="510">
        <v>121390</v>
      </c>
      <c r="C38" s="484">
        <v>210</v>
      </c>
      <c r="D38" s="484">
        <v>11952</v>
      </c>
      <c r="E38" s="511">
        <f t="shared" si="9"/>
        <v>133552</v>
      </c>
      <c r="F38" s="512">
        <v>23780</v>
      </c>
      <c r="G38" s="484">
        <v>28680</v>
      </c>
      <c r="H38" s="484">
        <v>24012</v>
      </c>
      <c r="I38" s="484">
        <v>20639</v>
      </c>
      <c r="J38" s="484">
        <v>40</v>
      </c>
      <c r="K38" s="513">
        <f t="shared" si="10"/>
        <v>97151</v>
      </c>
      <c r="L38" s="514">
        <v>8500</v>
      </c>
    </row>
    <row r="39" spans="1:12" s="228" customFormat="1" ht="12.75">
      <c r="A39" s="535">
        <v>38868</v>
      </c>
      <c r="B39" s="510">
        <v>127178</v>
      </c>
      <c r="C39" s="484">
        <v>212</v>
      </c>
      <c r="D39" s="484">
        <v>9472</v>
      </c>
      <c r="E39" s="511">
        <f t="shared" si="9"/>
        <v>136862</v>
      </c>
      <c r="F39" s="537">
        <v>17208</v>
      </c>
      <c r="G39" s="538">
        <v>35260</v>
      </c>
      <c r="H39" s="538">
        <v>23826</v>
      </c>
      <c r="I39" s="538">
        <v>21399</v>
      </c>
      <c r="J39" s="539">
        <v>40</v>
      </c>
      <c r="K39" s="513">
        <f t="shared" si="10"/>
        <v>97733</v>
      </c>
      <c r="L39" s="514">
        <v>8500</v>
      </c>
    </row>
    <row r="40" spans="1:12" ht="12.75" customHeight="1" thickBot="1">
      <c r="A40" s="515">
        <v>38898</v>
      </c>
      <c r="B40" s="516">
        <v>129999</v>
      </c>
      <c r="C40" s="517">
        <v>214</v>
      </c>
      <c r="D40" s="517">
        <v>8030</v>
      </c>
      <c r="E40" s="518">
        <f t="shared" si="9"/>
        <v>138243</v>
      </c>
      <c r="F40" s="519">
        <v>20669</v>
      </c>
      <c r="G40" s="520">
        <v>32181</v>
      </c>
      <c r="H40" s="520">
        <v>23346</v>
      </c>
      <c r="I40" s="520">
        <v>22288</v>
      </c>
      <c r="J40" s="520">
        <v>40</v>
      </c>
      <c r="K40" s="521">
        <f t="shared" si="10"/>
        <v>98524</v>
      </c>
      <c r="L40" s="522">
        <v>8500</v>
      </c>
    </row>
    <row r="41" spans="1:12" ht="12.75">
      <c r="A41" s="47">
        <v>38929</v>
      </c>
      <c r="B41" s="50">
        <v>133600</v>
      </c>
      <c r="C41" s="33">
        <v>217</v>
      </c>
      <c r="D41" s="33">
        <v>10527</v>
      </c>
      <c r="E41" s="71">
        <f aca="true" t="shared" si="11" ref="E41:E46">SUM(B41:D41)</f>
        <v>144344</v>
      </c>
      <c r="F41" s="50">
        <v>18372</v>
      </c>
      <c r="G41" s="33">
        <v>37985</v>
      </c>
      <c r="H41" s="33">
        <v>25200</v>
      </c>
      <c r="I41" s="33">
        <v>22231</v>
      </c>
      <c r="J41" s="33">
        <v>40</v>
      </c>
      <c r="K41" s="73">
        <f aca="true" t="shared" si="12" ref="K41:K46">SUM(F41:J41)</f>
        <v>103828</v>
      </c>
      <c r="L41" s="169">
        <v>8500</v>
      </c>
    </row>
    <row r="42" spans="1:12" ht="12.75">
      <c r="A42" s="48">
        <v>38960</v>
      </c>
      <c r="B42" s="46">
        <v>116556</v>
      </c>
      <c r="C42" s="34">
        <v>219</v>
      </c>
      <c r="D42" s="34">
        <v>10892</v>
      </c>
      <c r="E42" s="71">
        <f t="shared" si="11"/>
        <v>127667</v>
      </c>
      <c r="F42" s="40">
        <v>20352</v>
      </c>
      <c r="G42" s="34">
        <v>35934</v>
      </c>
      <c r="H42" s="34">
        <v>21734</v>
      </c>
      <c r="I42" s="34">
        <v>13402</v>
      </c>
      <c r="J42" s="34">
        <v>40</v>
      </c>
      <c r="K42" s="74">
        <f t="shared" si="12"/>
        <v>91462</v>
      </c>
      <c r="L42" s="217">
        <v>8500</v>
      </c>
    </row>
    <row r="43" spans="1:12" ht="12.75">
      <c r="A43" s="47">
        <v>38990</v>
      </c>
      <c r="B43" s="46">
        <v>113492</v>
      </c>
      <c r="C43" s="34">
        <v>1277</v>
      </c>
      <c r="D43" s="34">
        <v>7564</v>
      </c>
      <c r="E43" s="71">
        <f t="shared" si="11"/>
        <v>122333</v>
      </c>
      <c r="F43" s="40">
        <v>10353</v>
      </c>
      <c r="G43" s="34">
        <v>31144</v>
      </c>
      <c r="H43" s="34">
        <v>22667</v>
      </c>
      <c r="I43" s="34">
        <v>13066</v>
      </c>
      <c r="J43" s="34">
        <v>40</v>
      </c>
      <c r="K43" s="74">
        <f t="shared" si="12"/>
        <v>77270</v>
      </c>
      <c r="L43" s="82">
        <v>7500</v>
      </c>
    </row>
    <row r="44" spans="1:12" ht="12.75">
      <c r="A44" s="48">
        <v>39021</v>
      </c>
      <c r="B44" s="46">
        <v>119802</v>
      </c>
      <c r="C44" s="34">
        <v>217</v>
      </c>
      <c r="D44" s="34">
        <v>10212</v>
      </c>
      <c r="E44" s="71">
        <f t="shared" si="11"/>
        <v>130231</v>
      </c>
      <c r="F44" s="40">
        <v>17655</v>
      </c>
      <c r="G44" s="34">
        <v>30307</v>
      </c>
      <c r="H44" s="34">
        <v>23697</v>
      </c>
      <c r="I44" s="34">
        <v>14827</v>
      </c>
      <c r="J44" s="34">
        <v>66</v>
      </c>
      <c r="K44" s="74">
        <f t="shared" si="12"/>
        <v>86552</v>
      </c>
      <c r="L44" s="217">
        <v>6500</v>
      </c>
    </row>
    <row r="45" spans="1:12" ht="12.75">
      <c r="A45" s="47">
        <v>39051</v>
      </c>
      <c r="B45" s="46">
        <v>118088</v>
      </c>
      <c r="C45" s="34">
        <v>217</v>
      </c>
      <c r="D45" s="34">
        <v>12403</v>
      </c>
      <c r="E45" s="71">
        <f t="shared" si="11"/>
        <v>130708</v>
      </c>
      <c r="F45" s="40">
        <v>18639</v>
      </c>
      <c r="G45" s="34">
        <v>30811</v>
      </c>
      <c r="H45" s="34">
        <v>20982</v>
      </c>
      <c r="I45" s="34">
        <v>14071</v>
      </c>
      <c r="J45" s="34">
        <v>40</v>
      </c>
      <c r="K45" s="74">
        <f t="shared" si="12"/>
        <v>84543</v>
      </c>
      <c r="L45" s="217">
        <v>5500</v>
      </c>
    </row>
    <row r="46" spans="1:12" s="604" customFormat="1" ht="12.75" customHeight="1" thickBot="1">
      <c r="A46" s="183">
        <v>39082</v>
      </c>
      <c r="B46" s="184">
        <v>118744</v>
      </c>
      <c r="C46" s="185">
        <v>220</v>
      </c>
      <c r="D46" s="185">
        <v>361</v>
      </c>
      <c r="E46" s="72">
        <f t="shared" si="11"/>
        <v>119325</v>
      </c>
      <c r="F46" s="186">
        <v>17442</v>
      </c>
      <c r="G46" s="185">
        <v>29914</v>
      </c>
      <c r="H46" s="185">
        <v>19008</v>
      </c>
      <c r="I46" s="185">
        <v>13237</v>
      </c>
      <c r="J46" s="185">
        <v>40</v>
      </c>
      <c r="K46" s="75">
        <f t="shared" si="12"/>
        <v>79641</v>
      </c>
      <c r="L46" s="85">
        <v>0</v>
      </c>
    </row>
    <row r="47" spans="1:11" ht="9.75" customHeight="1">
      <c r="A47" s="55"/>
      <c r="B47" s="56"/>
      <c r="C47" s="56"/>
      <c r="D47" s="56"/>
      <c r="E47" s="57"/>
      <c r="F47" s="56"/>
      <c r="G47" s="56"/>
      <c r="H47" s="56"/>
      <c r="I47" s="56"/>
      <c r="J47" s="56"/>
      <c r="K47" s="56"/>
    </row>
    <row r="48" spans="1:12" ht="16.5" thickBot="1">
      <c r="A48" s="16" t="s">
        <v>56</v>
      </c>
      <c r="L48" s="167" t="s">
        <v>116</v>
      </c>
    </row>
    <row r="49" spans="1:12" ht="28.5" customHeight="1">
      <c r="A49" s="1392" t="s">
        <v>28</v>
      </c>
      <c r="B49" s="1402" t="s">
        <v>51</v>
      </c>
      <c r="C49" s="1380" t="s">
        <v>52</v>
      </c>
      <c r="D49" s="1380" t="s">
        <v>53</v>
      </c>
      <c r="E49" s="1382" t="s">
        <v>24</v>
      </c>
      <c r="F49" s="1357" t="s">
        <v>45</v>
      </c>
      <c r="G49" s="1384"/>
      <c r="H49" s="1384"/>
      <c r="I49" s="1384"/>
      <c r="J49" s="1384"/>
      <c r="K49" s="1384"/>
      <c r="L49" s="1404" t="s">
        <v>139</v>
      </c>
    </row>
    <row r="50" spans="1:12" ht="27" customHeight="1" thickBot="1">
      <c r="A50" s="1393"/>
      <c r="B50" s="1403"/>
      <c r="C50" s="1381" t="s">
        <v>30</v>
      </c>
      <c r="D50" s="1381" t="s">
        <v>31</v>
      </c>
      <c r="E50" s="1383" t="s">
        <v>24</v>
      </c>
      <c r="F50" s="485" t="s">
        <v>46</v>
      </c>
      <c r="G50" s="486" t="s">
        <v>47</v>
      </c>
      <c r="H50" s="486" t="s">
        <v>48</v>
      </c>
      <c r="I50" s="486" t="s">
        <v>49</v>
      </c>
      <c r="J50" s="486" t="s">
        <v>50</v>
      </c>
      <c r="K50" s="487" t="s">
        <v>24</v>
      </c>
      <c r="L50" s="1405"/>
    </row>
    <row r="51" spans="1:14" ht="12.75">
      <c r="A51" s="488">
        <v>37986</v>
      </c>
      <c r="B51" s="489">
        <v>63361</v>
      </c>
      <c r="C51" s="490">
        <v>495</v>
      </c>
      <c r="D51" s="490">
        <v>4389</v>
      </c>
      <c r="E51" s="491">
        <f>SUM(B51:D51)</f>
        <v>68245</v>
      </c>
      <c r="F51" s="492">
        <v>18261</v>
      </c>
      <c r="G51" s="492">
        <v>544</v>
      </c>
      <c r="H51" s="492">
        <v>465</v>
      </c>
      <c r="I51" s="492">
        <v>1367</v>
      </c>
      <c r="J51" s="492">
        <v>6571</v>
      </c>
      <c r="K51" s="493">
        <f>SUM(F51:J51)</f>
        <v>27208</v>
      </c>
      <c r="L51" s="494">
        <f>+E51-E32-L32</f>
        <v>-42572</v>
      </c>
      <c r="N51" s="355"/>
    </row>
    <row r="52" spans="1:14" ht="12.75">
      <c r="A52" s="495">
        <v>38352</v>
      </c>
      <c r="B52" s="496">
        <v>66773</v>
      </c>
      <c r="C52" s="497">
        <v>336</v>
      </c>
      <c r="D52" s="497">
        <v>3581</v>
      </c>
      <c r="E52" s="498">
        <v>70690</v>
      </c>
      <c r="F52" s="499">
        <v>17970</v>
      </c>
      <c r="G52" s="497">
        <v>1112</v>
      </c>
      <c r="H52" s="497">
        <v>293</v>
      </c>
      <c r="I52" s="497">
        <v>799</v>
      </c>
      <c r="J52" s="497">
        <v>6865</v>
      </c>
      <c r="K52" s="500">
        <v>27039</v>
      </c>
      <c r="L52" s="501">
        <f>+E52-E33-L33</f>
        <v>-61610</v>
      </c>
      <c r="N52" s="355"/>
    </row>
    <row r="53" spans="1:14" ht="13.5" thickBot="1">
      <c r="A53" s="502">
        <v>38717</v>
      </c>
      <c r="B53" s="503">
        <v>75070</v>
      </c>
      <c r="C53" s="504">
        <v>404</v>
      </c>
      <c r="D53" s="504">
        <v>3585</v>
      </c>
      <c r="E53" s="505">
        <v>79059</v>
      </c>
      <c r="F53" s="506">
        <v>22158</v>
      </c>
      <c r="G53" s="504">
        <v>2459</v>
      </c>
      <c r="H53" s="504">
        <v>482</v>
      </c>
      <c r="I53" s="504">
        <v>746</v>
      </c>
      <c r="J53" s="504">
        <v>7068</v>
      </c>
      <c r="K53" s="507">
        <v>32913</v>
      </c>
      <c r="L53" s="508">
        <v>79059</v>
      </c>
      <c r="N53" s="355"/>
    </row>
    <row r="54" spans="1:14" ht="12.75">
      <c r="A54" s="509">
        <v>38748</v>
      </c>
      <c r="B54" s="510">
        <v>95913</v>
      </c>
      <c r="C54" s="484">
        <v>793</v>
      </c>
      <c r="D54" s="484">
        <v>3748</v>
      </c>
      <c r="E54" s="511">
        <f aca="true" t="shared" si="13" ref="E54:E59">SUM(B54:D54)</f>
        <v>100454</v>
      </c>
      <c r="F54" s="512">
        <v>26483</v>
      </c>
      <c r="G54" s="484">
        <v>15937</v>
      </c>
      <c r="H54" s="484">
        <v>573</v>
      </c>
      <c r="I54" s="484">
        <v>456</v>
      </c>
      <c r="J54" s="484">
        <v>7244</v>
      </c>
      <c r="K54" s="513">
        <f aca="true" t="shared" si="14" ref="K54:K59">SUM(F54:J54)</f>
        <v>50693</v>
      </c>
      <c r="L54" s="514">
        <f aca="true" t="shared" si="15" ref="L54:L59">+E54-E35-L35</f>
        <v>-33169</v>
      </c>
      <c r="N54" s="355"/>
    </row>
    <row r="55" spans="1:12" ht="12.75">
      <c r="A55" s="509">
        <v>38776</v>
      </c>
      <c r="B55" s="510">
        <v>98214</v>
      </c>
      <c r="C55" s="484">
        <v>337</v>
      </c>
      <c r="D55" s="484">
        <v>3696</v>
      </c>
      <c r="E55" s="511">
        <f t="shared" si="13"/>
        <v>102247</v>
      </c>
      <c r="F55" s="512">
        <v>32150</v>
      </c>
      <c r="G55" s="484">
        <v>15733</v>
      </c>
      <c r="H55" s="484">
        <v>323</v>
      </c>
      <c r="I55" s="484">
        <v>177</v>
      </c>
      <c r="J55" s="484">
        <v>7530</v>
      </c>
      <c r="K55" s="513">
        <f t="shared" si="14"/>
        <v>55913</v>
      </c>
      <c r="L55" s="514">
        <f t="shared" si="15"/>
        <v>-32111</v>
      </c>
    </row>
    <row r="56" spans="1:12" ht="12.75">
      <c r="A56" s="509">
        <v>38807</v>
      </c>
      <c r="B56" s="510">
        <v>86398.45</v>
      </c>
      <c r="C56" s="484">
        <v>575.84</v>
      </c>
      <c r="D56" s="484">
        <v>3558.34</v>
      </c>
      <c r="E56" s="511">
        <f t="shared" si="13"/>
        <v>90532.62999999999</v>
      </c>
      <c r="F56" s="512">
        <v>18188</v>
      </c>
      <c r="G56" s="484">
        <v>15855</v>
      </c>
      <c r="H56" s="484">
        <v>801</v>
      </c>
      <c r="I56" s="484">
        <v>488</v>
      </c>
      <c r="J56" s="484">
        <v>7358</v>
      </c>
      <c r="K56" s="513">
        <f t="shared" si="14"/>
        <v>42690</v>
      </c>
      <c r="L56" s="514">
        <f t="shared" si="15"/>
        <v>-47179.37000000001</v>
      </c>
    </row>
    <row r="57" spans="1:12" ht="12.75">
      <c r="A57" s="509">
        <v>38837</v>
      </c>
      <c r="B57" s="510">
        <v>80764</v>
      </c>
      <c r="C57" s="484">
        <v>579</v>
      </c>
      <c r="D57" s="484">
        <v>3560</v>
      </c>
      <c r="E57" s="511">
        <f t="shared" si="13"/>
        <v>84903</v>
      </c>
      <c r="F57" s="512">
        <v>31976</v>
      </c>
      <c r="G57" s="484">
        <v>155</v>
      </c>
      <c r="H57" s="484">
        <v>876</v>
      </c>
      <c r="I57" s="484">
        <v>490</v>
      </c>
      <c r="J57" s="484">
        <v>7348</v>
      </c>
      <c r="K57" s="513">
        <f t="shared" si="14"/>
        <v>40845</v>
      </c>
      <c r="L57" s="514">
        <f t="shared" si="15"/>
        <v>-57149</v>
      </c>
    </row>
    <row r="58" spans="1:12" ht="12.75">
      <c r="A58" s="509">
        <v>38868</v>
      </c>
      <c r="B58" s="510">
        <v>75002</v>
      </c>
      <c r="C58" s="484">
        <v>693</v>
      </c>
      <c r="D58" s="484">
        <v>3441</v>
      </c>
      <c r="E58" s="511">
        <f t="shared" si="13"/>
        <v>79136</v>
      </c>
      <c r="F58" s="512">
        <v>21150</v>
      </c>
      <c r="G58" s="484">
        <v>1555</v>
      </c>
      <c r="H58" s="484">
        <v>891</v>
      </c>
      <c r="I58" s="484">
        <v>321</v>
      </c>
      <c r="J58" s="484">
        <v>7385</v>
      </c>
      <c r="K58" s="513">
        <f t="shared" si="14"/>
        <v>31302</v>
      </c>
      <c r="L58" s="514">
        <f t="shared" si="15"/>
        <v>-66226</v>
      </c>
    </row>
    <row r="59" spans="1:12" ht="13.5" thickBot="1">
      <c r="A59" s="515">
        <v>38898</v>
      </c>
      <c r="B59" s="516">
        <v>71603</v>
      </c>
      <c r="C59" s="517">
        <v>680</v>
      </c>
      <c r="D59" s="517">
        <v>3604</v>
      </c>
      <c r="E59" s="518">
        <f t="shared" si="13"/>
        <v>75887</v>
      </c>
      <c r="F59" s="519">
        <v>16547</v>
      </c>
      <c r="G59" s="520">
        <v>27</v>
      </c>
      <c r="H59" s="520">
        <v>110</v>
      </c>
      <c r="I59" s="520">
        <v>1115</v>
      </c>
      <c r="J59" s="520">
        <v>7396</v>
      </c>
      <c r="K59" s="521">
        <f t="shared" si="14"/>
        <v>25195</v>
      </c>
      <c r="L59" s="522">
        <f t="shared" si="15"/>
        <v>-70856</v>
      </c>
    </row>
    <row r="60" spans="1:12" ht="12.75">
      <c r="A60" s="47">
        <v>38929</v>
      </c>
      <c r="B60" s="50">
        <v>71825</v>
      </c>
      <c r="C60" s="33">
        <v>875</v>
      </c>
      <c r="D60" s="33">
        <v>4491</v>
      </c>
      <c r="E60" s="71">
        <f aca="true" t="shared" si="16" ref="E60:E65">SUM(B60:D60)</f>
        <v>77191</v>
      </c>
      <c r="F60" s="50">
        <v>19137</v>
      </c>
      <c r="G60" s="33">
        <v>174</v>
      </c>
      <c r="H60" s="33">
        <v>10</v>
      </c>
      <c r="I60" s="33">
        <v>1079</v>
      </c>
      <c r="J60" s="33">
        <v>7396</v>
      </c>
      <c r="K60" s="73">
        <f aca="true" t="shared" si="17" ref="K60:K65">SUM(F60:J60)</f>
        <v>27796</v>
      </c>
      <c r="L60" s="169">
        <f aca="true" t="shared" si="18" ref="L60:L65">+E60-E41-L41</f>
        <v>-75653</v>
      </c>
    </row>
    <row r="61" spans="1:12" ht="12.75">
      <c r="A61" s="48">
        <v>38960</v>
      </c>
      <c r="B61" s="46">
        <v>71670</v>
      </c>
      <c r="C61" s="34">
        <v>991</v>
      </c>
      <c r="D61" s="34">
        <v>3602</v>
      </c>
      <c r="E61" s="71">
        <f t="shared" si="16"/>
        <v>76263</v>
      </c>
      <c r="F61" s="46">
        <v>20229</v>
      </c>
      <c r="G61" s="34">
        <v>217</v>
      </c>
      <c r="H61" s="34">
        <v>22</v>
      </c>
      <c r="I61" s="34">
        <v>757</v>
      </c>
      <c r="J61" s="34">
        <v>7691</v>
      </c>
      <c r="K61" s="74">
        <f t="shared" si="17"/>
        <v>28916</v>
      </c>
      <c r="L61" s="169">
        <f t="shared" si="18"/>
        <v>-59904</v>
      </c>
    </row>
    <row r="62" spans="1:12" ht="12.75">
      <c r="A62" s="47">
        <v>38990</v>
      </c>
      <c r="B62" s="46">
        <v>70738</v>
      </c>
      <c r="C62" s="34">
        <v>1008</v>
      </c>
      <c r="D62" s="34">
        <v>3591</v>
      </c>
      <c r="E62" s="71">
        <f t="shared" si="16"/>
        <v>75337</v>
      </c>
      <c r="F62" s="46">
        <v>16853</v>
      </c>
      <c r="G62" s="34">
        <v>89</v>
      </c>
      <c r="H62" s="34">
        <v>44</v>
      </c>
      <c r="I62" s="34">
        <v>757</v>
      </c>
      <c r="J62" s="34">
        <v>7688</v>
      </c>
      <c r="K62" s="74">
        <f t="shared" si="17"/>
        <v>25431</v>
      </c>
      <c r="L62" s="169">
        <f t="shared" si="18"/>
        <v>-54496</v>
      </c>
    </row>
    <row r="63" spans="1:12" ht="12.75">
      <c r="A63" s="48">
        <v>39021</v>
      </c>
      <c r="B63" s="46">
        <v>72018</v>
      </c>
      <c r="C63" s="34">
        <v>1169</v>
      </c>
      <c r="D63" s="34">
        <v>3542</v>
      </c>
      <c r="E63" s="71">
        <f t="shared" si="16"/>
        <v>76729</v>
      </c>
      <c r="F63" s="46">
        <v>18146</v>
      </c>
      <c r="G63" s="34">
        <v>84</v>
      </c>
      <c r="H63" s="34">
        <v>36</v>
      </c>
      <c r="I63" s="34">
        <v>760</v>
      </c>
      <c r="J63" s="34">
        <v>7690</v>
      </c>
      <c r="K63" s="74">
        <f t="shared" si="17"/>
        <v>26716</v>
      </c>
      <c r="L63" s="169">
        <f t="shared" si="18"/>
        <v>-60002</v>
      </c>
    </row>
    <row r="64" spans="1:12" ht="14.25" customHeight="1">
      <c r="A64" s="47">
        <v>39051</v>
      </c>
      <c r="B64" s="46">
        <v>69686</v>
      </c>
      <c r="C64" s="34">
        <v>1162</v>
      </c>
      <c r="D64" s="34">
        <v>3531</v>
      </c>
      <c r="E64" s="71">
        <f t="shared" si="16"/>
        <v>74379</v>
      </c>
      <c r="F64" s="46">
        <v>15877</v>
      </c>
      <c r="G64" s="34">
        <v>92</v>
      </c>
      <c r="H64" s="34">
        <v>46</v>
      </c>
      <c r="I64" s="34">
        <v>771</v>
      </c>
      <c r="J64" s="34">
        <v>7690</v>
      </c>
      <c r="K64" s="74">
        <f t="shared" si="17"/>
        <v>24476</v>
      </c>
      <c r="L64" s="169">
        <f t="shared" si="18"/>
        <v>-61829</v>
      </c>
    </row>
    <row r="65" spans="1:12" s="604" customFormat="1" ht="13.5" thickBot="1">
      <c r="A65" s="183">
        <v>39082</v>
      </c>
      <c r="B65" s="184">
        <v>70553</v>
      </c>
      <c r="C65" s="185">
        <v>495</v>
      </c>
      <c r="D65" s="185">
        <v>3458</v>
      </c>
      <c r="E65" s="72">
        <f t="shared" si="16"/>
        <v>74506</v>
      </c>
      <c r="F65" s="184">
        <v>18064</v>
      </c>
      <c r="G65" s="185">
        <v>80</v>
      </c>
      <c r="H65" s="185">
        <v>26</v>
      </c>
      <c r="I65" s="185">
        <v>105</v>
      </c>
      <c r="J65" s="185">
        <v>8379</v>
      </c>
      <c r="K65" s="75">
        <f t="shared" si="17"/>
        <v>26654</v>
      </c>
      <c r="L65" s="195">
        <f t="shared" si="18"/>
        <v>-44819</v>
      </c>
    </row>
    <row r="67" spans="1:13" ht="12.75" customHeight="1">
      <c r="A67" s="1406" t="s">
        <v>271</v>
      </c>
      <c r="B67" s="1407"/>
      <c r="C67" s="1407"/>
      <c r="D67" s="1407"/>
      <c r="E67" s="1407"/>
      <c r="F67" s="1407"/>
      <c r="G67" s="1407"/>
      <c r="H67" s="1407"/>
      <c r="I67" s="1407"/>
      <c r="J67" s="1407"/>
      <c r="K67" s="1407"/>
      <c r="L67" s="1408"/>
      <c r="M67" s="175"/>
    </row>
    <row r="68" spans="1:13" ht="12.75">
      <c r="A68" s="1409"/>
      <c r="B68" s="1410"/>
      <c r="C68" s="1410"/>
      <c r="D68" s="1410"/>
      <c r="E68" s="1410"/>
      <c r="F68" s="1410"/>
      <c r="G68" s="1410"/>
      <c r="H68" s="1410"/>
      <c r="I68" s="1410"/>
      <c r="J68" s="1410"/>
      <c r="K68" s="1410"/>
      <c r="L68" s="1411"/>
      <c r="M68" s="175"/>
    </row>
    <row r="69" spans="1:13" ht="12" customHeight="1">
      <c r="A69" s="1409"/>
      <c r="B69" s="1410"/>
      <c r="C69" s="1410"/>
      <c r="D69" s="1410"/>
      <c r="E69" s="1410"/>
      <c r="F69" s="1410"/>
      <c r="G69" s="1410"/>
      <c r="H69" s="1410"/>
      <c r="I69" s="1410"/>
      <c r="J69" s="1410"/>
      <c r="K69" s="1410"/>
      <c r="L69" s="1411"/>
      <c r="M69" s="175"/>
    </row>
    <row r="70" spans="1:12" ht="9.75" customHeight="1">
      <c r="A70" s="1412"/>
      <c r="B70" s="1413"/>
      <c r="C70" s="1413"/>
      <c r="D70" s="1413"/>
      <c r="E70" s="1413"/>
      <c r="F70" s="1413"/>
      <c r="G70" s="1413"/>
      <c r="H70" s="1413"/>
      <c r="I70" s="1413"/>
      <c r="J70" s="1413"/>
      <c r="K70" s="1413"/>
      <c r="L70" s="1414"/>
    </row>
    <row r="71" ht="8.25" customHeight="1"/>
    <row r="72" spans="1:12" ht="16.5" thickBot="1">
      <c r="A72" s="16" t="s">
        <v>14</v>
      </c>
      <c r="L72" s="167" t="s">
        <v>15</v>
      </c>
    </row>
    <row r="73" spans="1:12" ht="13.5" customHeight="1">
      <c r="A73" s="1427" t="s">
        <v>13</v>
      </c>
      <c r="B73" s="1428"/>
      <c r="C73" s="1429"/>
      <c r="D73" s="1385" t="s">
        <v>27</v>
      </c>
      <c r="E73" s="1386"/>
      <c r="F73" s="1387"/>
      <c r="G73" s="1386" t="s">
        <v>137</v>
      </c>
      <c r="H73" s="1386"/>
      <c r="I73" s="1387"/>
      <c r="J73" s="1386" t="s">
        <v>248</v>
      </c>
      <c r="K73" s="1386"/>
      <c r="L73" s="1387"/>
    </row>
    <row r="74" spans="1:12" ht="27.75" customHeight="1" thickBot="1">
      <c r="A74" s="1430"/>
      <c r="B74" s="1431"/>
      <c r="C74" s="1266"/>
      <c r="D74" s="289" t="s">
        <v>65</v>
      </c>
      <c r="E74" s="87" t="s">
        <v>66</v>
      </c>
      <c r="F74" s="88" t="s">
        <v>67</v>
      </c>
      <c r="G74" s="87" t="s">
        <v>65</v>
      </c>
      <c r="H74" s="87" t="s">
        <v>66</v>
      </c>
      <c r="I74" s="88" t="s">
        <v>67</v>
      </c>
      <c r="J74" s="87" t="s">
        <v>65</v>
      </c>
      <c r="K74" s="87" t="s">
        <v>66</v>
      </c>
      <c r="L74" s="88" t="s">
        <v>67</v>
      </c>
    </row>
    <row r="75" spans="1:12" ht="20.25" customHeight="1">
      <c r="A75" s="1450" t="s">
        <v>62</v>
      </c>
      <c r="B75" s="1336"/>
      <c r="C75" s="1440"/>
      <c r="D75" s="290">
        <v>115.94</v>
      </c>
      <c r="E75" s="130">
        <v>43345761</v>
      </c>
      <c r="F75" s="89">
        <f aca="true" t="shared" si="19" ref="F75:F85">+IF(D75&gt;0,E75/D75/12,"")</f>
        <v>31155.310936691396</v>
      </c>
      <c r="G75" s="196">
        <v>120.92</v>
      </c>
      <c r="H75" s="130">
        <v>53371146</v>
      </c>
      <c r="I75" s="89">
        <f aca="true" t="shared" si="20" ref="I75:I85">+IF(G75&gt;0,H75/G75/12,"")</f>
        <v>36781.30582203109</v>
      </c>
      <c r="J75" s="196">
        <v>122.64</v>
      </c>
      <c r="K75" s="130">
        <f>50991058+7793928</f>
        <v>58784986</v>
      </c>
      <c r="L75" s="89">
        <f aca="true" t="shared" si="21" ref="L75:L85">+IF(J75&gt;0,K75/J75/12,"")</f>
        <v>39944.13595346815</v>
      </c>
    </row>
    <row r="76" spans="1:12" ht="20.25" customHeight="1">
      <c r="A76" s="1451" t="s">
        <v>63</v>
      </c>
      <c r="B76" s="1333"/>
      <c r="C76" s="1264"/>
      <c r="D76" s="291">
        <v>5</v>
      </c>
      <c r="E76" s="35">
        <v>1560438</v>
      </c>
      <c r="F76" s="51">
        <f t="shared" si="19"/>
        <v>26007.3</v>
      </c>
      <c r="G76" s="197">
        <v>3.58</v>
      </c>
      <c r="H76" s="35">
        <v>1440451</v>
      </c>
      <c r="I76" s="51">
        <f t="shared" si="20"/>
        <v>33530.051210428304</v>
      </c>
      <c r="J76" s="197">
        <v>5.69</v>
      </c>
      <c r="K76" s="35">
        <v>2045477</v>
      </c>
      <c r="L76" s="51">
        <f t="shared" si="21"/>
        <v>29957.190978324546</v>
      </c>
    </row>
    <row r="77" spans="1:12" ht="20.25" customHeight="1">
      <c r="A77" s="1451" t="s">
        <v>93</v>
      </c>
      <c r="B77" s="1333"/>
      <c r="C77" s="1264"/>
      <c r="D77" s="291">
        <v>433.26</v>
      </c>
      <c r="E77" s="35">
        <v>85590363</v>
      </c>
      <c r="F77" s="51">
        <f t="shared" si="19"/>
        <v>16462.471148963672</v>
      </c>
      <c r="G77" s="197">
        <v>427.15</v>
      </c>
      <c r="H77" s="35">
        <v>88986531</v>
      </c>
      <c r="I77" s="51">
        <f t="shared" si="20"/>
        <v>17360.515626828983</v>
      </c>
      <c r="J77" s="197">
        <v>426.12</v>
      </c>
      <c r="K77" s="35">
        <v>99274538</v>
      </c>
      <c r="L77" s="51">
        <f t="shared" si="21"/>
        <v>19414.43294533621</v>
      </c>
    </row>
    <row r="78" spans="1:12" ht="20.25" customHeight="1">
      <c r="A78" s="1451" t="s">
        <v>92</v>
      </c>
      <c r="B78" s="1333"/>
      <c r="C78" s="1264"/>
      <c r="D78" s="291">
        <v>57.57</v>
      </c>
      <c r="E78" s="35">
        <v>12356009</v>
      </c>
      <c r="F78" s="51">
        <f t="shared" si="19"/>
        <v>17885.485785420646</v>
      </c>
      <c r="G78" s="197">
        <v>57.33</v>
      </c>
      <c r="H78" s="35">
        <v>12619106</v>
      </c>
      <c r="I78" s="51">
        <f t="shared" si="20"/>
        <v>18342.790278504563</v>
      </c>
      <c r="J78" s="197">
        <v>56.94</v>
      </c>
      <c r="K78" s="35">
        <v>14023313</v>
      </c>
      <c r="L78" s="51">
        <f t="shared" si="21"/>
        <v>20523.523299379463</v>
      </c>
    </row>
    <row r="79" spans="1:12" ht="20.25" customHeight="1">
      <c r="A79" s="1451" t="s">
        <v>94</v>
      </c>
      <c r="B79" s="1333"/>
      <c r="C79" s="1264"/>
      <c r="D79" s="291">
        <v>22.53</v>
      </c>
      <c r="E79" s="35">
        <v>5116320</v>
      </c>
      <c r="F79" s="51">
        <f t="shared" si="19"/>
        <v>18924.101198402128</v>
      </c>
      <c r="G79" s="197">
        <v>22</v>
      </c>
      <c r="H79" s="35">
        <v>5120411</v>
      </c>
      <c r="I79" s="51">
        <f t="shared" si="20"/>
        <v>19395.496212121212</v>
      </c>
      <c r="J79" s="197">
        <v>24.45</v>
      </c>
      <c r="K79" s="35">
        <v>6406962</v>
      </c>
      <c r="L79" s="51">
        <f t="shared" si="21"/>
        <v>21836.952965235174</v>
      </c>
    </row>
    <row r="80" spans="1:12" ht="20.25" customHeight="1">
      <c r="A80" s="1451" t="s">
        <v>95</v>
      </c>
      <c r="B80" s="1333"/>
      <c r="C80" s="1264"/>
      <c r="D80" s="291">
        <v>106.49</v>
      </c>
      <c r="E80" s="35">
        <v>16008769</v>
      </c>
      <c r="F80" s="51">
        <f t="shared" si="19"/>
        <v>12527.599618117507</v>
      </c>
      <c r="G80" s="197">
        <v>111.2</v>
      </c>
      <c r="H80" s="35">
        <v>16302819</v>
      </c>
      <c r="I80" s="51">
        <f t="shared" si="20"/>
        <v>12217.340377697843</v>
      </c>
      <c r="J80" s="197">
        <v>115.32</v>
      </c>
      <c r="K80" s="35">
        <v>18085402</v>
      </c>
      <c r="L80" s="51">
        <f t="shared" si="21"/>
        <v>13068.997861024398</v>
      </c>
    </row>
    <row r="81" spans="1:12" ht="20.25" customHeight="1">
      <c r="A81" s="1451" t="s">
        <v>96</v>
      </c>
      <c r="B81" s="1333"/>
      <c r="C81" s="1264"/>
      <c r="D81" s="291">
        <v>6.87</v>
      </c>
      <c r="E81" s="35">
        <v>1412433</v>
      </c>
      <c r="F81" s="51">
        <f t="shared" si="19"/>
        <v>17132.860262008733</v>
      </c>
      <c r="G81" s="197">
        <v>4.59</v>
      </c>
      <c r="H81" s="35">
        <v>1253376</v>
      </c>
      <c r="I81" s="51">
        <f t="shared" si="20"/>
        <v>22755.55555555556</v>
      </c>
      <c r="J81" s="197">
        <v>2.69</v>
      </c>
      <c r="K81" s="35">
        <v>693944</v>
      </c>
      <c r="L81" s="51">
        <f t="shared" si="21"/>
        <v>21497.645600991327</v>
      </c>
    </row>
    <row r="82" spans="1:12" ht="13.5" customHeight="1">
      <c r="A82" s="1451" t="s">
        <v>97</v>
      </c>
      <c r="B82" s="1333"/>
      <c r="C82" s="1264"/>
      <c r="D82" s="291">
        <v>0</v>
      </c>
      <c r="E82" s="35">
        <v>0</v>
      </c>
      <c r="F82" s="51">
        <f t="shared" si="19"/>
      </c>
      <c r="G82" s="197">
        <v>0</v>
      </c>
      <c r="H82" s="35">
        <v>0</v>
      </c>
      <c r="I82" s="51">
        <f t="shared" si="20"/>
      </c>
      <c r="J82" s="197"/>
      <c r="K82" s="35">
        <v>0</v>
      </c>
      <c r="L82" s="51">
        <f t="shared" si="21"/>
      </c>
    </row>
    <row r="83" spans="1:12" ht="20.25" customHeight="1">
      <c r="A83" s="1451" t="s">
        <v>64</v>
      </c>
      <c r="B83" s="1333"/>
      <c r="C83" s="1264"/>
      <c r="D83" s="292">
        <v>50.37</v>
      </c>
      <c r="E83" s="34">
        <v>10413086</v>
      </c>
      <c r="F83" s="51">
        <f t="shared" si="19"/>
        <v>17227.65865925485</v>
      </c>
      <c r="G83" s="198">
        <v>52.72</v>
      </c>
      <c r="H83" s="34">
        <v>11319226</v>
      </c>
      <c r="I83" s="51">
        <f t="shared" si="20"/>
        <v>17892.04919069297</v>
      </c>
      <c r="J83" s="198">
        <v>56.47</v>
      </c>
      <c r="K83" s="34">
        <v>12586211</v>
      </c>
      <c r="L83" s="51">
        <f t="shared" si="21"/>
        <v>18573.595124254767</v>
      </c>
    </row>
    <row r="84" spans="1:12" ht="25.5" customHeight="1" thickBot="1">
      <c r="A84" s="1481" t="s">
        <v>98</v>
      </c>
      <c r="B84" s="1482"/>
      <c r="C84" s="1483"/>
      <c r="D84" s="290">
        <v>170.04</v>
      </c>
      <c r="E84" s="130">
        <v>20736803</v>
      </c>
      <c r="F84" s="89">
        <f t="shared" si="19"/>
        <v>10162.708284325257</v>
      </c>
      <c r="G84" s="196">
        <v>172.51</v>
      </c>
      <c r="H84" s="130">
        <v>21947879</v>
      </c>
      <c r="I84" s="294">
        <f t="shared" si="20"/>
        <v>10602.225474851699</v>
      </c>
      <c r="J84" s="196">
        <v>171.87</v>
      </c>
      <c r="K84" s="130">
        <v>22976394</v>
      </c>
      <c r="L84" s="51">
        <f t="shared" si="21"/>
        <v>11140.393902368067</v>
      </c>
    </row>
    <row r="85" spans="1:12" s="24" customFormat="1" ht="18.75" customHeight="1" thickBot="1">
      <c r="A85" s="1484" t="s">
        <v>24</v>
      </c>
      <c r="B85" s="1485"/>
      <c r="C85" s="1486"/>
      <c r="D85" s="293">
        <f>SUM(D75:D84)</f>
        <v>968.07</v>
      </c>
      <c r="E85" s="36">
        <f>SUM(E75:E84)</f>
        <v>196539982</v>
      </c>
      <c r="F85" s="86">
        <f t="shared" si="19"/>
        <v>16918.54084243219</v>
      </c>
      <c r="G85" s="199">
        <f>SUM(G75:G84)</f>
        <v>972.0000000000001</v>
      </c>
      <c r="H85" s="36">
        <f>SUM(H75:H84)</f>
        <v>212360945</v>
      </c>
      <c r="I85" s="86">
        <f t="shared" si="20"/>
        <v>18206.528206447187</v>
      </c>
      <c r="J85" s="199">
        <f>SUM(J75:J84)</f>
        <v>982.1900000000002</v>
      </c>
      <c r="K85" s="36">
        <f>SUM(K75:K84)</f>
        <v>234877227</v>
      </c>
      <c r="L85" s="86">
        <f t="shared" si="21"/>
        <v>19928.020291389646</v>
      </c>
    </row>
    <row r="86" ht="5.25" customHeight="1"/>
    <row r="87" spans="1:12" ht="12.75" customHeight="1">
      <c r="A87" s="1441" t="s">
        <v>272</v>
      </c>
      <c r="B87" s="1442"/>
      <c r="C87" s="1442"/>
      <c r="D87" s="1442"/>
      <c r="E87" s="1442"/>
      <c r="F87" s="1442"/>
      <c r="G87" s="1442"/>
      <c r="H87" s="1442"/>
      <c r="I87" s="1442"/>
      <c r="J87" s="1442"/>
      <c r="K87" s="1442"/>
      <c r="L87" s="1443"/>
    </row>
    <row r="88" spans="1:12" ht="11.25" customHeight="1">
      <c r="A88" s="1444"/>
      <c r="B88" s="1445"/>
      <c r="C88" s="1445"/>
      <c r="D88" s="1445"/>
      <c r="E88" s="1445"/>
      <c r="F88" s="1445"/>
      <c r="G88" s="1445"/>
      <c r="H88" s="1445"/>
      <c r="I88" s="1445"/>
      <c r="J88" s="1445"/>
      <c r="K88" s="1445"/>
      <c r="L88" s="1446"/>
    </row>
    <row r="89" spans="1:12" ht="15" customHeight="1">
      <c r="A89" s="1447"/>
      <c r="B89" s="1448"/>
      <c r="C89" s="1448"/>
      <c r="D89" s="1448"/>
      <c r="E89" s="1448"/>
      <c r="F89" s="1448"/>
      <c r="G89" s="1448"/>
      <c r="H89" s="1448"/>
      <c r="I89" s="1448"/>
      <c r="J89" s="1448"/>
      <c r="K89" s="1448"/>
      <c r="L89" s="1449"/>
    </row>
    <row r="90" spans="1:12" ht="15" customHeight="1">
      <c r="A90" s="836"/>
      <c r="B90" s="836"/>
      <c r="C90" s="836"/>
      <c r="D90" s="836"/>
      <c r="E90" s="836"/>
      <c r="F90" s="836"/>
      <c r="G90" s="836"/>
      <c r="H90" s="836"/>
      <c r="I90" s="836"/>
      <c r="J90" s="836"/>
      <c r="K90" s="836"/>
      <c r="L90" s="836"/>
    </row>
    <row r="91" spans="1:9" ht="16.5" thickBot="1">
      <c r="A91" s="16" t="s">
        <v>91</v>
      </c>
      <c r="B91" s="90"/>
      <c r="C91" s="90"/>
      <c r="D91" s="90"/>
      <c r="E91" s="90"/>
      <c r="F91" s="90"/>
      <c r="G91" s="90"/>
      <c r="H91" s="90"/>
      <c r="I91" s="90"/>
    </row>
    <row r="92" spans="1:12" ht="13.5" thickBot="1">
      <c r="A92" s="1388" t="s">
        <v>69</v>
      </c>
      <c r="B92" s="1347"/>
      <c r="C92" s="1458" t="s">
        <v>70</v>
      </c>
      <c r="D92" s="1453"/>
      <c r="E92" s="1453"/>
      <c r="F92" s="1453"/>
      <c r="G92" s="1453"/>
      <c r="H92" s="1452" t="s">
        <v>71</v>
      </c>
      <c r="I92" s="1453"/>
      <c r="J92" s="1453"/>
      <c r="K92" s="1453"/>
      <c r="L92" s="1454"/>
    </row>
    <row r="93" spans="1:12" ht="13.5" thickBot="1">
      <c r="A93" s="1389"/>
      <c r="B93" s="1343"/>
      <c r="C93" s="457">
        <v>2003</v>
      </c>
      <c r="D93" s="458">
        <v>2004</v>
      </c>
      <c r="E93" s="459">
        <v>2005</v>
      </c>
      <c r="F93" s="458">
        <v>2006</v>
      </c>
      <c r="G93" s="459" t="s">
        <v>72</v>
      </c>
      <c r="H93" s="460">
        <v>2003</v>
      </c>
      <c r="I93" s="458">
        <v>2004</v>
      </c>
      <c r="J93" s="458">
        <v>2005</v>
      </c>
      <c r="K93" s="458">
        <v>2006</v>
      </c>
      <c r="L93" s="461" t="s">
        <v>72</v>
      </c>
    </row>
    <row r="94" spans="1:12" ht="15" customHeight="1">
      <c r="A94" s="1364" t="s">
        <v>73</v>
      </c>
      <c r="B94" s="1343"/>
      <c r="C94" s="462">
        <v>114</v>
      </c>
      <c r="D94" s="463">
        <v>114</v>
      </c>
      <c r="E94" s="464">
        <v>114</v>
      </c>
      <c r="F94" s="464">
        <v>114</v>
      </c>
      <c r="G94" s="465">
        <f aca="true" t="shared" si="22" ref="G94:G111">+F94-D94</f>
        <v>0</v>
      </c>
      <c r="H94" s="466">
        <v>85.2</v>
      </c>
      <c r="I94" s="467">
        <v>77.5</v>
      </c>
      <c r="J94" s="467">
        <v>79.4</v>
      </c>
      <c r="K94" s="837">
        <v>78.2167748137467</v>
      </c>
      <c r="L94" s="468">
        <f>+K94-J94</f>
        <v>-1.1832251862533099</v>
      </c>
    </row>
    <row r="95" spans="1:12" ht="15" customHeight="1">
      <c r="A95" s="1364" t="s">
        <v>74</v>
      </c>
      <c r="B95" s="1343"/>
      <c r="C95" s="469">
        <v>18</v>
      </c>
      <c r="D95" s="470">
        <v>24</v>
      </c>
      <c r="E95" s="471">
        <v>24</v>
      </c>
      <c r="F95" s="471">
        <v>24</v>
      </c>
      <c r="G95" s="465">
        <f t="shared" si="22"/>
        <v>0</v>
      </c>
      <c r="H95" s="472">
        <v>78.7</v>
      </c>
      <c r="I95" s="473">
        <v>78.7</v>
      </c>
      <c r="J95" s="473">
        <v>78.2</v>
      </c>
      <c r="K95" s="838">
        <v>80.44883522380778</v>
      </c>
      <c r="L95" s="468">
        <f aca="true" t="shared" si="23" ref="L95:L111">+K95-J95</f>
        <v>2.248835223807774</v>
      </c>
    </row>
    <row r="96" spans="1:12" ht="15" customHeight="1">
      <c r="A96" s="1364" t="s">
        <v>75</v>
      </c>
      <c r="B96" s="1343"/>
      <c r="C96" s="469">
        <v>24</v>
      </c>
      <c r="D96" s="470">
        <v>24</v>
      </c>
      <c r="E96" s="471">
        <v>24</v>
      </c>
      <c r="F96" s="471">
        <v>24</v>
      </c>
      <c r="G96" s="465">
        <f t="shared" si="22"/>
        <v>0</v>
      </c>
      <c r="H96" s="472">
        <v>77</v>
      </c>
      <c r="I96" s="473">
        <v>79</v>
      </c>
      <c r="J96" s="473">
        <v>86.6</v>
      </c>
      <c r="K96" s="838">
        <v>82.12648945921174</v>
      </c>
      <c r="L96" s="468">
        <f t="shared" si="23"/>
        <v>-4.473510540788254</v>
      </c>
    </row>
    <row r="97" spans="1:12" ht="15" customHeight="1">
      <c r="A97" s="1364" t="s">
        <v>76</v>
      </c>
      <c r="B97" s="1343"/>
      <c r="C97" s="469">
        <v>24</v>
      </c>
      <c r="D97" s="470">
        <v>24</v>
      </c>
      <c r="E97" s="471">
        <v>24</v>
      </c>
      <c r="F97" s="471">
        <v>24</v>
      </c>
      <c r="G97" s="465">
        <f t="shared" si="22"/>
        <v>0</v>
      </c>
      <c r="H97" s="472">
        <v>83.2</v>
      </c>
      <c r="I97" s="473">
        <v>89.2</v>
      </c>
      <c r="J97" s="473">
        <v>91</v>
      </c>
      <c r="K97" s="838">
        <v>90.93607305936074</v>
      </c>
      <c r="L97" s="468">
        <f t="shared" si="23"/>
        <v>-0.06392694063926285</v>
      </c>
    </row>
    <row r="98" spans="1:12" ht="15" customHeight="1">
      <c r="A98" s="1364" t="s">
        <v>77</v>
      </c>
      <c r="B98" s="1343"/>
      <c r="C98" s="469"/>
      <c r="D98" s="470"/>
      <c r="E98" s="471"/>
      <c r="F98" s="471"/>
      <c r="G98" s="465"/>
      <c r="H98" s="472"/>
      <c r="I98" s="473"/>
      <c r="J98" s="473"/>
      <c r="K98" s="838"/>
      <c r="L98" s="468">
        <f t="shared" si="23"/>
        <v>0</v>
      </c>
    </row>
    <row r="99" spans="1:12" ht="15" customHeight="1">
      <c r="A99" s="1364" t="s">
        <v>78</v>
      </c>
      <c r="B99" s="1343"/>
      <c r="C99" s="469">
        <v>70</v>
      </c>
      <c r="D99" s="470">
        <v>70</v>
      </c>
      <c r="E99" s="471">
        <v>68</v>
      </c>
      <c r="F99" s="471">
        <v>68</v>
      </c>
      <c r="G99" s="465">
        <f t="shared" si="22"/>
        <v>-2</v>
      </c>
      <c r="H99" s="472">
        <v>78.4</v>
      </c>
      <c r="I99" s="473">
        <v>83.2</v>
      </c>
      <c r="J99" s="473">
        <v>88.6</v>
      </c>
      <c r="K99" s="838">
        <v>87.94520547945206</v>
      </c>
      <c r="L99" s="468">
        <f t="shared" si="23"/>
        <v>-0.654794520547938</v>
      </c>
    </row>
    <row r="100" spans="1:12" ht="15" customHeight="1">
      <c r="A100" s="1364" t="s">
        <v>79</v>
      </c>
      <c r="B100" s="1343"/>
      <c r="C100" s="469">
        <v>53</v>
      </c>
      <c r="D100" s="470">
        <v>53</v>
      </c>
      <c r="E100" s="471">
        <v>53</v>
      </c>
      <c r="F100" s="471">
        <v>53</v>
      </c>
      <c r="G100" s="465">
        <f t="shared" si="22"/>
        <v>0</v>
      </c>
      <c r="H100" s="472">
        <v>76.6</v>
      </c>
      <c r="I100" s="473">
        <v>71.2</v>
      </c>
      <c r="J100" s="473">
        <v>68.3</v>
      </c>
      <c r="K100" s="838">
        <v>66.51331093305764</v>
      </c>
      <c r="L100" s="468">
        <f t="shared" si="23"/>
        <v>-1.7866890669423583</v>
      </c>
    </row>
    <row r="101" spans="1:12" ht="15" customHeight="1">
      <c r="A101" s="1364" t="s">
        <v>80</v>
      </c>
      <c r="B101" s="1343"/>
      <c r="C101" s="469">
        <v>71</v>
      </c>
      <c r="D101" s="470">
        <v>70</v>
      </c>
      <c r="E101" s="471">
        <v>70</v>
      </c>
      <c r="F101" s="471">
        <v>70</v>
      </c>
      <c r="G101" s="465">
        <f t="shared" si="22"/>
        <v>0</v>
      </c>
      <c r="H101" s="472">
        <v>88</v>
      </c>
      <c r="I101" s="473">
        <v>82.4</v>
      </c>
      <c r="J101" s="473">
        <v>78.9</v>
      </c>
      <c r="K101" s="838">
        <v>78.4708249496982</v>
      </c>
      <c r="L101" s="468">
        <f t="shared" si="23"/>
        <v>-0.4291750503018079</v>
      </c>
    </row>
    <row r="102" spans="1:12" ht="15" customHeight="1">
      <c r="A102" s="1364" t="s">
        <v>81</v>
      </c>
      <c r="B102" s="1343"/>
      <c r="C102" s="469">
        <v>5</v>
      </c>
      <c r="D102" s="470">
        <v>6</v>
      </c>
      <c r="E102" s="471">
        <v>6</v>
      </c>
      <c r="F102" s="471">
        <v>6</v>
      </c>
      <c r="G102" s="465">
        <f t="shared" si="22"/>
        <v>0</v>
      </c>
      <c r="H102" s="472">
        <v>77.7</v>
      </c>
      <c r="I102" s="473">
        <v>77.4</v>
      </c>
      <c r="J102" s="473">
        <v>73.5</v>
      </c>
      <c r="K102" s="838">
        <v>79.52468007312615</v>
      </c>
      <c r="L102" s="468">
        <f t="shared" si="23"/>
        <v>6.024680073126149</v>
      </c>
    </row>
    <row r="103" spans="1:12" ht="15" customHeight="1">
      <c r="A103" s="1364" t="s">
        <v>82</v>
      </c>
      <c r="B103" s="1343"/>
      <c r="C103" s="469">
        <v>30</v>
      </c>
      <c r="D103" s="470">
        <v>32</v>
      </c>
      <c r="E103" s="471">
        <v>32</v>
      </c>
      <c r="F103" s="471">
        <v>32</v>
      </c>
      <c r="G103" s="465">
        <f t="shared" si="22"/>
        <v>0</v>
      </c>
      <c r="H103" s="472">
        <v>85.1</v>
      </c>
      <c r="I103" s="473">
        <v>93.6</v>
      </c>
      <c r="J103" s="473">
        <v>86.3</v>
      </c>
      <c r="K103" s="838">
        <v>82.68027094229615</v>
      </c>
      <c r="L103" s="468">
        <f t="shared" si="23"/>
        <v>-3.61972905770385</v>
      </c>
    </row>
    <row r="104" spans="1:12" ht="15" customHeight="1">
      <c r="A104" s="1364" t="s">
        <v>83</v>
      </c>
      <c r="B104" s="1343"/>
      <c r="C104" s="469">
        <v>22</v>
      </c>
      <c r="D104" s="470">
        <v>20</v>
      </c>
      <c r="E104" s="471">
        <v>20</v>
      </c>
      <c r="F104" s="471">
        <v>20</v>
      </c>
      <c r="G104" s="465">
        <f t="shared" si="22"/>
        <v>0</v>
      </c>
      <c r="H104" s="472">
        <v>64.1</v>
      </c>
      <c r="I104" s="473">
        <v>75.6</v>
      </c>
      <c r="J104" s="473">
        <v>68.1</v>
      </c>
      <c r="K104" s="838">
        <v>58.945205479452056</v>
      </c>
      <c r="L104" s="468">
        <f t="shared" si="23"/>
        <v>-9.154794520547938</v>
      </c>
    </row>
    <row r="105" spans="1:12" ht="15" customHeight="1">
      <c r="A105" s="1364" t="s">
        <v>84</v>
      </c>
      <c r="B105" s="1343"/>
      <c r="C105" s="469">
        <v>23</v>
      </c>
      <c r="D105" s="470">
        <v>20</v>
      </c>
      <c r="E105" s="471">
        <v>15</v>
      </c>
      <c r="F105" s="471">
        <v>15</v>
      </c>
      <c r="G105" s="465">
        <f t="shared" si="22"/>
        <v>-5</v>
      </c>
      <c r="H105" s="472">
        <v>79.3</v>
      </c>
      <c r="I105" s="473">
        <v>79</v>
      </c>
      <c r="J105" s="473">
        <v>55.7</v>
      </c>
      <c r="K105" s="838">
        <v>49.32594644506002</v>
      </c>
      <c r="L105" s="468">
        <f t="shared" si="23"/>
        <v>-6.374053554939984</v>
      </c>
    </row>
    <row r="106" spans="1:12" ht="15" customHeight="1">
      <c r="A106" s="1364" t="s">
        <v>85</v>
      </c>
      <c r="B106" s="1343"/>
      <c r="C106" s="469">
        <v>25</v>
      </c>
      <c r="D106" s="470">
        <v>20</v>
      </c>
      <c r="E106" s="471">
        <v>12</v>
      </c>
      <c r="F106" s="471">
        <v>12</v>
      </c>
      <c r="G106" s="465">
        <f t="shared" si="22"/>
        <v>-8</v>
      </c>
      <c r="H106" s="472">
        <v>66.7</v>
      </c>
      <c r="I106" s="473">
        <v>77.9</v>
      </c>
      <c r="J106" s="473">
        <v>84.4</v>
      </c>
      <c r="K106" s="838">
        <v>53.20688794609434</v>
      </c>
      <c r="L106" s="468">
        <f t="shared" si="23"/>
        <v>-31.193112053905665</v>
      </c>
    </row>
    <row r="107" spans="1:12" ht="15" customHeight="1">
      <c r="A107" s="1364" t="s">
        <v>86</v>
      </c>
      <c r="B107" s="1343"/>
      <c r="C107" s="469">
        <v>15</v>
      </c>
      <c r="D107" s="470">
        <v>0</v>
      </c>
      <c r="E107" s="471"/>
      <c r="F107" s="471"/>
      <c r="G107" s="465"/>
      <c r="H107" s="472">
        <v>74</v>
      </c>
      <c r="I107" s="473"/>
      <c r="J107" s="473"/>
      <c r="K107" s="838"/>
      <c r="L107" s="468">
        <f t="shared" si="23"/>
        <v>0</v>
      </c>
    </row>
    <row r="108" spans="1:12" ht="15" customHeight="1">
      <c r="A108" s="1364" t="s">
        <v>87</v>
      </c>
      <c r="B108" s="1343"/>
      <c r="C108" s="469">
        <v>20</v>
      </c>
      <c r="D108" s="470">
        <v>20</v>
      </c>
      <c r="E108" s="471">
        <v>20</v>
      </c>
      <c r="F108" s="471">
        <v>20</v>
      </c>
      <c r="G108" s="465">
        <f t="shared" si="22"/>
        <v>0</v>
      </c>
      <c r="H108" s="472">
        <v>73.7</v>
      </c>
      <c r="I108" s="473">
        <v>89.7</v>
      </c>
      <c r="J108" s="473">
        <v>85.1</v>
      </c>
      <c r="K108" s="838">
        <v>80.71428571428572</v>
      </c>
      <c r="L108" s="468">
        <f t="shared" si="23"/>
        <v>-4.385714285714272</v>
      </c>
    </row>
    <row r="109" spans="1:14" ht="15" customHeight="1">
      <c r="A109" s="1364" t="s">
        <v>88</v>
      </c>
      <c r="B109" s="1343"/>
      <c r="C109" s="469">
        <v>25</v>
      </c>
      <c r="D109" s="470">
        <v>25</v>
      </c>
      <c r="E109" s="471">
        <v>25</v>
      </c>
      <c r="F109" s="471">
        <v>25</v>
      </c>
      <c r="G109" s="465">
        <f t="shared" si="22"/>
        <v>0</v>
      </c>
      <c r="H109" s="472">
        <v>86.7</v>
      </c>
      <c r="I109" s="473">
        <v>84.3</v>
      </c>
      <c r="J109" s="473">
        <v>84.9</v>
      </c>
      <c r="K109" s="838">
        <v>77.50636721463302</v>
      </c>
      <c r="L109" s="468">
        <f t="shared" si="23"/>
        <v>-7.393632785366989</v>
      </c>
      <c r="N109" s="144"/>
    </row>
    <row r="110" spans="1:14" ht="15" customHeight="1">
      <c r="A110" s="1364" t="s">
        <v>89</v>
      </c>
      <c r="B110" s="1343"/>
      <c r="C110" s="469">
        <v>26</v>
      </c>
      <c r="D110" s="470">
        <v>44</v>
      </c>
      <c r="E110" s="471">
        <v>44</v>
      </c>
      <c r="F110" s="471">
        <v>44</v>
      </c>
      <c r="G110" s="465">
        <f t="shared" si="22"/>
        <v>0</v>
      </c>
      <c r="H110" s="472">
        <v>97.9</v>
      </c>
      <c r="I110" s="473">
        <v>91.7</v>
      </c>
      <c r="J110" s="473">
        <v>98.3</v>
      </c>
      <c r="K110" s="838">
        <v>93.19</v>
      </c>
      <c r="L110" s="468">
        <f t="shared" si="23"/>
        <v>-5.109999999999999</v>
      </c>
      <c r="N110" s="144"/>
    </row>
    <row r="111" spans="1:14" ht="15" customHeight="1" thickBot="1">
      <c r="A111" s="1367" t="s">
        <v>90</v>
      </c>
      <c r="B111" s="1368"/>
      <c r="C111" s="474">
        <v>10</v>
      </c>
      <c r="D111" s="475">
        <v>10</v>
      </c>
      <c r="E111" s="476">
        <v>10</v>
      </c>
      <c r="F111" s="476">
        <v>10</v>
      </c>
      <c r="G111" s="477">
        <f t="shared" si="22"/>
        <v>0</v>
      </c>
      <c r="H111" s="478">
        <v>78.4</v>
      </c>
      <c r="I111" s="479">
        <v>85.8</v>
      </c>
      <c r="J111" s="479">
        <v>86.5</v>
      </c>
      <c r="K111" s="839">
        <v>88.1</v>
      </c>
      <c r="L111" s="468">
        <f t="shared" si="23"/>
        <v>1.5999999999999943</v>
      </c>
      <c r="N111" s="24"/>
    </row>
    <row r="112" spans="1:14" ht="17.25" customHeight="1" thickBot="1">
      <c r="A112" s="1378" t="s">
        <v>24</v>
      </c>
      <c r="B112" s="1379"/>
      <c r="C112" s="606">
        <f>SUM(C94:C111)</f>
        <v>575</v>
      </c>
      <c r="D112" s="480">
        <f>SUM(D94:D111)</f>
        <v>576</v>
      </c>
      <c r="E112" s="480">
        <f>SUM(E94:E111)</f>
        <v>561</v>
      </c>
      <c r="F112" s="480">
        <f>SUM(F94:F111)</f>
        <v>561</v>
      </c>
      <c r="G112" s="607">
        <f>+F112-E112</f>
        <v>0</v>
      </c>
      <c r="H112" s="481">
        <v>81.5</v>
      </c>
      <c r="I112" s="482">
        <v>81.3</v>
      </c>
      <c r="J112" s="482">
        <v>81.6</v>
      </c>
      <c r="K112" s="482">
        <v>78.86</v>
      </c>
      <c r="L112" s="483">
        <f>+K112-J112</f>
        <v>-2.739999999999995</v>
      </c>
      <c r="N112" s="262"/>
    </row>
    <row r="114" spans="1:12" ht="12.75" customHeight="1">
      <c r="A114" s="1369" t="s">
        <v>288</v>
      </c>
      <c r="B114" s="1370"/>
      <c r="C114" s="1370"/>
      <c r="D114" s="1370"/>
      <c r="E114" s="1370"/>
      <c r="F114" s="1370"/>
      <c r="G114" s="1370"/>
      <c r="H114" s="1370"/>
      <c r="I114" s="1370"/>
      <c r="J114" s="1370"/>
      <c r="K114" s="1370"/>
      <c r="L114" s="1371"/>
    </row>
    <row r="115" spans="1:12" ht="12.75">
      <c r="A115" s="1372"/>
      <c r="B115" s="1373"/>
      <c r="C115" s="1373"/>
      <c r="D115" s="1373"/>
      <c r="E115" s="1373"/>
      <c r="F115" s="1373"/>
      <c r="G115" s="1373"/>
      <c r="H115" s="1373"/>
      <c r="I115" s="1373"/>
      <c r="J115" s="1373"/>
      <c r="K115" s="1373"/>
      <c r="L115" s="1374"/>
    </row>
    <row r="116" spans="1:12" ht="12.75">
      <c r="A116" s="1372"/>
      <c r="B116" s="1373"/>
      <c r="C116" s="1373"/>
      <c r="D116" s="1373"/>
      <c r="E116" s="1373"/>
      <c r="F116" s="1373"/>
      <c r="G116" s="1373"/>
      <c r="H116" s="1373"/>
      <c r="I116" s="1373"/>
      <c r="J116" s="1373"/>
      <c r="K116" s="1373"/>
      <c r="L116" s="1374"/>
    </row>
    <row r="117" spans="1:12" ht="12.75">
      <c r="A117" s="1372"/>
      <c r="B117" s="1373"/>
      <c r="C117" s="1373"/>
      <c r="D117" s="1373"/>
      <c r="E117" s="1373"/>
      <c r="F117" s="1373"/>
      <c r="G117" s="1373"/>
      <c r="H117" s="1373"/>
      <c r="I117" s="1373"/>
      <c r="J117" s="1373"/>
      <c r="K117" s="1373"/>
      <c r="L117" s="1374"/>
    </row>
    <row r="118" spans="1:12" ht="12.75">
      <c r="A118" s="1375"/>
      <c r="B118" s="1376"/>
      <c r="C118" s="1376"/>
      <c r="D118" s="1376"/>
      <c r="E118" s="1376"/>
      <c r="F118" s="1376"/>
      <c r="G118" s="1376"/>
      <c r="H118" s="1376"/>
      <c r="I118" s="1376"/>
      <c r="J118" s="1376"/>
      <c r="K118" s="1376"/>
      <c r="L118" s="1377"/>
    </row>
    <row r="119" spans="1:12" ht="15.75" customHeight="1">
      <c r="A119" s="54"/>
      <c r="B119" s="54"/>
      <c r="C119" s="54"/>
      <c r="D119" s="54"/>
      <c r="E119" s="54"/>
      <c r="F119" s="54"/>
      <c r="G119" s="54"/>
      <c r="H119" s="54"/>
      <c r="I119" s="54"/>
      <c r="J119" s="54"/>
      <c r="K119" s="54"/>
      <c r="L119" s="145"/>
    </row>
    <row r="120" spans="1:12" ht="16.5" thickBot="1">
      <c r="A120" s="16" t="s">
        <v>109</v>
      </c>
      <c r="L120" s="167" t="s">
        <v>15</v>
      </c>
    </row>
    <row r="121" spans="1:14" s="24" customFormat="1" ht="21.75" customHeight="1" thickBot="1">
      <c r="A121" s="1365" t="s">
        <v>114</v>
      </c>
      <c r="B121" s="1366"/>
      <c r="C121" s="1366"/>
      <c r="D121" s="1366"/>
      <c r="E121" s="1435" t="s">
        <v>100</v>
      </c>
      <c r="F121" s="1436"/>
      <c r="H121" s="1455" t="s">
        <v>115</v>
      </c>
      <c r="I121" s="1456"/>
      <c r="J121" s="1457"/>
      <c r="K121" s="1435" t="s">
        <v>100</v>
      </c>
      <c r="L121" s="1436"/>
      <c r="N121"/>
    </row>
    <row r="122" spans="1:14" s="144" customFormat="1" ht="21" customHeight="1">
      <c r="A122" s="1417" t="s">
        <v>101</v>
      </c>
      <c r="B122" s="1418"/>
      <c r="C122" s="1418"/>
      <c r="D122" s="1418"/>
      <c r="E122" s="1439">
        <f>1615000+156377</f>
        <v>1771377</v>
      </c>
      <c r="F122" s="1440"/>
      <c r="H122" s="1432" t="s">
        <v>102</v>
      </c>
      <c r="I122" s="1433"/>
      <c r="J122" s="1434"/>
      <c r="K122" s="1437">
        <v>13600000</v>
      </c>
      <c r="L122" s="1438"/>
      <c r="N122"/>
    </row>
    <row r="123" spans="1:14" s="144" customFormat="1" ht="16.5" customHeight="1">
      <c r="A123" s="1419" t="s">
        <v>102</v>
      </c>
      <c r="B123" s="1420"/>
      <c r="C123" s="1420"/>
      <c r="D123" s="1420"/>
      <c r="E123" s="1421">
        <v>21000000</v>
      </c>
      <c r="F123" s="1264"/>
      <c r="H123" s="1462" t="s">
        <v>103</v>
      </c>
      <c r="I123" s="1463"/>
      <c r="J123" s="1464"/>
      <c r="K123" s="1424"/>
      <c r="L123" s="1426"/>
      <c r="N123"/>
    </row>
    <row r="124" spans="1:14" s="144" customFormat="1" ht="16.5" customHeight="1">
      <c r="A124" s="1419" t="s">
        <v>103</v>
      </c>
      <c r="B124" s="1420"/>
      <c r="C124" s="1420"/>
      <c r="D124" s="1420"/>
      <c r="E124" s="1421">
        <v>367429.25</v>
      </c>
      <c r="F124" s="1264"/>
      <c r="H124" s="1462" t="s">
        <v>259</v>
      </c>
      <c r="I124" s="1463"/>
      <c r="J124" s="1464"/>
      <c r="K124" s="1424">
        <v>2000000</v>
      </c>
      <c r="L124" s="1465"/>
      <c r="N124"/>
    </row>
    <row r="125" spans="1:14" s="144" customFormat="1" ht="16.5" customHeight="1">
      <c r="A125" s="1419" t="s">
        <v>104</v>
      </c>
      <c r="B125" s="1420"/>
      <c r="C125" s="1420"/>
      <c r="D125" s="1420"/>
      <c r="E125" s="1421">
        <v>60927.2</v>
      </c>
      <c r="F125" s="1264"/>
      <c r="H125" s="1466" t="s">
        <v>140</v>
      </c>
      <c r="I125" s="1467"/>
      <c r="J125" s="1468"/>
      <c r="K125" s="1459">
        <v>11410000</v>
      </c>
      <c r="L125" s="1460"/>
      <c r="N125"/>
    </row>
    <row r="126" spans="1:14" s="144" customFormat="1" ht="16.5" customHeight="1">
      <c r="A126" s="1419" t="s">
        <v>105</v>
      </c>
      <c r="B126" s="1420"/>
      <c r="C126" s="1420"/>
      <c r="D126" s="1420"/>
      <c r="E126" s="1424"/>
      <c r="F126" s="1426"/>
      <c r="H126" s="1469"/>
      <c r="I126" s="1470"/>
      <c r="J126" s="1471"/>
      <c r="K126" s="1461"/>
      <c r="L126" s="1438"/>
      <c r="N126"/>
    </row>
    <row r="127" spans="1:14" s="24" customFormat="1" ht="16.5" customHeight="1">
      <c r="A127" s="1419" t="s">
        <v>123</v>
      </c>
      <c r="B127" s="1420"/>
      <c r="C127" s="1420"/>
      <c r="D127" s="1420"/>
      <c r="E127" s="1424">
        <v>10000</v>
      </c>
      <c r="F127" s="1425"/>
      <c r="H127" s="1462" t="s">
        <v>143</v>
      </c>
      <c r="I127" s="1463"/>
      <c r="J127" s="1464"/>
      <c r="K127" s="1424">
        <v>78250</v>
      </c>
      <c r="L127" s="1465"/>
      <c r="N127"/>
    </row>
    <row r="128" spans="1:14" s="24" customFormat="1" ht="15" customHeight="1" thickBot="1">
      <c r="A128" s="1422" t="s">
        <v>106</v>
      </c>
      <c r="B128" s="1423"/>
      <c r="C128" s="1423"/>
      <c r="D128" s="1423"/>
      <c r="E128" s="1415">
        <f>SUM(E122:F127)</f>
        <v>23209733.45</v>
      </c>
      <c r="F128" s="1416"/>
      <c r="H128" s="1487" t="s">
        <v>107</v>
      </c>
      <c r="I128" s="1488"/>
      <c r="J128" s="1489"/>
      <c r="K128" s="1415">
        <f>SUM(K122:L127)</f>
        <v>27088250</v>
      </c>
      <c r="L128" s="1416"/>
      <c r="M128" s="262"/>
      <c r="N128"/>
    </row>
    <row r="129" ht="12.75">
      <c r="A129" t="s">
        <v>187</v>
      </c>
    </row>
    <row r="130" spans="1:12" ht="12.75" customHeight="1">
      <c r="A130" s="1369" t="s">
        <v>249</v>
      </c>
      <c r="B130" s="1504"/>
      <c r="C130" s="1504"/>
      <c r="D130" s="1504"/>
      <c r="E130" s="1504"/>
      <c r="F130" s="1504"/>
      <c r="G130" s="1504"/>
      <c r="H130" s="1504"/>
      <c r="I130" s="1504"/>
      <c r="J130" s="1504"/>
      <c r="K130" s="1504"/>
      <c r="L130" s="1505"/>
    </row>
    <row r="131" spans="1:12" ht="12.75">
      <c r="A131" s="1506"/>
      <c r="B131" s="1507"/>
      <c r="C131" s="1507"/>
      <c r="D131" s="1507"/>
      <c r="E131" s="1507"/>
      <c r="F131" s="1507"/>
      <c r="G131" s="1507"/>
      <c r="H131" s="1507"/>
      <c r="I131" s="1507"/>
      <c r="J131" s="1507"/>
      <c r="K131" s="1507"/>
      <c r="L131" s="1508"/>
    </row>
    <row r="132" spans="1:12" ht="12.75">
      <c r="A132" s="1506"/>
      <c r="B132" s="1507"/>
      <c r="C132" s="1507"/>
      <c r="D132" s="1507"/>
      <c r="E132" s="1507"/>
      <c r="F132" s="1507"/>
      <c r="G132" s="1507"/>
      <c r="H132" s="1507"/>
      <c r="I132" s="1507"/>
      <c r="J132" s="1507"/>
      <c r="K132" s="1507"/>
      <c r="L132" s="1508"/>
    </row>
    <row r="133" spans="1:12" ht="12.75">
      <c r="A133" s="1506"/>
      <c r="B133" s="1507"/>
      <c r="C133" s="1507"/>
      <c r="D133" s="1507"/>
      <c r="E133" s="1507"/>
      <c r="F133" s="1507"/>
      <c r="G133" s="1507"/>
      <c r="H133" s="1507"/>
      <c r="I133" s="1507"/>
      <c r="J133" s="1507"/>
      <c r="K133" s="1507"/>
      <c r="L133" s="1508"/>
    </row>
    <row r="134" spans="1:12" ht="12.75">
      <c r="A134" s="1509"/>
      <c r="B134" s="1510"/>
      <c r="C134" s="1510"/>
      <c r="D134" s="1510"/>
      <c r="E134" s="1510"/>
      <c r="F134" s="1510"/>
      <c r="G134" s="1510"/>
      <c r="H134" s="1510"/>
      <c r="I134" s="1510"/>
      <c r="J134" s="1510"/>
      <c r="K134" s="1510"/>
      <c r="L134" s="1511"/>
    </row>
    <row r="135" ht="15" customHeight="1"/>
    <row r="136" ht="15.75">
      <c r="A136" s="16" t="s">
        <v>108</v>
      </c>
    </row>
    <row r="137" ht="13.5" thickBot="1">
      <c r="L137" s="167" t="s">
        <v>116</v>
      </c>
    </row>
    <row r="138" spans="1:12" ht="12.75">
      <c r="A138" s="1513" t="s">
        <v>265</v>
      </c>
      <c r="B138" s="1514"/>
      <c r="C138" s="1514"/>
      <c r="D138" s="1515"/>
      <c r="E138" s="1256" t="s">
        <v>260</v>
      </c>
      <c r="F138" s="1495" t="s">
        <v>178</v>
      </c>
      <c r="G138" s="777" t="s">
        <v>266</v>
      </c>
      <c r="H138" s="761"/>
      <c r="I138" s="762"/>
      <c r="J138" s="761" t="s">
        <v>261</v>
      </c>
      <c r="K138" s="761"/>
      <c r="L138" s="762"/>
    </row>
    <row r="139" spans="1:12" ht="12.75">
      <c r="A139" s="1516"/>
      <c r="B139" s="1517"/>
      <c r="C139" s="1517"/>
      <c r="D139" s="1518"/>
      <c r="E139" s="1493"/>
      <c r="F139" s="1496" t="s">
        <v>24</v>
      </c>
      <c r="G139" s="778" t="s">
        <v>180</v>
      </c>
      <c r="H139" s="771" t="s">
        <v>262</v>
      </c>
      <c r="I139" s="772" t="s">
        <v>24</v>
      </c>
      <c r="J139" s="770" t="s">
        <v>180</v>
      </c>
      <c r="K139" s="771" t="s">
        <v>262</v>
      </c>
      <c r="L139" s="772" t="s">
        <v>24</v>
      </c>
    </row>
    <row r="140" spans="1:12" ht="13.5" customHeight="1" thickBot="1">
      <c r="A140" s="1519"/>
      <c r="B140" s="1520"/>
      <c r="C140" s="1520"/>
      <c r="D140" s="1521"/>
      <c r="E140" s="1494"/>
      <c r="F140" s="1497"/>
      <c r="G140" s="779" t="s">
        <v>183</v>
      </c>
      <c r="H140" s="775" t="s">
        <v>183</v>
      </c>
      <c r="I140" s="776"/>
      <c r="J140" s="775" t="s">
        <v>183</v>
      </c>
      <c r="K140" s="775" t="s">
        <v>183</v>
      </c>
      <c r="L140" s="776"/>
    </row>
    <row r="141" spans="1:12" ht="13.5" customHeight="1">
      <c r="A141" s="1335" t="s">
        <v>151</v>
      </c>
      <c r="B141" s="1336"/>
      <c r="C141" s="1336"/>
      <c r="D141" s="1337"/>
      <c r="E141" s="782"/>
      <c r="F141" s="769"/>
      <c r="G141" s="780"/>
      <c r="H141" s="773"/>
      <c r="I141" s="774"/>
      <c r="J141" s="773"/>
      <c r="K141" s="773"/>
      <c r="L141" s="774"/>
    </row>
    <row r="142" spans="1:12" ht="12.75">
      <c r="A142" s="1332" t="s">
        <v>152</v>
      </c>
      <c r="B142" s="1333"/>
      <c r="C142" s="1333"/>
      <c r="D142" s="1334"/>
      <c r="E142" s="783">
        <v>454198.04</v>
      </c>
      <c r="F142" s="764">
        <v>484940.89</v>
      </c>
      <c r="G142" s="788">
        <v>502950</v>
      </c>
      <c r="H142" s="789">
        <v>4000</v>
      </c>
      <c r="I142" s="790">
        <f>+G142+H142</f>
        <v>506950</v>
      </c>
      <c r="J142" s="766">
        <v>517782</v>
      </c>
      <c r="K142" s="766">
        <v>2792</v>
      </c>
      <c r="L142" s="765">
        <f aca="true" t="shared" si="24" ref="L142:L169">SUM(J142:K142)</f>
        <v>520574</v>
      </c>
    </row>
    <row r="143" spans="1:12" ht="12.75">
      <c r="A143" s="1332" t="s">
        <v>153</v>
      </c>
      <c r="B143" s="1333"/>
      <c r="C143" s="1333"/>
      <c r="D143" s="1334"/>
      <c r="E143" s="783">
        <v>58834.4</v>
      </c>
      <c r="F143" s="764">
        <v>51119.69</v>
      </c>
      <c r="G143" s="788"/>
      <c r="H143" s="789">
        <v>53600</v>
      </c>
      <c r="I143" s="790">
        <f aca="true" t="shared" si="25" ref="I143:I148">+G143+H143</f>
        <v>53600</v>
      </c>
      <c r="J143" s="766">
        <v>0</v>
      </c>
      <c r="K143" s="766">
        <v>58668</v>
      </c>
      <c r="L143" s="765">
        <f t="shared" si="24"/>
        <v>58668</v>
      </c>
    </row>
    <row r="144" spans="1:12" ht="12.75">
      <c r="A144" s="1332" t="s">
        <v>154</v>
      </c>
      <c r="B144" s="1333"/>
      <c r="C144" s="1333"/>
      <c r="D144" s="1334"/>
      <c r="E144" s="783">
        <v>10233.57</v>
      </c>
      <c r="F144" s="764">
        <v>9414.13</v>
      </c>
      <c r="G144" s="788">
        <v>10000</v>
      </c>
      <c r="H144" s="789"/>
      <c r="I144" s="790">
        <f t="shared" si="25"/>
        <v>10000</v>
      </c>
      <c r="J144" s="766">
        <v>9966</v>
      </c>
      <c r="K144" s="766"/>
      <c r="L144" s="765">
        <f t="shared" si="24"/>
        <v>9966</v>
      </c>
    </row>
    <row r="145" spans="1:12" ht="12.75">
      <c r="A145" s="1332" t="s">
        <v>155</v>
      </c>
      <c r="B145" s="1333"/>
      <c r="C145" s="1333"/>
      <c r="D145" s="1334"/>
      <c r="E145" s="783">
        <v>4142.51</v>
      </c>
      <c r="F145" s="764">
        <v>5657.95</v>
      </c>
      <c r="G145" s="788">
        <v>6000</v>
      </c>
      <c r="H145" s="789">
        <v>6</v>
      </c>
      <c r="I145" s="790">
        <f t="shared" si="25"/>
        <v>6006</v>
      </c>
      <c r="J145" s="766">
        <v>9477</v>
      </c>
      <c r="K145" s="766">
        <v>131</v>
      </c>
      <c r="L145" s="765">
        <f t="shared" si="24"/>
        <v>9608</v>
      </c>
    </row>
    <row r="146" spans="1:12" ht="12.75">
      <c r="A146" s="1332" t="s">
        <v>156</v>
      </c>
      <c r="B146" s="1333"/>
      <c r="C146" s="1333"/>
      <c r="D146" s="1334"/>
      <c r="E146" s="783">
        <v>734.19</v>
      </c>
      <c r="F146" s="764">
        <v>1498</v>
      </c>
      <c r="G146" s="788">
        <v>1500</v>
      </c>
      <c r="H146" s="789"/>
      <c r="I146" s="790">
        <f t="shared" si="25"/>
        <v>1500</v>
      </c>
      <c r="J146" s="766">
        <v>6497</v>
      </c>
      <c r="K146" s="766"/>
      <c r="L146" s="765">
        <f t="shared" si="24"/>
        <v>6497</v>
      </c>
    </row>
    <row r="147" spans="1:12" ht="12.75">
      <c r="A147" s="1332" t="s">
        <v>157</v>
      </c>
      <c r="B147" s="1333"/>
      <c r="C147" s="1333"/>
      <c r="D147" s="1334"/>
      <c r="E147" s="783">
        <v>3527.05</v>
      </c>
      <c r="F147" s="764">
        <v>2224</v>
      </c>
      <c r="G147" s="788">
        <v>2502</v>
      </c>
      <c r="H147" s="789">
        <v>0</v>
      </c>
      <c r="I147" s="790">
        <f t="shared" si="25"/>
        <v>2502</v>
      </c>
      <c r="J147" s="766">
        <v>75</v>
      </c>
      <c r="K147" s="766">
        <v>1543</v>
      </c>
      <c r="L147" s="765">
        <f t="shared" si="24"/>
        <v>1618</v>
      </c>
    </row>
    <row r="148" spans="1:12" ht="12.75">
      <c r="A148" s="1332" t="s">
        <v>158</v>
      </c>
      <c r="B148" s="1333"/>
      <c r="C148" s="1333"/>
      <c r="D148" s="1334"/>
      <c r="E148" s="783">
        <v>0</v>
      </c>
      <c r="F148" s="764">
        <v>0</v>
      </c>
      <c r="G148" s="788"/>
      <c r="H148" s="789"/>
      <c r="I148" s="790">
        <f t="shared" si="25"/>
        <v>0</v>
      </c>
      <c r="J148" s="766"/>
      <c r="K148" s="766"/>
      <c r="L148" s="765">
        <f t="shared" si="24"/>
        <v>0</v>
      </c>
    </row>
    <row r="149" spans="1:12" ht="12.75">
      <c r="A149" s="1332" t="s">
        <v>159</v>
      </c>
      <c r="B149" s="1333"/>
      <c r="C149" s="1333"/>
      <c r="D149" s="1334"/>
      <c r="E149" s="783">
        <v>16769.48</v>
      </c>
      <c r="F149" s="764">
        <v>15532.36</v>
      </c>
      <c r="G149" s="791">
        <f>21378+33+310</f>
        <v>21721</v>
      </c>
      <c r="H149" s="792"/>
      <c r="I149" s="793">
        <f>+G149+H149</f>
        <v>21721</v>
      </c>
      <c r="J149" s="766">
        <v>23205</v>
      </c>
      <c r="K149" s="766"/>
      <c r="L149" s="765">
        <f t="shared" si="24"/>
        <v>23205</v>
      </c>
    </row>
    <row r="150" spans="1:12" ht="13.5" thickBot="1">
      <c r="A150" s="1329" t="s">
        <v>19</v>
      </c>
      <c r="B150" s="1330"/>
      <c r="C150" s="1330"/>
      <c r="D150" s="1331"/>
      <c r="E150" s="800">
        <v>547705.05</v>
      </c>
      <c r="F150" s="801">
        <v>568890</v>
      </c>
      <c r="G150" s="802">
        <f>SUM(G141+G142+G143+G144+G145+G147+G149)</f>
        <v>543173</v>
      </c>
      <c r="H150" s="803">
        <f>SUM(H141+H142+H143+H144+H145+H147+H149)</f>
        <v>57606</v>
      </c>
      <c r="I150" s="804">
        <f>SUM(G150:H150)</f>
        <v>600779</v>
      </c>
      <c r="J150" s="803">
        <f>SUM(J141+J142+J143+J144+J145+J147+J149)</f>
        <v>560505</v>
      </c>
      <c r="K150" s="803">
        <f>SUM(K141+K142+K143+K144+K145+K147+K149)</f>
        <v>63134</v>
      </c>
      <c r="L150" s="804">
        <f t="shared" si="24"/>
        <v>623639</v>
      </c>
    </row>
    <row r="151" spans="1:12" ht="12.75">
      <c r="A151" s="1335" t="s">
        <v>160</v>
      </c>
      <c r="B151" s="1336"/>
      <c r="C151" s="1336"/>
      <c r="D151" s="1337"/>
      <c r="E151" s="798">
        <v>134557.84</v>
      </c>
      <c r="F151" s="767">
        <v>145509</v>
      </c>
      <c r="G151" s="794">
        <v>149872</v>
      </c>
      <c r="H151" s="795">
        <v>66</v>
      </c>
      <c r="I151" s="799">
        <v>149938</v>
      </c>
      <c r="J151" s="763">
        <v>153262.55</v>
      </c>
      <c r="K151" s="763">
        <v>193</v>
      </c>
      <c r="L151" s="768">
        <f t="shared" si="24"/>
        <v>153455.55</v>
      </c>
    </row>
    <row r="152" spans="1:12" ht="12.75">
      <c r="A152" s="1332" t="s">
        <v>161</v>
      </c>
      <c r="B152" s="1333"/>
      <c r="C152" s="1333"/>
      <c r="D152" s="1334"/>
      <c r="E152" s="783">
        <v>3053</v>
      </c>
      <c r="F152" s="764">
        <v>8075</v>
      </c>
      <c r="G152" s="794">
        <v>4000</v>
      </c>
      <c r="H152" s="795"/>
      <c r="I152" s="796">
        <v>4000</v>
      </c>
      <c r="J152" s="766">
        <v>5418</v>
      </c>
      <c r="K152" s="766"/>
      <c r="L152" s="765">
        <f t="shared" si="24"/>
        <v>5418</v>
      </c>
    </row>
    <row r="153" spans="1:12" ht="12.75">
      <c r="A153" s="1332" t="s">
        <v>162</v>
      </c>
      <c r="B153" s="1333"/>
      <c r="C153" s="1333"/>
      <c r="D153" s="1334"/>
      <c r="E153" s="783">
        <v>16618.77</v>
      </c>
      <c r="F153" s="764">
        <v>18161</v>
      </c>
      <c r="G153" s="788">
        <v>22908</v>
      </c>
      <c r="H153" s="789">
        <v>300</v>
      </c>
      <c r="I153" s="796">
        <v>23208</v>
      </c>
      <c r="J153" s="766">
        <v>20733.68</v>
      </c>
      <c r="K153" s="766">
        <v>714.11</v>
      </c>
      <c r="L153" s="765">
        <f t="shared" si="24"/>
        <v>21447.79</v>
      </c>
    </row>
    <row r="154" spans="1:12" ht="12.75">
      <c r="A154" s="1332" t="s">
        <v>163</v>
      </c>
      <c r="B154" s="1333"/>
      <c r="C154" s="1333"/>
      <c r="D154" s="1334"/>
      <c r="E154" s="783">
        <v>0</v>
      </c>
      <c r="F154" s="764">
        <v>0</v>
      </c>
      <c r="G154" s="788"/>
      <c r="H154" s="789"/>
      <c r="I154" s="796">
        <v>0</v>
      </c>
      <c r="J154" s="766"/>
      <c r="K154" s="766"/>
      <c r="L154" s="765">
        <f t="shared" si="24"/>
        <v>0</v>
      </c>
    </row>
    <row r="155" spans="1:12" ht="12.75">
      <c r="A155" s="1332" t="s">
        <v>164</v>
      </c>
      <c r="B155" s="1333"/>
      <c r="C155" s="1333"/>
      <c r="D155" s="1334"/>
      <c r="E155" s="783">
        <v>49137.96</v>
      </c>
      <c r="F155" s="764">
        <v>42916</v>
      </c>
      <c r="G155" s="788"/>
      <c r="H155" s="789">
        <v>46640</v>
      </c>
      <c r="I155" s="796">
        <v>46640</v>
      </c>
      <c r="J155" s="766">
        <v>0</v>
      </c>
      <c r="K155" s="766">
        <v>49726.96</v>
      </c>
      <c r="L155" s="765">
        <f t="shared" si="24"/>
        <v>49726.96</v>
      </c>
    </row>
    <row r="156" spans="1:12" ht="12.75">
      <c r="A156" s="1332" t="s">
        <v>165</v>
      </c>
      <c r="B156" s="1333"/>
      <c r="C156" s="1333"/>
      <c r="D156" s="1334"/>
      <c r="E156" s="783">
        <v>46079.67</v>
      </c>
      <c r="F156" s="764">
        <v>56390</v>
      </c>
      <c r="G156" s="788">
        <v>54250</v>
      </c>
      <c r="H156" s="789">
        <v>2000</v>
      </c>
      <c r="I156" s="796">
        <v>56250</v>
      </c>
      <c r="J156" s="766">
        <f>10306.79+393.69+19.02+43661.45</f>
        <v>54380.95</v>
      </c>
      <c r="K156" s="766">
        <f>151.26+0.57+34.84</f>
        <v>186.67</v>
      </c>
      <c r="L156" s="765">
        <f t="shared" si="24"/>
        <v>54567.619999999995</v>
      </c>
    </row>
    <row r="157" spans="1:12" ht="12.75">
      <c r="A157" s="1332" t="s">
        <v>166</v>
      </c>
      <c r="B157" s="1333"/>
      <c r="C157" s="1333"/>
      <c r="D157" s="1334"/>
      <c r="E157" s="783">
        <v>11672.01</v>
      </c>
      <c r="F157" s="764">
        <v>13009</v>
      </c>
      <c r="G157" s="788">
        <v>10000</v>
      </c>
      <c r="H157" s="789"/>
      <c r="I157" s="796">
        <v>10000</v>
      </c>
      <c r="J157" s="766">
        <v>10307</v>
      </c>
      <c r="K157" s="766">
        <v>151</v>
      </c>
      <c r="L157" s="765">
        <f t="shared" si="24"/>
        <v>10458</v>
      </c>
    </row>
    <row r="158" spans="1:12" ht="12.75">
      <c r="A158" s="1332" t="s">
        <v>167</v>
      </c>
      <c r="B158" s="1333"/>
      <c r="C158" s="1333"/>
      <c r="D158" s="1334"/>
      <c r="E158" s="783">
        <v>31229.83</v>
      </c>
      <c r="F158" s="764">
        <v>43001</v>
      </c>
      <c r="G158" s="788">
        <v>43000</v>
      </c>
      <c r="H158" s="789">
        <v>2000</v>
      </c>
      <c r="I158" s="796">
        <v>45000</v>
      </c>
      <c r="J158" s="766">
        <v>43661</v>
      </c>
      <c r="K158" s="766">
        <v>35</v>
      </c>
      <c r="L158" s="765">
        <f t="shared" si="24"/>
        <v>43696</v>
      </c>
    </row>
    <row r="159" spans="1:12" ht="12.75">
      <c r="A159" s="1332" t="s">
        <v>168</v>
      </c>
      <c r="B159" s="1333"/>
      <c r="C159" s="1333"/>
      <c r="D159" s="1334"/>
      <c r="E159" s="783">
        <v>286563.41</v>
      </c>
      <c r="F159" s="764">
        <v>297153</v>
      </c>
      <c r="G159" s="788">
        <v>323880</v>
      </c>
      <c r="H159" s="789">
        <v>2430</v>
      </c>
      <c r="I159" s="796">
        <v>326310</v>
      </c>
      <c r="J159" s="766">
        <v>326507</v>
      </c>
      <c r="K159" s="766">
        <v>3047</v>
      </c>
      <c r="L159" s="765">
        <f t="shared" si="24"/>
        <v>329554</v>
      </c>
    </row>
    <row r="160" spans="1:12" ht="12.75">
      <c r="A160" s="1332" t="s">
        <v>169</v>
      </c>
      <c r="B160" s="1333"/>
      <c r="C160" s="1333"/>
      <c r="D160" s="1334"/>
      <c r="E160" s="783">
        <v>209396.32</v>
      </c>
      <c r="F160" s="764">
        <v>217114</v>
      </c>
      <c r="G160" s="788">
        <v>236273</v>
      </c>
      <c r="H160" s="797">
        <v>1800</v>
      </c>
      <c r="I160" s="796">
        <v>238073</v>
      </c>
      <c r="J160" s="766">
        <v>238569.52</v>
      </c>
      <c r="K160" s="766">
        <v>2228.82</v>
      </c>
      <c r="L160" s="765">
        <f t="shared" si="24"/>
        <v>240798.34</v>
      </c>
    </row>
    <row r="161" spans="1:12" ht="12.75">
      <c r="A161" s="1332" t="s">
        <v>170</v>
      </c>
      <c r="B161" s="1333"/>
      <c r="C161" s="1333"/>
      <c r="D161" s="1334"/>
      <c r="E161" s="783">
        <v>0</v>
      </c>
      <c r="F161" s="764">
        <v>204848</v>
      </c>
      <c r="G161" s="788">
        <v>223844</v>
      </c>
      <c r="H161" s="789">
        <v>1800</v>
      </c>
      <c r="I161" s="796">
        <v>225644</v>
      </c>
      <c r="J161" s="766">
        <f>+J160-J162</f>
        <v>224845.52</v>
      </c>
      <c r="K161" s="766">
        <v>2066</v>
      </c>
      <c r="L161" s="765">
        <f t="shared" si="24"/>
        <v>226911.52</v>
      </c>
    </row>
    <row r="162" spans="1:12" ht="12.75">
      <c r="A162" s="1332" t="s">
        <v>171</v>
      </c>
      <c r="B162" s="1333"/>
      <c r="C162" s="1333"/>
      <c r="D162" s="1334"/>
      <c r="E162" s="783">
        <v>0</v>
      </c>
      <c r="F162" s="764">
        <v>12266</v>
      </c>
      <c r="G162" s="788">
        <v>13493</v>
      </c>
      <c r="H162" s="789"/>
      <c r="I162" s="796">
        <v>13493</v>
      </c>
      <c r="J162" s="766">
        <v>13724</v>
      </c>
      <c r="K162" s="766">
        <f>+K160-K161</f>
        <v>162.82000000000016</v>
      </c>
      <c r="L162" s="765">
        <f t="shared" si="24"/>
        <v>13886.82</v>
      </c>
    </row>
    <row r="163" spans="1:12" ht="12.75">
      <c r="A163" s="1332" t="s">
        <v>172</v>
      </c>
      <c r="B163" s="1333"/>
      <c r="C163" s="1333"/>
      <c r="D163" s="1334"/>
      <c r="E163" s="783">
        <v>77167.09</v>
      </c>
      <c r="F163" s="764">
        <v>80039</v>
      </c>
      <c r="G163" s="788">
        <v>87543</v>
      </c>
      <c r="H163" s="789">
        <v>630</v>
      </c>
      <c r="I163" s="796">
        <v>88173</v>
      </c>
      <c r="J163" s="766">
        <f>83434.22+4503.45</f>
        <v>87937.67</v>
      </c>
      <c r="K163" s="766">
        <f>780.06+37.8</f>
        <v>817.8599999999999</v>
      </c>
      <c r="L163" s="765">
        <f t="shared" si="24"/>
        <v>88755.53</v>
      </c>
    </row>
    <row r="164" spans="1:12" ht="12.75">
      <c r="A164" s="1332" t="s">
        <v>173</v>
      </c>
      <c r="B164" s="1333"/>
      <c r="C164" s="1333"/>
      <c r="D164" s="1334"/>
      <c r="E164" s="783">
        <v>7.14</v>
      </c>
      <c r="F164" s="764">
        <v>67</v>
      </c>
      <c r="G164" s="788">
        <v>60</v>
      </c>
      <c r="H164" s="789"/>
      <c r="I164" s="796">
        <v>60</v>
      </c>
      <c r="J164" s="766">
        <v>68.89</v>
      </c>
      <c r="K164" s="766"/>
      <c r="L164" s="765">
        <f t="shared" si="24"/>
        <v>68.89</v>
      </c>
    </row>
    <row r="165" spans="1:12" ht="12.75">
      <c r="A165" s="1332" t="s">
        <v>174</v>
      </c>
      <c r="B165" s="1333"/>
      <c r="C165" s="1333"/>
      <c r="D165" s="1334"/>
      <c r="E165" s="783">
        <v>4175.55</v>
      </c>
      <c r="F165" s="764">
        <v>3069</v>
      </c>
      <c r="G165" s="788">
        <v>4000</v>
      </c>
      <c r="H165" s="789">
        <v>10</v>
      </c>
      <c r="I165" s="796">
        <v>4010</v>
      </c>
      <c r="J165" s="766">
        <f>927.96+35.38+846.87+345.37+0.9+3596.95</f>
        <v>5753.43</v>
      </c>
      <c r="K165" s="766">
        <f>11.83+2.14</f>
        <v>13.97</v>
      </c>
      <c r="L165" s="765">
        <f t="shared" si="24"/>
        <v>5767.400000000001</v>
      </c>
    </row>
    <row r="166" spans="1:12" ht="12.75">
      <c r="A166" s="1332" t="s">
        <v>175</v>
      </c>
      <c r="B166" s="1333"/>
      <c r="C166" s="1333"/>
      <c r="D166" s="1334"/>
      <c r="E166" s="783">
        <v>10306.29</v>
      </c>
      <c r="F166" s="764">
        <v>5440</v>
      </c>
      <c r="G166" s="788">
        <v>2000</v>
      </c>
      <c r="H166" s="789"/>
      <c r="I166" s="796">
        <v>2000</v>
      </c>
      <c r="J166" s="766">
        <f>2187.45+1620.44</f>
        <v>3807.89</v>
      </c>
      <c r="K166" s="766"/>
      <c r="L166" s="765">
        <f t="shared" si="24"/>
        <v>3807.89</v>
      </c>
    </row>
    <row r="167" spans="1:12" ht="12.75">
      <c r="A167" s="1332" t="s">
        <v>176</v>
      </c>
      <c r="B167" s="1333"/>
      <c r="C167" s="1333"/>
      <c r="D167" s="1334"/>
      <c r="E167" s="783">
        <v>6712.75</v>
      </c>
      <c r="F167" s="764">
        <v>2999</v>
      </c>
      <c r="G167" s="788">
        <v>2000</v>
      </c>
      <c r="H167" s="789"/>
      <c r="I167" s="796">
        <v>2000</v>
      </c>
      <c r="J167" s="766">
        <v>2187.45</v>
      </c>
      <c r="K167" s="766"/>
      <c r="L167" s="765">
        <f t="shared" si="24"/>
        <v>2187.45</v>
      </c>
    </row>
    <row r="168" spans="1:12" ht="12.75">
      <c r="A168" s="1332" t="s">
        <v>177</v>
      </c>
      <c r="B168" s="1333"/>
      <c r="C168" s="1333"/>
      <c r="D168" s="1334"/>
      <c r="E168" s="783">
        <v>749.76</v>
      </c>
      <c r="F168" s="764">
        <v>0</v>
      </c>
      <c r="G168" s="781">
        <v>0</v>
      </c>
      <c r="H168" s="766"/>
      <c r="I168" s="765">
        <f>SUM(G168:H168)</f>
        <v>0</v>
      </c>
      <c r="J168" s="766">
        <v>126.96</v>
      </c>
      <c r="K168" s="766"/>
      <c r="L168" s="765">
        <f t="shared" si="24"/>
        <v>126.96</v>
      </c>
    </row>
    <row r="169" spans="1:12" ht="13.5" thickBot="1">
      <c r="A169" s="1329" t="s">
        <v>18</v>
      </c>
      <c r="B169" s="1330"/>
      <c r="C169" s="1330"/>
      <c r="D169" s="1331"/>
      <c r="E169" s="800">
        <v>548196.39</v>
      </c>
      <c r="F169" s="801">
        <v>568705</v>
      </c>
      <c r="G169" s="802">
        <f>SUM(G151+G153+G154+G155+G156+G159+G164+G165+G166+G168)</f>
        <v>556970</v>
      </c>
      <c r="H169" s="803">
        <f>SUM(H151+H153+H154+H155+H156+H159+H164+H165+H166+H168)</f>
        <v>51446</v>
      </c>
      <c r="I169" s="804">
        <f>SUM(G169:H169)</f>
        <v>608416</v>
      </c>
      <c r="J169" s="803">
        <f>SUM(J151+J153+J154+J155+J156+J159+J164+J165+J166+J168)</f>
        <v>564641.35</v>
      </c>
      <c r="K169" s="803">
        <f>SUM(K151+K153+K154+K155+K156+K159+K164+K165+K166+K168)</f>
        <v>53881.71</v>
      </c>
      <c r="L169" s="804">
        <f t="shared" si="24"/>
        <v>618523.0599999999</v>
      </c>
    </row>
    <row r="170" spans="1:12" ht="12.75">
      <c r="A170" s="1499" t="s">
        <v>26</v>
      </c>
      <c r="B170" s="1336"/>
      <c r="C170" s="1336"/>
      <c r="D170" s="1337"/>
      <c r="E170" s="805">
        <v>-491.3399999999674</v>
      </c>
      <c r="F170" s="806">
        <v>185</v>
      </c>
      <c r="G170" s="1498">
        <f>+I150-I169</f>
        <v>-7637</v>
      </c>
      <c r="H170" s="1491">
        <f>SUM(H150-H169)</f>
        <v>6160</v>
      </c>
      <c r="I170" s="1492">
        <f>SUM(I150-I169)</f>
        <v>-7637</v>
      </c>
      <c r="J170" s="1490">
        <f>+L150-L169</f>
        <v>5115.9400000000605</v>
      </c>
      <c r="K170" s="1491">
        <f>SUM(K150-K169)</f>
        <v>9252.29</v>
      </c>
      <c r="L170" s="1492">
        <f>SUM(L150-L169)</f>
        <v>5115.9400000000605</v>
      </c>
    </row>
    <row r="171" spans="1:12" ht="12.75">
      <c r="A171" s="1338" t="s">
        <v>263</v>
      </c>
      <c r="B171" s="1333"/>
      <c r="C171" s="1333"/>
      <c r="D171" s="1334"/>
      <c r="E171" s="784">
        <v>-325173.09</v>
      </c>
      <c r="F171" s="786">
        <v>-44271.79</v>
      </c>
      <c r="G171" s="1472">
        <v>-44086.64</v>
      </c>
      <c r="H171" s="1473"/>
      <c r="I171" s="1474"/>
      <c r="J171" s="1500">
        <v>-44086.64</v>
      </c>
      <c r="K171" s="1473"/>
      <c r="L171" s="1474"/>
    </row>
    <row r="172" spans="1:12" ht="13.5" thickBot="1">
      <c r="A172" s="1329" t="s">
        <v>264</v>
      </c>
      <c r="B172" s="1330"/>
      <c r="C172" s="1330"/>
      <c r="D172" s="1331"/>
      <c r="E172" s="785">
        <v>-325664.43</v>
      </c>
      <c r="F172" s="787">
        <v>-44086.79</v>
      </c>
      <c r="G172" s="1512">
        <f>+G170+G171</f>
        <v>-51723.64</v>
      </c>
      <c r="H172" s="1502"/>
      <c r="I172" s="1503"/>
      <c r="J172" s="1501">
        <f>+J170+J171</f>
        <v>-38970.69999999994</v>
      </c>
      <c r="K172" s="1502"/>
      <c r="L172" s="1503"/>
    </row>
    <row r="173" ht="12.75">
      <c r="F173" s="136"/>
    </row>
    <row r="175" spans="1:12" ht="12.75" customHeight="1">
      <c r="A175" s="1441" t="s">
        <v>273</v>
      </c>
      <c r="B175" s="1442"/>
      <c r="C175" s="1442"/>
      <c r="D175" s="1442"/>
      <c r="E175" s="1442"/>
      <c r="F175" s="1442"/>
      <c r="G175" s="1442"/>
      <c r="H175" s="1442"/>
      <c r="I175" s="1442"/>
      <c r="J175" s="1442"/>
      <c r="K175" s="1442"/>
      <c r="L175" s="1443"/>
    </row>
    <row r="176" spans="1:12" ht="12.75">
      <c r="A176" s="1475"/>
      <c r="B176" s="1476"/>
      <c r="C176" s="1476"/>
      <c r="D176" s="1476"/>
      <c r="E176" s="1476"/>
      <c r="F176" s="1476"/>
      <c r="G176" s="1476"/>
      <c r="H176" s="1476"/>
      <c r="I176" s="1476"/>
      <c r="J176" s="1476"/>
      <c r="K176" s="1476"/>
      <c r="L176" s="1477"/>
    </row>
    <row r="177" spans="1:12" ht="12.75">
      <c r="A177" s="1475"/>
      <c r="B177" s="1476"/>
      <c r="C177" s="1476"/>
      <c r="D177" s="1476"/>
      <c r="E177" s="1476"/>
      <c r="F177" s="1476"/>
      <c r="G177" s="1476"/>
      <c r="H177" s="1476"/>
      <c r="I177" s="1476"/>
      <c r="J177" s="1476"/>
      <c r="K177" s="1476"/>
      <c r="L177" s="1477"/>
    </row>
    <row r="178" spans="1:12" ht="12.75">
      <c r="A178" s="1475"/>
      <c r="B178" s="1476"/>
      <c r="C178" s="1476"/>
      <c r="D178" s="1476"/>
      <c r="E178" s="1476"/>
      <c r="F178" s="1476"/>
      <c r="G178" s="1476"/>
      <c r="H178" s="1476"/>
      <c r="I178" s="1476"/>
      <c r="J178" s="1476"/>
      <c r="K178" s="1476"/>
      <c r="L178" s="1477"/>
    </row>
    <row r="179" spans="1:12" ht="12.75">
      <c r="A179" s="1478"/>
      <c r="B179" s="1479"/>
      <c r="C179" s="1479"/>
      <c r="D179" s="1479"/>
      <c r="E179" s="1479"/>
      <c r="F179" s="1479"/>
      <c r="G179" s="1479"/>
      <c r="H179" s="1479"/>
      <c r="I179" s="1479"/>
      <c r="J179" s="1479"/>
      <c r="K179" s="1479"/>
      <c r="L179" s="1480"/>
    </row>
    <row r="180" spans="1:12" ht="12.75">
      <c r="A180" s="435"/>
      <c r="B180" s="435"/>
      <c r="C180" s="435"/>
      <c r="D180" s="435"/>
      <c r="E180" s="435"/>
      <c r="F180" s="435"/>
      <c r="G180" s="435"/>
      <c r="H180" s="435"/>
      <c r="I180" s="435"/>
      <c r="J180" s="435"/>
      <c r="K180" s="435"/>
      <c r="L180" s="435"/>
    </row>
    <row r="181" spans="1:12" ht="12.75">
      <c r="A181" s="435"/>
      <c r="B181" s="435"/>
      <c r="C181" s="435"/>
      <c r="D181" s="435"/>
      <c r="E181" s="435"/>
      <c r="F181" s="435"/>
      <c r="G181" s="435"/>
      <c r="H181" s="435"/>
      <c r="I181" s="435"/>
      <c r="J181" s="435"/>
      <c r="K181" s="435"/>
      <c r="L181" s="435"/>
    </row>
    <row r="182" ht="15.75">
      <c r="A182" s="16" t="s">
        <v>189</v>
      </c>
    </row>
    <row r="184" ht="12.75">
      <c r="A184" s="604" t="s">
        <v>274</v>
      </c>
    </row>
    <row r="185" ht="12.75">
      <c r="A185" s="604" t="s">
        <v>275</v>
      </c>
    </row>
    <row r="186" ht="12.75">
      <c r="A186" s="604" t="s">
        <v>276</v>
      </c>
    </row>
    <row r="187" ht="12.75">
      <c r="A187" s="604" t="s">
        <v>277</v>
      </c>
    </row>
    <row r="188" ht="12.75">
      <c r="A188" s="604" t="s">
        <v>278</v>
      </c>
    </row>
    <row r="189" ht="12.75">
      <c r="A189" s="604" t="s">
        <v>279</v>
      </c>
    </row>
    <row r="190" ht="12.75">
      <c r="A190" s="604" t="s">
        <v>280</v>
      </c>
    </row>
    <row r="191" ht="12.75">
      <c r="A191" s="604" t="s">
        <v>281</v>
      </c>
    </row>
    <row r="192" ht="12.75">
      <c r="A192" s="604" t="s">
        <v>282</v>
      </c>
    </row>
    <row r="193" ht="12.75">
      <c r="A193" s="604" t="s">
        <v>283</v>
      </c>
    </row>
    <row r="194" ht="12.75">
      <c r="A194" s="604" t="s">
        <v>284</v>
      </c>
    </row>
    <row r="195" ht="12.75">
      <c r="A195" s="604" t="s">
        <v>285</v>
      </c>
    </row>
    <row r="196" ht="12.75">
      <c r="A196" s="604" t="s">
        <v>286</v>
      </c>
    </row>
    <row r="197" ht="12.75">
      <c r="A197" s="604" t="s">
        <v>287</v>
      </c>
    </row>
  </sheetData>
  <mergeCells count="140">
    <mergeCell ref="J171:L171"/>
    <mergeCell ref="J172:L172"/>
    <mergeCell ref="A130:L134"/>
    <mergeCell ref="G172:I172"/>
    <mergeCell ref="A138:D140"/>
    <mergeCell ref="A153:D153"/>
    <mergeCell ref="A154:D154"/>
    <mergeCell ref="A155:D155"/>
    <mergeCell ref="A156:D156"/>
    <mergeCell ref="A152:D152"/>
    <mergeCell ref="A141:D141"/>
    <mergeCell ref="J170:L170"/>
    <mergeCell ref="E138:E140"/>
    <mergeCell ref="F138:F140"/>
    <mergeCell ref="A142:D142"/>
    <mergeCell ref="A143:D143"/>
    <mergeCell ref="G170:I170"/>
    <mergeCell ref="A170:D170"/>
    <mergeCell ref="A144:D144"/>
    <mergeCell ref="A145:D145"/>
    <mergeCell ref="G171:I171"/>
    <mergeCell ref="A175:L179"/>
    <mergeCell ref="A82:C82"/>
    <mergeCell ref="A83:C83"/>
    <mergeCell ref="A84:C84"/>
    <mergeCell ref="A85:C85"/>
    <mergeCell ref="H128:J128"/>
    <mergeCell ref="H127:J127"/>
    <mergeCell ref="K127:L127"/>
    <mergeCell ref="K128:L128"/>
    <mergeCell ref="K125:L126"/>
    <mergeCell ref="H124:J124"/>
    <mergeCell ref="H123:J123"/>
    <mergeCell ref="K124:L124"/>
    <mergeCell ref="H125:J126"/>
    <mergeCell ref="K123:L123"/>
    <mergeCell ref="H121:J121"/>
    <mergeCell ref="A78:C78"/>
    <mergeCell ref="A79:C79"/>
    <mergeCell ref="A80:C80"/>
    <mergeCell ref="A81:C81"/>
    <mergeCell ref="E121:F121"/>
    <mergeCell ref="A102:B102"/>
    <mergeCell ref="A98:B98"/>
    <mergeCell ref="C92:G92"/>
    <mergeCell ref="A94:B94"/>
    <mergeCell ref="A75:C75"/>
    <mergeCell ref="A76:C76"/>
    <mergeCell ref="A77:C77"/>
    <mergeCell ref="H92:L92"/>
    <mergeCell ref="A95:B95"/>
    <mergeCell ref="J73:L73"/>
    <mergeCell ref="A73:C74"/>
    <mergeCell ref="H122:J122"/>
    <mergeCell ref="K121:L121"/>
    <mergeCell ref="K122:L122"/>
    <mergeCell ref="E122:F122"/>
    <mergeCell ref="A87:L89"/>
    <mergeCell ref="G73:I73"/>
    <mergeCell ref="A109:B109"/>
    <mergeCell ref="E127:F127"/>
    <mergeCell ref="E124:F124"/>
    <mergeCell ref="E125:F125"/>
    <mergeCell ref="E126:F126"/>
    <mergeCell ref="A67:L70"/>
    <mergeCell ref="E128:F128"/>
    <mergeCell ref="A122:D122"/>
    <mergeCell ref="A123:D123"/>
    <mergeCell ref="A124:D124"/>
    <mergeCell ref="A125:D125"/>
    <mergeCell ref="E123:F123"/>
    <mergeCell ref="A126:D126"/>
    <mergeCell ref="A127:D127"/>
    <mergeCell ref="A128:D128"/>
    <mergeCell ref="B6:B7"/>
    <mergeCell ref="C6:C7"/>
    <mergeCell ref="A2:L2"/>
    <mergeCell ref="A96:B96"/>
    <mergeCell ref="A49:A50"/>
    <mergeCell ref="B49:B50"/>
    <mergeCell ref="C49:C50"/>
    <mergeCell ref="C30:C31"/>
    <mergeCell ref="B30:B31"/>
    <mergeCell ref="L49:L50"/>
    <mergeCell ref="E30:E31"/>
    <mergeCell ref="L30:L31"/>
    <mergeCell ref="D30:D31"/>
    <mergeCell ref="A30:A31"/>
    <mergeCell ref="F30:K30"/>
    <mergeCell ref="D49:D50"/>
    <mergeCell ref="E49:E50"/>
    <mergeCell ref="F49:K49"/>
    <mergeCell ref="A108:B108"/>
    <mergeCell ref="D73:F73"/>
    <mergeCell ref="A99:B99"/>
    <mergeCell ref="A100:B100"/>
    <mergeCell ref="A101:B101"/>
    <mergeCell ref="A92:B93"/>
    <mergeCell ref="A97:B97"/>
    <mergeCell ref="A110:B110"/>
    <mergeCell ref="A103:B103"/>
    <mergeCell ref="A104:B104"/>
    <mergeCell ref="A121:D121"/>
    <mergeCell ref="A111:B111"/>
    <mergeCell ref="A114:L118"/>
    <mergeCell ref="A105:B105"/>
    <mergeCell ref="A106:B106"/>
    <mergeCell ref="A112:B112"/>
    <mergeCell ref="A107:B107"/>
    <mergeCell ref="A5:A7"/>
    <mergeCell ref="F6:G6"/>
    <mergeCell ref="D5:G5"/>
    <mergeCell ref="A21:L26"/>
    <mergeCell ref="B5:C5"/>
    <mergeCell ref="D6:E6"/>
    <mergeCell ref="H6:I6"/>
    <mergeCell ref="J6:K6"/>
    <mergeCell ref="H5:L5"/>
    <mergeCell ref="L6:L7"/>
    <mergeCell ref="A172:D172"/>
    <mergeCell ref="A171:D171"/>
    <mergeCell ref="A161:D161"/>
    <mergeCell ref="A162:D162"/>
    <mergeCell ref="A163:D163"/>
    <mergeCell ref="A165:D165"/>
    <mergeCell ref="A166:D166"/>
    <mergeCell ref="A167:D167"/>
    <mergeCell ref="A169:D169"/>
    <mergeCell ref="A168:D168"/>
    <mergeCell ref="A147:D147"/>
    <mergeCell ref="A148:D148"/>
    <mergeCell ref="A146:D146"/>
    <mergeCell ref="A149:D149"/>
    <mergeCell ref="A150:D150"/>
    <mergeCell ref="A159:D159"/>
    <mergeCell ref="A164:D164"/>
    <mergeCell ref="A160:D160"/>
    <mergeCell ref="A157:D157"/>
    <mergeCell ref="A158:D158"/>
    <mergeCell ref="A151:D151"/>
  </mergeCells>
  <printOptions horizontalCentered="1"/>
  <pageMargins left="0.2" right="0.1968503937007874" top="0.3937007874015748" bottom="0.3937007874015748" header="0.2362204724409449" footer="0.2362204724409449"/>
  <pageSetup horizontalDpi="600" verticalDpi="600" orientation="portrait" paperSize="9" scale="80" r:id="rId1"/>
  <headerFooter alignWithMargins="0">
    <oddFooter>&amp;C&amp;"Arial CE,tučné"&amp;8&amp;P / 25</oddFooter>
  </headerFooter>
  <rowBreaks count="2" manualBreakCount="2">
    <brk id="71" max="255" man="1"/>
    <brk id="135" max="255" man="1"/>
  </rowBreaks>
</worksheet>
</file>

<file path=xl/worksheets/sheet5.xml><?xml version="1.0" encoding="utf-8"?>
<worksheet xmlns="http://schemas.openxmlformats.org/spreadsheetml/2006/main" xmlns:r="http://schemas.openxmlformats.org/officeDocument/2006/relationships">
  <dimension ref="A2:P187"/>
  <sheetViews>
    <sheetView workbookViewId="0" topLeftCell="A30">
      <selection activeCell="H30" sqref="H30"/>
    </sheetView>
  </sheetViews>
  <sheetFormatPr defaultColWidth="9.00390625" defaultRowHeight="12.75"/>
  <cols>
    <col min="1" max="1" width="10.625" style="0" customWidth="1"/>
    <col min="2" max="9" width="10.75390625" style="0" customWidth="1"/>
    <col min="10" max="10" width="10.00390625" style="0" customWidth="1"/>
    <col min="11" max="11" width="10.125" style="0" customWidth="1"/>
    <col min="12" max="12" width="9.375" style="0" customWidth="1"/>
    <col min="13" max="13" width="7.375" style="0" customWidth="1"/>
  </cols>
  <sheetData>
    <row r="1" ht="2.25" customHeight="1"/>
    <row r="2" spans="1:11" ht="18">
      <c r="A2" s="1399" t="s">
        <v>190</v>
      </c>
      <c r="B2" s="1400"/>
      <c r="C2" s="1400"/>
      <c r="D2" s="1400"/>
      <c r="E2" s="1400"/>
      <c r="F2" s="1400"/>
      <c r="G2" s="1400"/>
      <c r="H2" s="1400"/>
      <c r="I2" s="1400"/>
      <c r="J2" s="1400"/>
      <c r="K2" s="1400"/>
    </row>
    <row r="3" spans="1:12" ht="20.25" customHeight="1" thickBot="1">
      <c r="A3" s="68" t="s">
        <v>54</v>
      </c>
      <c r="L3" s="19" t="s">
        <v>116</v>
      </c>
    </row>
    <row r="4" spans="1:12" ht="10.5" customHeight="1">
      <c r="A4" s="1247" t="s">
        <v>32</v>
      </c>
      <c r="B4" s="1256" t="s">
        <v>18</v>
      </c>
      <c r="C4" s="1258"/>
      <c r="D4" s="1584" t="s">
        <v>128</v>
      </c>
      <c r="E4" s="1585"/>
      <c r="F4" s="1586"/>
      <c r="G4" s="1429"/>
      <c r="H4" s="1591" t="s">
        <v>26</v>
      </c>
      <c r="I4" s="1586"/>
      <c r="J4" s="1586"/>
      <c r="K4" s="1586"/>
      <c r="L4" s="1429"/>
    </row>
    <row r="5" spans="1:12" ht="12.75" customHeight="1">
      <c r="A5" s="1583"/>
      <c r="B5" s="1587">
        <v>2005</v>
      </c>
      <c r="C5" s="1588">
        <v>2006</v>
      </c>
      <c r="D5" s="1590">
        <v>2005</v>
      </c>
      <c r="E5" s="1334"/>
      <c r="F5" s="1570">
        <v>2006</v>
      </c>
      <c r="G5" s="1264"/>
      <c r="H5" s="1569">
        <v>2005</v>
      </c>
      <c r="I5" s="1333"/>
      <c r="J5" s="1570">
        <v>2006</v>
      </c>
      <c r="K5" s="1334" t="s">
        <v>127</v>
      </c>
      <c r="L5" s="1588" t="s">
        <v>141</v>
      </c>
    </row>
    <row r="6" spans="1:12" ht="28.5" customHeight="1" thickBot="1">
      <c r="A6" s="1248"/>
      <c r="B6" s="1241"/>
      <c r="C6" s="1589"/>
      <c r="D6" s="301" t="s">
        <v>129</v>
      </c>
      <c r="E6" s="58" t="s">
        <v>130</v>
      </c>
      <c r="F6" s="70" t="s">
        <v>129</v>
      </c>
      <c r="G6" s="66" t="s">
        <v>130</v>
      </c>
      <c r="H6" s="65" t="s">
        <v>131</v>
      </c>
      <c r="I6" s="70" t="s">
        <v>127</v>
      </c>
      <c r="J6" s="70" t="s">
        <v>131</v>
      </c>
      <c r="K6" s="58" t="s">
        <v>127</v>
      </c>
      <c r="L6" s="1589"/>
    </row>
    <row r="7" spans="1:12" s="24" customFormat="1" ht="12.75" customHeight="1">
      <c r="A7" s="37" t="s">
        <v>33</v>
      </c>
      <c r="B7" s="237">
        <v>60955</v>
      </c>
      <c r="C7" s="3">
        <v>66398</v>
      </c>
      <c r="D7" s="758">
        <v>59346</v>
      </c>
      <c r="E7" s="11">
        <v>1527</v>
      </c>
      <c r="F7" s="2">
        <v>63230</v>
      </c>
      <c r="G7" s="3">
        <v>620</v>
      </c>
      <c r="H7" s="17">
        <f aca="true" t="shared" si="0" ref="H7:H18">+D7-B7</f>
        <v>-1609</v>
      </c>
      <c r="I7" s="2">
        <f aca="true" t="shared" si="1" ref="I7:I18">+H7-E7</f>
        <v>-3136</v>
      </c>
      <c r="J7" s="2">
        <f aca="true" t="shared" si="2" ref="J7:J18">+F7-C7</f>
        <v>-3168</v>
      </c>
      <c r="K7" s="2">
        <f aca="true" t="shared" si="3" ref="K7:K18">+J7-G7</f>
        <v>-3788</v>
      </c>
      <c r="L7" s="3">
        <f aca="true" t="shared" si="4" ref="L7:L18">+J7-H7</f>
        <v>-1559</v>
      </c>
    </row>
    <row r="8" spans="1:12" s="24" customFormat="1" ht="12.75">
      <c r="A8" s="39" t="s">
        <v>34</v>
      </c>
      <c r="B8" s="230">
        <v>119838</v>
      </c>
      <c r="C8" s="5">
        <v>131600</v>
      </c>
      <c r="D8" s="174">
        <v>121220</v>
      </c>
      <c r="E8" s="12">
        <v>4081</v>
      </c>
      <c r="F8" s="4">
        <v>129930</v>
      </c>
      <c r="G8" s="5">
        <v>4081</v>
      </c>
      <c r="H8" s="17">
        <f t="shared" si="0"/>
        <v>1382</v>
      </c>
      <c r="I8" s="2">
        <f t="shared" si="1"/>
        <v>-2699</v>
      </c>
      <c r="J8" s="4">
        <f t="shared" si="2"/>
        <v>-1670</v>
      </c>
      <c r="K8" s="2">
        <f t="shared" si="3"/>
        <v>-5751</v>
      </c>
      <c r="L8" s="5">
        <f t="shared" si="4"/>
        <v>-3052</v>
      </c>
    </row>
    <row r="9" spans="1:12" s="24" customFormat="1" ht="12.75">
      <c r="A9" s="39" t="s">
        <v>35</v>
      </c>
      <c r="B9" s="230">
        <v>182479</v>
      </c>
      <c r="C9" s="5">
        <v>199871</v>
      </c>
      <c r="D9" s="174">
        <v>186319</v>
      </c>
      <c r="E9" s="12">
        <v>6122</v>
      </c>
      <c r="F9" s="4">
        <v>203121</v>
      </c>
      <c r="G9" s="5">
        <v>10806</v>
      </c>
      <c r="H9" s="17">
        <f t="shared" si="0"/>
        <v>3840</v>
      </c>
      <c r="I9" s="2">
        <f t="shared" si="1"/>
        <v>-2282</v>
      </c>
      <c r="J9" s="4">
        <f t="shared" si="2"/>
        <v>3250</v>
      </c>
      <c r="K9" s="2">
        <f t="shared" si="3"/>
        <v>-7556</v>
      </c>
      <c r="L9" s="5">
        <f t="shared" si="4"/>
        <v>-590</v>
      </c>
    </row>
    <row r="10" spans="1:12" s="24" customFormat="1" ht="12.75">
      <c r="A10" s="39" t="s">
        <v>36</v>
      </c>
      <c r="B10" s="230">
        <v>244713</v>
      </c>
      <c r="C10" s="5">
        <v>265490</v>
      </c>
      <c r="D10" s="174">
        <v>246206</v>
      </c>
      <c r="E10" s="12">
        <v>8724</v>
      </c>
      <c r="F10" s="4">
        <v>269780</v>
      </c>
      <c r="G10" s="5">
        <v>14248</v>
      </c>
      <c r="H10" s="17">
        <f t="shared" si="0"/>
        <v>1493</v>
      </c>
      <c r="I10" s="2">
        <f t="shared" si="1"/>
        <v>-7231</v>
      </c>
      <c r="J10" s="4">
        <f t="shared" si="2"/>
        <v>4290</v>
      </c>
      <c r="K10" s="2">
        <f t="shared" si="3"/>
        <v>-9958</v>
      </c>
      <c r="L10" s="5">
        <f t="shared" si="4"/>
        <v>2797</v>
      </c>
    </row>
    <row r="11" spans="1:12" s="24" customFormat="1" ht="12.75">
      <c r="A11" s="39" t="s">
        <v>37</v>
      </c>
      <c r="B11" s="230">
        <v>310115</v>
      </c>
      <c r="C11" s="5">
        <v>332929</v>
      </c>
      <c r="D11" s="174">
        <v>307262</v>
      </c>
      <c r="E11" s="12">
        <v>10808</v>
      </c>
      <c r="F11" s="4">
        <v>337049</v>
      </c>
      <c r="G11" s="5">
        <v>16933</v>
      </c>
      <c r="H11" s="17">
        <f t="shared" si="0"/>
        <v>-2853</v>
      </c>
      <c r="I11" s="2">
        <f t="shared" si="1"/>
        <v>-13661</v>
      </c>
      <c r="J11" s="4">
        <f t="shared" si="2"/>
        <v>4120</v>
      </c>
      <c r="K11" s="2">
        <f t="shared" si="3"/>
        <v>-12813</v>
      </c>
      <c r="L11" s="5">
        <f t="shared" si="4"/>
        <v>6973</v>
      </c>
    </row>
    <row r="12" spans="1:12" s="24" customFormat="1" ht="13.5" thickBot="1">
      <c r="A12" s="182" t="s">
        <v>38</v>
      </c>
      <c r="B12" s="239">
        <v>376685</v>
      </c>
      <c r="C12" s="7">
        <v>400949</v>
      </c>
      <c r="D12" s="605">
        <v>372154</v>
      </c>
      <c r="E12" s="62">
        <v>12849</v>
      </c>
      <c r="F12" s="6">
        <v>420248</v>
      </c>
      <c r="G12" s="7">
        <v>23658</v>
      </c>
      <c r="H12" s="115">
        <f t="shared" si="0"/>
        <v>-4531</v>
      </c>
      <c r="I12" s="116">
        <f t="shared" si="1"/>
        <v>-17380</v>
      </c>
      <c r="J12" s="116">
        <f t="shared" si="2"/>
        <v>19299</v>
      </c>
      <c r="K12" s="116">
        <f t="shared" si="3"/>
        <v>-4359</v>
      </c>
      <c r="L12" s="7">
        <f t="shared" si="4"/>
        <v>23830</v>
      </c>
    </row>
    <row r="13" spans="1:12" ht="12.75">
      <c r="A13" s="238" t="s">
        <v>39</v>
      </c>
      <c r="B13" s="231">
        <v>441074</v>
      </c>
      <c r="C13" s="30">
        <v>468988</v>
      </c>
      <c r="D13" s="261">
        <v>429547</v>
      </c>
      <c r="E13" s="30">
        <v>14908</v>
      </c>
      <c r="F13" s="60">
        <v>490452</v>
      </c>
      <c r="G13" s="30">
        <v>26235</v>
      </c>
      <c r="H13" s="67">
        <f t="shared" si="0"/>
        <v>-11527</v>
      </c>
      <c r="I13" s="2">
        <f t="shared" si="1"/>
        <v>-26435</v>
      </c>
      <c r="J13" s="2">
        <f t="shared" si="2"/>
        <v>21464</v>
      </c>
      <c r="K13" s="229">
        <f t="shared" si="3"/>
        <v>-4771</v>
      </c>
      <c r="L13" s="13">
        <f t="shared" si="4"/>
        <v>32991</v>
      </c>
    </row>
    <row r="14" spans="1:12" ht="12.75">
      <c r="A14" s="39" t="s">
        <v>40</v>
      </c>
      <c r="B14" s="230">
        <v>502246</v>
      </c>
      <c r="C14" s="5">
        <v>533584</v>
      </c>
      <c r="D14" s="174">
        <v>499232</v>
      </c>
      <c r="E14" s="5">
        <v>21297</v>
      </c>
      <c r="F14" s="12">
        <v>556900</v>
      </c>
      <c r="G14" s="5">
        <v>28852</v>
      </c>
      <c r="H14" s="17">
        <f t="shared" si="0"/>
        <v>-3014</v>
      </c>
      <c r="I14" s="2">
        <f t="shared" si="1"/>
        <v>-24311</v>
      </c>
      <c r="J14" s="4">
        <f t="shared" si="2"/>
        <v>23316</v>
      </c>
      <c r="K14" s="2">
        <f t="shared" si="3"/>
        <v>-5536</v>
      </c>
      <c r="L14" s="5">
        <f t="shared" si="4"/>
        <v>26330</v>
      </c>
    </row>
    <row r="15" spans="1:12" ht="12.75">
      <c r="A15" s="39" t="s">
        <v>41</v>
      </c>
      <c r="B15" s="237">
        <v>569311</v>
      </c>
      <c r="C15" s="3">
        <v>599997</v>
      </c>
      <c r="D15" s="758">
        <v>559067</v>
      </c>
      <c r="E15" s="3">
        <v>23512</v>
      </c>
      <c r="F15" s="11">
        <v>613747</v>
      </c>
      <c r="G15" s="3">
        <v>23401</v>
      </c>
      <c r="H15" s="17">
        <f t="shared" si="0"/>
        <v>-10244</v>
      </c>
      <c r="I15" s="2">
        <f t="shared" si="1"/>
        <v>-33756</v>
      </c>
      <c r="J15" s="4">
        <f t="shared" si="2"/>
        <v>13750</v>
      </c>
      <c r="K15" s="2">
        <f t="shared" si="3"/>
        <v>-9651</v>
      </c>
      <c r="L15" s="3">
        <f t="shared" si="4"/>
        <v>23994</v>
      </c>
    </row>
    <row r="16" spans="1:12" ht="12.75">
      <c r="A16" s="41" t="s">
        <v>42</v>
      </c>
      <c r="B16" s="232">
        <v>634612</v>
      </c>
      <c r="C16" s="28">
        <v>671121</v>
      </c>
      <c r="D16" s="328">
        <v>621656</v>
      </c>
      <c r="E16" s="28">
        <v>25452</v>
      </c>
      <c r="F16" s="61">
        <v>679970</v>
      </c>
      <c r="G16" s="28">
        <v>26022</v>
      </c>
      <c r="H16" s="17">
        <f t="shared" si="0"/>
        <v>-12956</v>
      </c>
      <c r="I16" s="2">
        <f t="shared" si="1"/>
        <v>-38408</v>
      </c>
      <c r="J16" s="4">
        <f t="shared" si="2"/>
        <v>8849</v>
      </c>
      <c r="K16" s="2">
        <f t="shared" si="3"/>
        <v>-17173</v>
      </c>
      <c r="L16" s="28">
        <f t="shared" si="4"/>
        <v>21805</v>
      </c>
    </row>
    <row r="17" spans="1:12" ht="12.75">
      <c r="A17" s="39" t="s">
        <v>43</v>
      </c>
      <c r="B17" s="232">
        <v>699748</v>
      </c>
      <c r="C17" s="28">
        <v>740708</v>
      </c>
      <c r="D17" s="328">
        <v>687532</v>
      </c>
      <c r="E17" s="28">
        <v>28088</v>
      </c>
      <c r="F17" s="61">
        <v>745477</v>
      </c>
      <c r="G17" s="28">
        <v>28602</v>
      </c>
      <c r="H17" s="17">
        <f t="shared" si="0"/>
        <v>-12216</v>
      </c>
      <c r="I17" s="2">
        <f t="shared" si="1"/>
        <v>-40304</v>
      </c>
      <c r="J17" s="4">
        <f t="shared" si="2"/>
        <v>4769</v>
      </c>
      <c r="K17" s="2">
        <f t="shared" si="3"/>
        <v>-23833</v>
      </c>
      <c r="L17" s="28">
        <f t="shared" si="4"/>
        <v>16985</v>
      </c>
    </row>
    <row r="18" spans="1:14" ht="13.5" thickBot="1">
      <c r="A18" s="43" t="s">
        <v>44</v>
      </c>
      <c r="B18" s="233">
        <v>778603.9</v>
      </c>
      <c r="C18" s="7">
        <v>813380</v>
      </c>
      <c r="D18" s="759">
        <v>804592.93</v>
      </c>
      <c r="E18" s="558">
        <v>58134</v>
      </c>
      <c r="F18" s="202">
        <v>837183</v>
      </c>
      <c r="G18" s="558">
        <v>31463</v>
      </c>
      <c r="H18" s="115">
        <f t="shared" si="0"/>
        <v>25989.030000000028</v>
      </c>
      <c r="I18" s="116">
        <f t="shared" si="1"/>
        <v>-32144.969999999972</v>
      </c>
      <c r="J18" s="116">
        <f t="shared" si="2"/>
        <v>23803</v>
      </c>
      <c r="K18" s="116">
        <f t="shared" si="3"/>
        <v>-7660</v>
      </c>
      <c r="L18" s="558">
        <f t="shared" si="4"/>
        <v>-2186.030000000028</v>
      </c>
      <c r="M18" s="559"/>
      <c r="N18" s="559"/>
    </row>
    <row r="19" ht="12.75">
      <c r="M19" s="560"/>
    </row>
    <row r="20" ht="27" customHeight="1"/>
    <row r="21" ht="30" customHeight="1"/>
    <row r="22" ht="20.25" customHeight="1"/>
    <row r="23" ht="29.25" customHeight="1"/>
    <row r="24" spans="1:11" ht="25.5" customHeight="1">
      <c r="A24" s="54"/>
      <c r="B24" s="54"/>
      <c r="C24" s="54"/>
      <c r="D24" s="54"/>
      <c r="E24" s="54"/>
      <c r="F24" s="54"/>
      <c r="G24" s="54"/>
      <c r="H24" s="54"/>
      <c r="I24" s="54"/>
      <c r="J24" s="54"/>
      <c r="K24" s="54"/>
    </row>
    <row r="25" spans="1:12" ht="41.25" customHeight="1" thickBot="1">
      <c r="A25" s="16" t="s">
        <v>55</v>
      </c>
      <c r="L25" s="19" t="s">
        <v>116</v>
      </c>
    </row>
    <row r="26" spans="1:12" ht="11.25" customHeight="1">
      <c r="A26" s="1558" t="s">
        <v>28</v>
      </c>
      <c r="B26" s="1560" t="s">
        <v>29</v>
      </c>
      <c r="C26" s="1562" t="s">
        <v>30</v>
      </c>
      <c r="D26" s="1562" t="s">
        <v>31</v>
      </c>
      <c r="E26" s="1592" t="s">
        <v>24</v>
      </c>
      <c r="F26" s="1256" t="s">
        <v>45</v>
      </c>
      <c r="G26" s="1257"/>
      <c r="H26" s="1257"/>
      <c r="I26" s="1257"/>
      <c r="J26" s="1257"/>
      <c r="K26" s="1257"/>
      <c r="L26" s="1247" t="s">
        <v>12</v>
      </c>
    </row>
    <row r="27" spans="1:12" ht="15" customHeight="1" thickBot="1">
      <c r="A27" s="1559"/>
      <c r="B27" s="1561"/>
      <c r="C27" s="1563" t="s">
        <v>30</v>
      </c>
      <c r="D27" s="1563" t="s">
        <v>31</v>
      </c>
      <c r="E27" s="1593" t="s">
        <v>24</v>
      </c>
      <c r="F27" s="65" t="s">
        <v>46</v>
      </c>
      <c r="G27" s="70" t="s">
        <v>47</v>
      </c>
      <c r="H27" s="70" t="s">
        <v>48</v>
      </c>
      <c r="I27" s="70" t="s">
        <v>49</v>
      </c>
      <c r="J27" s="70" t="s">
        <v>50</v>
      </c>
      <c r="K27" s="157" t="s">
        <v>24</v>
      </c>
      <c r="L27" s="1594"/>
    </row>
    <row r="28" spans="1:12" ht="12.75">
      <c r="A28" s="203">
        <v>37986</v>
      </c>
      <c r="B28" s="561">
        <v>190066</v>
      </c>
      <c r="C28" s="205">
        <v>33</v>
      </c>
      <c r="D28" s="205">
        <v>773</v>
      </c>
      <c r="E28" s="190">
        <f>SUM(B28:D28)</f>
        <v>190872</v>
      </c>
      <c r="F28" s="206">
        <v>17715</v>
      </c>
      <c r="G28" s="191">
        <v>27010</v>
      </c>
      <c r="H28" s="191">
        <v>39842</v>
      </c>
      <c r="I28" s="191">
        <v>61940</v>
      </c>
      <c r="J28" s="191">
        <v>20356</v>
      </c>
      <c r="K28" s="207">
        <f>SUM(F28:J28)</f>
        <v>166863</v>
      </c>
      <c r="L28" s="193">
        <v>33660</v>
      </c>
    </row>
    <row r="29" spans="1:12" ht="12" customHeight="1">
      <c r="A29" s="302">
        <v>38352</v>
      </c>
      <c r="B29" s="562">
        <v>196317</v>
      </c>
      <c r="C29" s="303">
        <v>18</v>
      </c>
      <c r="D29" s="303">
        <v>8330</v>
      </c>
      <c r="E29" s="304">
        <v>204665</v>
      </c>
      <c r="F29" s="305">
        <v>23290</v>
      </c>
      <c r="G29" s="306">
        <v>36599</v>
      </c>
      <c r="H29" s="306">
        <v>41448</v>
      </c>
      <c r="I29" s="306">
        <v>39171</v>
      </c>
      <c r="J29" s="306">
        <v>15563</v>
      </c>
      <c r="K29" s="307">
        <v>156071</v>
      </c>
      <c r="L29" s="308">
        <v>22131</v>
      </c>
    </row>
    <row r="30" spans="1:12" ht="12" customHeight="1" thickBot="1">
      <c r="A30" s="309">
        <v>38717</v>
      </c>
      <c r="B30" s="563">
        <v>187508</v>
      </c>
      <c r="C30" s="564">
        <v>242</v>
      </c>
      <c r="D30" s="564">
        <v>1090</v>
      </c>
      <c r="E30" s="310">
        <v>188840</v>
      </c>
      <c r="F30" s="565">
        <v>26140</v>
      </c>
      <c r="G30" s="566">
        <v>29832</v>
      </c>
      <c r="H30" s="566">
        <v>30462</v>
      </c>
      <c r="I30" s="566">
        <v>46554</v>
      </c>
      <c r="J30" s="566">
        <v>87</v>
      </c>
      <c r="K30" s="567">
        <v>133075</v>
      </c>
      <c r="L30" s="311">
        <v>34277</v>
      </c>
    </row>
    <row r="31" spans="1:12" ht="12.75">
      <c r="A31" s="238">
        <v>38748</v>
      </c>
      <c r="B31" s="38">
        <v>187711</v>
      </c>
      <c r="C31" s="33">
        <v>258</v>
      </c>
      <c r="D31" s="33">
        <v>1078</v>
      </c>
      <c r="E31" s="71">
        <f aca="true" t="shared" si="5" ref="E31:E42">SUM(B31:D31)</f>
        <v>189047</v>
      </c>
      <c r="F31" s="50">
        <v>22717</v>
      </c>
      <c r="G31" s="33">
        <v>27760</v>
      </c>
      <c r="H31" s="33">
        <v>29768</v>
      </c>
      <c r="I31" s="33">
        <v>48354</v>
      </c>
      <c r="J31" s="33">
        <v>4986</v>
      </c>
      <c r="K31" s="73">
        <f aca="true" t="shared" si="6" ref="K31:K42">SUM(F31:J31)</f>
        <v>133585</v>
      </c>
      <c r="L31" s="216">
        <v>31859</v>
      </c>
    </row>
    <row r="32" spans="1:12" ht="12.75">
      <c r="A32" s="39" t="s">
        <v>191</v>
      </c>
      <c r="B32" s="40">
        <v>178795</v>
      </c>
      <c r="C32" s="34">
        <v>278</v>
      </c>
      <c r="D32" s="34">
        <v>1126</v>
      </c>
      <c r="E32" s="71">
        <f t="shared" si="5"/>
        <v>180199</v>
      </c>
      <c r="F32" s="46">
        <v>17176</v>
      </c>
      <c r="G32" s="34">
        <v>29103</v>
      </c>
      <c r="H32" s="34">
        <v>29217</v>
      </c>
      <c r="I32" s="34">
        <v>49168</v>
      </c>
      <c r="J32" s="34">
        <v>0</v>
      </c>
      <c r="K32" s="74">
        <f t="shared" si="6"/>
        <v>124664</v>
      </c>
      <c r="L32" s="217">
        <v>29442</v>
      </c>
    </row>
    <row r="33" spans="1:12" ht="12.75">
      <c r="A33" s="39">
        <v>38807</v>
      </c>
      <c r="B33" s="40">
        <v>159643</v>
      </c>
      <c r="C33" s="34">
        <v>292</v>
      </c>
      <c r="D33" s="34">
        <v>1195</v>
      </c>
      <c r="E33" s="71">
        <f t="shared" si="5"/>
        <v>161130</v>
      </c>
      <c r="F33" s="46">
        <v>16395</v>
      </c>
      <c r="G33" s="34">
        <v>24931</v>
      </c>
      <c r="H33" s="34">
        <v>34521</v>
      </c>
      <c r="I33" s="34">
        <v>33306</v>
      </c>
      <c r="J33" s="34">
        <v>0</v>
      </c>
      <c r="K33" s="74">
        <f t="shared" si="6"/>
        <v>109153</v>
      </c>
      <c r="L33" s="82">
        <v>32066</v>
      </c>
    </row>
    <row r="34" spans="1:12" ht="12.75">
      <c r="A34" s="39">
        <v>38837</v>
      </c>
      <c r="B34" s="40">
        <v>161384</v>
      </c>
      <c r="C34" s="34">
        <v>314</v>
      </c>
      <c r="D34" s="34">
        <v>1006</v>
      </c>
      <c r="E34" s="71">
        <f t="shared" si="5"/>
        <v>162704</v>
      </c>
      <c r="F34" s="46">
        <v>16349</v>
      </c>
      <c r="G34" s="34">
        <v>24222</v>
      </c>
      <c r="H34" s="34">
        <v>36826</v>
      </c>
      <c r="I34" s="34">
        <v>32796</v>
      </c>
      <c r="J34" s="34">
        <v>12</v>
      </c>
      <c r="K34" s="74">
        <f t="shared" si="6"/>
        <v>110205</v>
      </c>
      <c r="L34" s="217">
        <v>29751</v>
      </c>
    </row>
    <row r="35" spans="1:12" s="228" customFormat="1" ht="12.75">
      <c r="A35" s="39">
        <v>38868</v>
      </c>
      <c r="B35" s="40">
        <v>154395</v>
      </c>
      <c r="C35" s="34">
        <v>127</v>
      </c>
      <c r="D35" s="34">
        <v>1143</v>
      </c>
      <c r="E35" s="71">
        <f t="shared" si="5"/>
        <v>155665</v>
      </c>
      <c r="F35" s="568">
        <v>21072</v>
      </c>
      <c r="G35" s="569">
        <v>24391</v>
      </c>
      <c r="H35" s="569">
        <v>35417</v>
      </c>
      <c r="I35" s="569">
        <v>24147</v>
      </c>
      <c r="J35" s="570">
        <v>0</v>
      </c>
      <c r="K35" s="74">
        <f t="shared" si="6"/>
        <v>105027</v>
      </c>
      <c r="L35" s="217">
        <v>27437</v>
      </c>
    </row>
    <row r="36" spans="1:12" ht="13.5" thickBot="1">
      <c r="A36" s="182">
        <v>38898</v>
      </c>
      <c r="B36" s="186">
        <v>156576</v>
      </c>
      <c r="C36" s="185">
        <v>145</v>
      </c>
      <c r="D36" s="185">
        <v>1060</v>
      </c>
      <c r="E36" s="72">
        <f t="shared" si="5"/>
        <v>157781</v>
      </c>
      <c r="F36" s="571">
        <v>20506</v>
      </c>
      <c r="G36" s="45">
        <v>23471</v>
      </c>
      <c r="H36" s="45">
        <v>32240</v>
      </c>
      <c r="I36" s="45">
        <v>28899</v>
      </c>
      <c r="J36" s="45">
        <v>0</v>
      </c>
      <c r="K36" s="354">
        <f t="shared" si="6"/>
        <v>105116</v>
      </c>
      <c r="L36" s="85">
        <v>22683</v>
      </c>
    </row>
    <row r="37" spans="1:13" s="575" customFormat="1" ht="12.75">
      <c r="A37" s="37">
        <v>38929</v>
      </c>
      <c r="B37" s="40">
        <v>146016</v>
      </c>
      <c r="C37" s="34">
        <v>164</v>
      </c>
      <c r="D37" s="572">
        <v>1142</v>
      </c>
      <c r="E37" s="235">
        <f t="shared" si="5"/>
        <v>147322</v>
      </c>
      <c r="F37" s="46">
        <v>15328</v>
      </c>
      <c r="G37" s="34">
        <v>25058</v>
      </c>
      <c r="H37" s="34">
        <v>28488</v>
      </c>
      <c r="I37" s="34">
        <v>31226</v>
      </c>
      <c r="J37" s="34">
        <v>0</v>
      </c>
      <c r="K37" s="74">
        <f t="shared" si="6"/>
        <v>100100</v>
      </c>
      <c r="L37" s="1211">
        <v>22683</v>
      </c>
      <c r="M37" s="574"/>
    </row>
    <row r="38" spans="1:12" s="575" customFormat="1" ht="12.75">
      <c r="A38" s="39">
        <v>38960</v>
      </c>
      <c r="B38" s="40">
        <v>145564</v>
      </c>
      <c r="C38" s="34">
        <v>187</v>
      </c>
      <c r="D38" s="572">
        <v>1113</v>
      </c>
      <c r="E38" s="235">
        <f t="shared" si="5"/>
        <v>146864</v>
      </c>
      <c r="F38" s="46">
        <v>17790</v>
      </c>
      <c r="G38" s="34">
        <v>26285</v>
      </c>
      <c r="H38" s="34">
        <v>28800</v>
      </c>
      <c r="I38" s="34">
        <v>30063</v>
      </c>
      <c r="J38" s="34">
        <v>0</v>
      </c>
      <c r="K38" s="74">
        <f t="shared" si="6"/>
        <v>102938</v>
      </c>
      <c r="L38" s="217">
        <v>22683</v>
      </c>
    </row>
    <row r="39" spans="1:12" s="575" customFormat="1" ht="12.75">
      <c r="A39" s="37">
        <v>38990</v>
      </c>
      <c r="B39" s="40">
        <v>139767</v>
      </c>
      <c r="C39" s="34">
        <v>197</v>
      </c>
      <c r="D39" s="572">
        <v>1131</v>
      </c>
      <c r="E39" s="235">
        <f t="shared" si="5"/>
        <v>141095</v>
      </c>
      <c r="F39" s="46">
        <v>13446</v>
      </c>
      <c r="G39" s="34">
        <v>25257</v>
      </c>
      <c r="H39" s="34">
        <v>29957</v>
      </c>
      <c r="I39" s="34">
        <v>26129</v>
      </c>
      <c r="J39" s="34">
        <v>0</v>
      </c>
      <c r="K39" s="74">
        <f t="shared" si="6"/>
        <v>94789</v>
      </c>
      <c r="L39" s="217">
        <v>22683</v>
      </c>
    </row>
    <row r="40" spans="1:12" s="575" customFormat="1" ht="12.75">
      <c r="A40" s="39">
        <v>39021</v>
      </c>
      <c r="B40" s="40">
        <v>140351</v>
      </c>
      <c r="C40" s="34">
        <v>218</v>
      </c>
      <c r="D40" s="572">
        <v>1074</v>
      </c>
      <c r="E40" s="235">
        <f t="shared" si="5"/>
        <v>141643</v>
      </c>
      <c r="F40" s="46">
        <v>17600</v>
      </c>
      <c r="G40" s="34">
        <v>22159</v>
      </c>
      <c r="H40" s="34">
        <v>30949</v>
      </c>
      <c r="I40" s="34">
        <v>23918</v>
      </c>
      <c r="J40" s="34">
        <v>0</v>
      </c>
      <c r="K40" s="74">
        <f t="shared" si="6"/>
        <v>94626</v>
      </c>
      <c r="L40" s="159">
        <v>12283</v>
      </c>
    </row>
    <row r="41" spans="1:12" s="575" customFormat="1" ht="12.75">
      <c r="A41" s="37">
        <v>39051</v>
      </c>
      <c r="B41" s="40">
        <v>142922</v>
      </c>
      <c r="C41" s="34">
        <v>239</v>
      </c>
      <c r="D41" s="572">
        <v>1117</v>
      </c>
      <c r="E41" s="235">
        <f t="shared" si="5"/>
        <v>144278</v>
      </c>
      <c r="F41" s="46">
        <v>15586</v>
      </c>
      <c r="G41" s="34">
        <v>22881</v>
      </c>
      <c r="H41" s="34">
        <v>30332</v>
      </c>
      <c r="I41" s="34">
        <v>24176</v>
      </c>
      <c r="J41" s="34">
        <v>0</v>
      </c>
      <c r="K41" s="74">
        <f t="shared" si="6"/>
        <v>92975</v>
      </c>
      <c r="L41" s="82">
        <v>9683</v>
      </c>
    </row>
    <row r="42" spans="1:12" s="575" customFormat="1" ht="13.5" thickBot="1">
      <c r="A42" s="182">
        <v>39082</v>
      </c>
      <c r="B42" s="186">
        <v>108202</v>
      </c>
      <c r="C42" s="185">
        <v>250</v>
      </c>
      <c r="D42" s="576">
        <v>1067</v>
      </c>
      <c r="E42" s="194">
        <f t="shared" si="5"/>
        <v>109519</v>
      </c>
      <c r="F42" s="184">
        <v>13711</v>
      </c>
      <c r="G42" s="185">
        <v>24505</v>
      </c>
      <c r="H42" s="185">
        <v>24831</v>
      </c>
      <c r="I42" s="185">
        <v>-47</v>
      </c>
      <c r="J42" s="185">
        <v>0</v>
      </c>
      <c r="K42" s="75">
        <f t="shared" si="6"/>
        <v>63000</v>
      </c>
      <c r="L42" s="577">
        <v>7083</v>
      </c>
    </row>
    <row r="43" spans="1:16" ht="2.25" customHeight="1">
      <c r="A43" s="83"/>
      <c r="B43" s="56"/>
      <c r="C43" s="56"/>
      <c r="D43" s="56"/>
      <c r="E43" s="79"/>
      <c r="F43" s="56"/>
      <c r="G43" s="56"/>
      <c r="H43" s="56"/>
      <c r="I43" s="56"/>
      <c r="J43" s="56"/>
      <c r="K43" s="80"/>
      <c r="L43" s="578"/>
      <c r="M43" s="579"/>
      <c r="N43" s="579"/>
      <c r="O43" s="579"/>
      <c r="P43" s="579"/>
    </row>
    <row r="44" spans="1:12" ht="16.5" thickBot="1">
      <c r="A44" s="16" t="s">
        <v>56</v>
      </c>
      <c r="L44" s="19" t="s">
        <v>116</v>
      </c>
    </row>
    <row r="45" spans="1:12" ht="18" customHeight="1">
      <c r="A45" s="1558" t="s">
        <v>28</v>
      </c>
      <c r="B45" s="1560" t="s">
        <v>51</v>
      </c>
      <c r="C45" s="1562" t="s">
        <v>52</v>
      </c>
      <c r="D45" s="1562" t="s">
        <v>53</v>
      </c>
      <c r="E45" s="1592" t="s">
        <v>24</v>
      </c>
      <c r="F45" s="1256" t="s">
        <v>45</v>
      </c>
      <c r="G45" s="1257"/>
      <c r="H45" s="1257"/>
      <c r="I45" s="1257"/>
      <c r="J45" s="1257"/>
      <c r="K45" s="1257"/>
      <c r="L45" s="1280" t="s">
        <v>139</v>
      </c>
    </row>
    <row r="46" spans="1:12" ht="39" customHeight="1" thickBot="1">
      <c r="A46" s="1559"/>
      <c r="B46" s="1561"/>
      <c r="C46" s="1563" t="s">
        <v>30</v>
      </c>
      <c r="D46" s="1563" t="s">
        <v>31</v>
      </c>
      <c r="E46" s="1593" t="s">
        <v>24</v>
      </c>
      <c r="F46" s="65" t="s">
        <v>46</v>
      </c>
      <c r="G46" s="70" t="s">
        <v>47</v>
      </c>
      <c r="H46" s="70" t="s">
        <v>48</v>
      </c>
      <c r="I46" s="70" t="s">
        <v>49</v>
      </c>
      <c r="J46" s="70" t="s">
        <v>50</v>
      </c>
      <c r="K46" s="157" t="s">
        <v>24</v>
      </c>
      <c r="L46" s="1281"/>
    </row>
    <row r="47" spans="1:12" ht="12.75">
      <c r="A47" s="203">
        <v>37986</v>
      </c>
      <c r="B47" s="561">
        <v>76185</v>
      </c>
      <c r="C47" s="205">
        <v>685</v>
      </c>
      <c r="D47" s="205">
        <v>4606</v>
      </c>
      <c r="E47" s="190">
        <f>SUM(B47:D47)</f>
        <v>81476</v>
      </c>
      <c r="F47" s="206">
        <v>27259</v>
      </c>
      <c r="G47" s="191">
        <v>637</v>
      </c>
      <c r="H47" s="191">
        <v>158</v>
      </c>
      <c r="I47" s="191">
        <v>632</v>
      </c>
      <c r="J47" s="191">
        <v>2693</v>
      </c>
      <c r="K47" s="207">
        <f>SUM(F47:J47)</f>
        <v>31379</v>
      </c>
      <c r="L47" s="193">
        <f aca="true" t="shared" si="7" ref="L47:L60">+E47-E28-L28</f>
        <v>-143056</v>
      </c>
    </row>
    <row r="48" spans="1:12" ht="12" customHeight="1">
      <c r="A48" s="302">
        <v>38352</v>
      </c>
      <c r="B48" s="562">
        <v>111018</v>
      </c>
      <c r="C48" s="303">
        <v>431</v>
      </c>
      <c r="D48" s="303">
        <v>5079</v>
      </c>
      <c r="E48" s="304">
        <v>116528</v>
      </c>
      <c r="F48" s="305">
        <v>12282</v>
      </c>
      <c r="G48" s="306">
        <v>29060</v>
      </c>
      <c r="H48" s="306">
        <v>205</v>
      </c>
      <c r="I48" s="306">
        <v>165</v>
      </c>
      <c r="J48" s="306">
        <v>2866</v>
      </c>
      <c r="K48" s="307">
        <v>44578</v>
      </c>
      <c r="L48" s="308">
        <f t="shared" si="7"/>
        <v>-110268</v>
      </c>
    </row>
    <row r="49" spans="1:13" ht="13.5" thickBot="1">
      <c r="A49" s="309">
        <v>38717</v>
      </c>
      <c r="B49" s="312">
        <v>123549</v>
      </c>
      <c r="C49" s="313">
        <v>170</v>
      </c>
      <c r="D49" s="313">
        <v>2102</v>
      </c>
      <c r="E49" s="314">
        <f aca="true" t="shared" si="8" ref="E49:E61">SUM(B49:D49)</f>
        <v>125821</v>
      </c>
      <c r="F49" s="315">
        <v>31449</v>
      </c>
      <c r="G49" s="313">
        <v>29326</v>
      </c>
      <c r="H49" s="313">
        <v>151</v>
      </c>
      <c r="I49" s="313">
        <v>124</v>
      </c>
      <c r="J49" s="313">
        <v>2285</v>
      </c>
      <c r="K49" s="310">
        <f aca="true" t="shared" si="9" ref="K49:K60">SUM(F49:J49)</f>
        <v>63335</v>
      </c>
      <c r="L49" s="311">
        <f t="shared" si="7"/>
        <v>-97296</v>
      </c>
      <c r="M49" s="560"/>
    </row>
    <row r="50" spans="1:12" ht="12.75">
      <c r="A50" s="37">
        <v>38748</v>
      </c>
      <c r="B50" s="38">
        <v>130435</v>
      </c>
      <c r="C50" s="33">
        <v>1221</v>
      </c>
      <c r="D50" s="33">
        <v>2737</v>
      </c>
      <c r="E50" s="71">
        <f t="shared" si="8"/>
        <v>134393</v>
      </c>
      <c r="F50" s="50">
        <v>46653</v>
      </c>
      <c r="G50" s="33">
        <v>21345</v>
      </c>
      <c r="H50" s="33">
        <v>190</v>
      </c>
      <c r="I50" s="33">
        <v>87</v>
      </c>
      <c r="J50" s="33">
        <v>2291</v>
      </c>
      <c r="K50" s="76">
        <f t="shared" si="9"/>
        <v>70566</v>
      </c>
      <c r="L50" s="216">
        <f t="shared" si="7"/>
        <v>-86513</v>
      </c>
    </row>
    <row r="51" spans="1:12" ht="12.75">
      <c r="A51" s="39" t="s">
        <v>191</v>
      </c>
      <c r="B51" s="40">
        <v>121596</v>
      </c>
      <c r="C51" s="34">
        <v>137</v>
      </c>
      <c r="D51" s="34">
        <v>3228</v>
      </c>
      <c r="E51" s="71">
        <f t="shared" si="8"/>
        <v>124961</v>
      </c>
      <c r="F51" s="46">
        <v>30329</v>
      </c>
      <c r="G51" s="34">
        <v>23496</v>
      </c>
      <c r="H51" s="34">
        <v>121</v>
      </c>
      <c r="I51" s="34">
        <v>86</v>
      </c>
      <c r="J51" s="34">
        <v>2038</v>
      </c>
      <c r="K51" s="77">
        <f t="shared" si="9"/>
        <v>56070</v>
      </c>
      <c r="L51" s="217">
        <f t="shared" si="7"/>
        <v>-84680</v>
      </c>
    </row>
    <row r="52" spans="1:12" ht="12.75">
      <c r="A52" s="39">
        <v>38807</v>
      </c>
      <c r="B52" s="40">
        <v>103018</v>
      </c>
      <c r="C52" s="34">
        <v>112</v>
      </c>
      <c r="D52" s="34">
        <v>3545</v>
      </c>
      <c r="E52" s="71">
        <f t="shared" si="8"/>
        <v>106675</v>
      </c>
      <c r="F52" s="46">
        <v>36126</v>
      </c>
      <c r="G52" s="34">
        <v>3101</v>
      </c>
      <c r="H52" s="34">
        <v>793</v>
      </c>
      <c r="I52" s="34">
        <v>90</v>
      </c>
      <c r="J52" s="34">
        <v>2038</v>
      </c>
      <c r="K52" s="77">
        <f t="shared" si="9"/>
        <v>42148</v>
      </c>
      <c r="L52" s="82">
        <f t="shared" si="7"/>
        <v>-86521</v>
      </c>
    </row>
    <row r="53" spans="1:12" ht="12.75">
      <c r="A53" s="39">
        <v>38837</v>
      </c>
      <c r="B53" s="40">
        <v>113774</v>
      </c>
      <c r="C53" s="34">
        <v>176</v>
      </c>
      <c r="D53" s="34">
        <v>4399</v>
      </c>
      <c r="E53" s="71">
        <f t="shared" si="8"/>
        <v>118349</v>
      </c>
      <c r="F53" s="46">
        <v>24510</v>
      </c>
      <c r="G53" s="34">
        <v>1853</v>
      </c>
      <c r="H53" s="34">
        <v>3197</v>
      </c>
      <c r="I53" s="34">
        <v>139</v>
      </c>
      <c r="J53" s="34">
        <v>2038</v>
      </c>
      <c r="K53" s="77">
        <f t="shared" si="9"/>
        <v>31737</v>
      </c>
      <c r="L53" s="217">
        <f t="shared" si="7"/>
        <v>-74106</v>
      </c>
    </row>
    <row r="54" spans="1:12" s="228" customFormat="1" ht="12.75">
      <c r="A54" s="39">
        <v>38868</v>
      </c>
      <c r="B54" s="40">
        <v>102381</v>
      </c>
      <c r="C54" s="34">
        <v>54</v>
      </c>
      <c r="D54" s="34">
        <v>1787</v>
      </c>
      <c r="E54" s="71">
        <f t="shared" si="8"/>
        <v>104222</v>
      </c>
      <c r="F54" s="568">
        <v>35386</v>
      </c>
      <c r="G54" s="569">
        <v>701</v>
      </c>
      <c r="H54" s="569">
        <v>3642</v>
      </c>
      <c r="I54" s="569">
        <v>165</v>
      </c>
      <c r="J54" s="570">
        <v>2038</v>
      </c>
      <c r="K54" s="74">
        <f t="shared" si="9"/>
        <v>41932</v>
      </c>
      <c r="L54" s="217">
        <f t="shared" si="7"/>
        <v>-78880</v>
      </c>
    </row>
    <row r="55" spans="1:12" ht="13.5" thickBot="1">
      <c r="A55" s="182">
        <v>38898</v>
      </c>
      <c r="B55" s="186">
        <v>105749</v>
      </c>
      <c r="C55" s="185">
        <v>90</v>
      </c>
      <c r="D55" s="185">
        <v>2477</v>
      </c>
      <c r="E55" s="194">
        <f t="shared" si="8"/>
        <v>108316</v>
      </c>
      <c r="F55" s="571">
        <v>35180</v>
      </c>
      <c r="G55" s="45">
        <v>501</v>
      </c>
      <c r="H55" s="45">
        <v>2994</v>
      </c>
      <c r="I55" s="45">
        <v>775</v>
      </c>
      <c r="J55" s="45">
        <v>2038</v>
      </c>
      <c r="K55" s="580">
        <f t="shared" si="9"/>
        <v>41488</v>
      </c>
      <c r="L55" s="85">
        <f t="shared" si="7"/>
        <v>-72148</v>
      </c>
    </row>
    <row r="56" spans="1:12" ht="12.75">
      <c r="A56" s="37">
        <v>38929</v>
      </c>
      <c r="B56" s="40">
        <v>100286</v>
      </c>
      <c r="C56" s="34">
        <v>118</v>
      </c>
      <c r="D56" s="34">
        <v>2385</v>
      </c>
      <c r="E56" s="71">
        <f t="shared" si="8"/>
        <v>102789</v>
      </c>
      <c r="F56" s="46">
        <v>14448</v>
      </c>
      <c r="G56" s="34">
        <v>231</v>
      </c>
      <c r="H56" s="34">
        <v>832</v>
      </c>
      <c r="I56" s="34">
        <v>775</v>
      </c>
      <c r="J56" s="34">
        <v>2037</v>
      </c>
      <c r="K56" s="74">
        <f t="shared" si="9"/>
        <v>18323</v>
      </c>
      <c r="L56" s="573">
        <f t="shared" si="7"/>
        <v>-67216</v>
      </c>
    </row>
    <row r="57" spans="1:12" ht="12.75">
      <c r="A57" s="39">
        <v>38960</v>
      </c>
      <c r="B57" s="40">
        <v>94211</v>
      </c>
      <c r="C57" s="34">
        <v>123</v>
      </c>
      <c r="D57" s="34">
        <v>2978</v>
      </c>
      <c r="E57" s="71">
        <f t="shared" si="8"/>
        <v>97312</v>
      </c>
      <c r="F57" s="46">
        <v>32260</v>
      </c>
      <c r="G57" s="34">
        <v>466</v>
      </c>
      <c r="H57" s="34">
        <v>236</v>
      </c>
      <c r="I57" s="34">
        <v>608</v>
      </c>
      <c r="J57" s="34">
        <v>2106</v>
      </c>
      <c r="K57" s="74">
        <f t="shared" si="9"/>
        <v>35676</v>
      </c>
      <c r="L57" s="82">
        <f t="shared" si="7"/>
        <v>-72235</v>
      </c>
    </row>
    <row r="58" spans="1:12" ht="12.75">
      <c r="A58" s="37">
        <v>38990</v>
      </c>
      <c r="B58" s="40">
        <v>91903</v>
      </c>
      <c r="C58" s="34">
        <v>96</v>
      </c>
      <c r="D58" s="34">
        <v>1941</v>
      </c>
      <c r="E58" s="71">
        <f t="shared" si="8"/>
        <v>93940</v>
      </c>
      <c r="F58" s="46">
        <v>30541</v>
      </c>
      <c r="G58" s="34">
        <v>517</v>
      </c>
      <c r="H58" s="34">
        <v>335</v>
      </c>
      <c r="I58" s="34">
        <v>619</v>
      </c>
      <c r="J58" s="34">
        <v>462</v>
      </c>
      <c r="K58" s="74">
        <f t="shared" si="9"/>
        <v>32474</v>
      </c>
      <c r="L58" s="82">
        <f t="shared" si="7"/>
        <v>-69838</v>
      </c>
    </row>
    <row r="59" spans="1:12" ht="12.75">
      <c r="A59" s="39">
        <v>39021</v>
      </c>
      <c r="B59" s="40">
        <v>90610</v>
      </c>
      <c r="C59" s="34">
        <v>76</v>
      </c>
      <c r="D59" s="34">
        <v>944</v>
      </c>
      <c r="E59" s="71">
        <f t="shared" si="8"/>
        <v>91630</v>
      </c>
      <c r="F59" s="46">
        <v>28427</v>
      </c>
      <c r="G59" s="34">
        <v>214</v>
      </c>
      <c r="H59" s="34">
        <v>113</v>
      </c>
      <c r="I59" s="34">
        <v>505</v>
      </c>
      <c r="J59" s="34">
        <v>378</v>
      </c>
      <c r="K59" s="74">
        <f t="shared" si="9"/>
        <v>29637</v>
      </c>
      <c r="L59" s="82">
        <f t="shared" si="7"/>
        <v>-62296</v>
      </c>
    </row>
    <row r="60" spans="1:12" ht="12.75">
      <c r="A60" s="37">
        <v>39051</v>
      </c>
      <c r="B60" s="40">
        <v>95285</v>
      </c>
      <c r="C60" s="34">
        <v>207</v>
      </c>
      <c r="D60" s="34">
        <v>340</v>
      </c>
      <c r="E60" s="71">
        <f t="shared" si="8"/>
        <v>95832</v>
      </c>
      <c r="F60" s="46">
        <v>33369</v>
      </c>
      <c r="G60" s="34">
        <v>943</v>
      </c>
      <c r="H60" s="34">
        <v>93</v>
      </c>
      <c r="I60" s="34">
        <v>122</v>
      </c>
      <c r="J60" s="34">
        <v>382</v>
      </c>
      <c r="K60" s="74">
        <f t="shared" si="9"/>
        <v>34909</v>
      </c>
      <c r="L60" s="82">
        <f t="shared" si="7"/>
        <v>-58129</v>
      </c>
    </row>
    <row r="61" spans="1:13" ht="13.5" thickBot="1">
      <c r="A61" s="182">
        <v>39082</v>
      </c>
      <c r="B61" s="186">
        <v>96233</v>
      </c>
      <c r="C61" s="185">
        <v>48</v>
      </c>
      <c r="D61" s="185">
        <v>646</v>
      </c>
      <c r="E61" s="72">
        <f t="shared" si="8"/>
        <v>96927</v>
      </c>
      <c r="F61" s="184">
        <v>34819</v>
      </c>
      <c r="G61" s="185">
        <v>778</v>
      </c>
      <c r="H61" s="185">
        <v>52</v>
      </c>
      <c r="I61" s="185">
        <v>27</v>
      </c>
      <c r="J61" s="185">
        <v>37</v>
      </c>
      <c r="K61" s="75">
        <f>SUM(F61:J61)</f>
        <v>35713</v>
      </c>
      <c r="L61" s="577">
        <f>+E61-E42-L42</f>
        <v>-19675</v>
      </c>
      <c r="M61" s="560"/>
    </row>
    <row r="62" ht="3.75" customHeight="1"/>
    <row r="63" ht="15.75" customHeight="1"/>
    <row r="64" ht="15.75" customHeight="1"/>
    <row r="65" ht="15" customHeight="1"/>
    <row r="68" ht="0.75" customHeight="1"/>
    <row r="69" spans="1:12" ht="18" customHeight="1" thickBot="1">
      <c r="A69" s="16" t="s">
        <v>68</v>
      </c>
      <c r="L69" s="167" t="s">
        <v>15</v>
      </c>
    </row>
    <row r="70" spans="1:12" ht="12.75" customHeight="1">
      <c r="A70" s="1427" t="s">
        <v>13</v>
      </c>
      <c r="B70" s="1428"/>
      <c r="C70" s="1429"/>
      <c r="D70" s="1595" t="s">
        <v>27</v>
      </c>
      <c r="E70" s="1386"/>
      <c r="F70" s="1387"/>
      <c r="G70" s="1386" t="s">
        <v>137</v>
      </c>
      <c r="H70" s="1386"/>
      <c r="I70" s="1387"/>
      <c r="J70" s="1595" t="s">
        <v>248</v>
      </c>
      <c r="K70" s="1386"/>
      <c r="L70" s="1387"/>
    </row>
    <row r="71" spans="1:12" ht="30.75" customHeight="1" thickBot="1">
      <c r="A71" s="1430"/>
      <c r="B71" s="1431"/>
      <c r="C71" s="1266"/>
      <c r="D71" s="581" t="s">
        <v>65</v>
      </c>
      <c r="E71" s="87" t="s">
        <v>66</v>
      </c>
      <c r="F71" s="88" t="s">
        <v>67</v>
      </c>
      <c r="G71" s="582" t="s">
        <v>65</v>
      </c>
      <c r="H71" s="582" t="s">
        <v>66</v>
      </c>
      <c r="I71" s="583" t="s">
        <v>67</v>
      </c>
      <c r="J71" s="581" t="s">
        <v>65</v>
      </c>
      <c r="K71" s="87" t="s">
        <v>66</v>
      </c>
      <c r="L71" s="88" t="s">
        <v>67</v>
      </c>
    </row>
    <row r="72" spans="1:12" ht="20.25" customHeight="1">
      <c r="A72" s="1450" t="s">
        <v>62</v>
      </c>
      <c r="B72" s="1336"/>
      <c r="C72" s="1440"/>
      <c r="D72" s="584">
        <v>137.71</v>
      </c>
      <c r="E72" s="130">
        <v>55432808</v>
      </c>
      <c r="F72" s="89">
        <f aca="true" t="shared" si="10" ref="F72:F82">+IF(D72&gt;0,E72/D72/12,"")</f>
        <v>33544.40974995764</v>
      </c>
      <c r="G72" s="584">
        <v>140.62</v>
      </c>
      <c r="H72" s="585">
        <v>65135778</v>
      </c>
      <c r="I72" s="586">
        <v>38600.352012516</v>
      </c>
      <c r="J72" s="587">
        <v>145.14</v>
      </c>
      <c r="K72" s="130">
        <v>71503883</v>
      </c>
      <c r="L72" s="89">
        <f>+IF(J72&gt;0,K72/J72/12,"")</f>
        <v>41054.54675945065</v>
      </c>
    </row>
    <row r="73" spans="1:12" ht="20.25" customHeight="1">
      <c r="A73" s="1451" t="s">
        <v>63</v>
      </c>
      <c r="B73" s="1333"/>
      <c r="C73" s="1264"/>
      <c r="D73" s="588">
        <v>5.84</v>
      </c>
      <c r="E73" s="35">
        <v>1655725</v>
      </c>
      <c r="F73" s="51">
        <f t="shared" si="10"/>
        <v>23626.212899543378</v>
      </c>
      <c r="G73" s="588">
        <v>6</v>
      </c>
      <c r="H73" s="35">
        <v>2088938</v>
      </c>
      <c r="I73" s="51">
        <v>29013.027777777777</v>
      </c>
      <c r="J73" s="588">
        <v>5.86</v>
      </c>
      <c r="K73" s="35">
        <v>2311957</v>
      </c>
      <c r="L73" s="51">
        <f>+IF(J73&gt;0,K73/J73/12,"")</f>
        <v>32877.65927189988</v>
      </c>
    </row>
    <row r="74" spans="1:12" ht="20.25" customHeight="1">
      <c r="A74" s="1451" t="s">
        <v>93</v>
      </c>
      <c r="B74" s="1333"/>
      <c r="C74" s="1264"/>
      <c r="D74" s="588">
        <v>527.76</v>
      </c>
      <c r="E74" s="35">
        <v>102641455</v>
      </c>
      <c r="F74" s="51">
        <f t="shared" si="10"/>
        <v>16207.09144939619</v>
      </c>
      <c r="G74" s="588">
        <v>532.91</v>
      </c>
      <c r="H74" s="35">
        <v>108727090</v>
      </c>
      <c r="I74" s="51">
        <v>17002.103231940353</v>
      </c>
      <c r="J74" s="588">
        <v>529.58</v>
      </c>
      <c r="K74" s="35">
        <v>123655770</v>
      </c>
      <c r="L74" s="51">
        <f aca="true" t="shared" si="11" ref="L74:L81">+IF(J74&gt;0,K74/J74/12,"")</f>
        <v>19458.150798746174</v>
      </c>
    </row>
    <row r="75" spans="1:12" ht="20.25" customHeight="1">
      <c r="A75" s="1451" t="s">
        <v>92</v>
      </c>
      <c r="B75" s="1333"/>
      <c r="C75" s="1264"/>
      <c r="D75" s="588">
        <v>71.25</v>
      </c>
      <c r="E75" s="35">
        <v>14839822</v>
      </c>
      <c r="F75" s="51">
        <f t="shared" si="10"/>
        <v>17356.516959064327</v>
      </c>
      <c r="G75" s="588">
        <v>77.36</v>
      </c>
      <c r="H75" s="35">
        <v>16975261</v>
      </c>
      <c r="I75" s="51">
        <v>18286.001594277837</v>
      </c>
      <c r="J75" s="588">
        <v>71.29</v>
      </c>
      <c r="K75" s="35">
        <v>18725594</v>
      </c>
      <c r="L75" s="51">
        <f t="shared" si="11"/>
        <v>21888.990975826437</v>
      </c>
    </row>
    <row r="76" spans="1:12" ht="20.25" customHeight="1">
      <c r="A76" s="1451" t="s">
        <v>94</v>
      </c>
      <c r="B76" s="1333"/>
      <c r="C76" s="1264"/>
      <c r="D76" s="588">
        <v>23.8</v>
      </c>
      <c r="E76" s="35">
        <v>4019358</v>
      </c>
      <c r="F76" s="51">
        <f t="shared" si="10"/>
        <v>14073.382352941177</v>
      </c>
      <c r="G76" s="588">
        <v>22.31</v>
      </c>
      <c r="H76" s="35">
        <v>4134381</v>
      </c>
      <c r="I76" s="51">
        <v>15442.929179740027</v>
      </c>
      <c r="J76" s="588">
        <v>29.03</v>
      </c>
      <c r="K76" s="35">
        <v>6535790</v>
      </c>
      <c r="L76" s="51">
        <f t="shared" si="11"/>
        <v>18761.597198300606</v>
      </c>
    </row>
    <row r="77" spans="1:12" ht="20.25" customHeight="1">
      <c r="A77" s="1451" t="s">
        <v>95</v>
      </c>
      <c r="B77" s="1333"/>
      <c r="C77" s="1264"/>
      <c r="D77" s="588">
        <v>145.79</v>
      </c>
      <c r="E77" s="35">
        <v>18031838</v>
      </c>
      <c r="F77" s="51">
        <f t="shared" si="10"/>
        <v>10306.970071106844</v>
      </c>
      <c r="G77" s="588">
        <v>149.9</v>
      </c>
      <c r="H77" s="35">
        <v>20504240</v>
      </c>
      <c r="I77" s="51">
        <v>11398.84367356015</v>
      </c>
      <c r="J77" s="588">
        <v>146.55</v>
      </c>
      <c r="K77" s="35">
        <v>21777292</v>
      </c>
      <c r="L77" s="51">
        <f t="shared" si="11"/>
        <v>12383.311725235983</v>
      </c>
    </row>
    <row r="78" spans="1:12" ht="20.25" customHeight="1">
      <c r="A78" s="1451" t="s">
        <v>96</v>
      </c>
      <c r="B78" s="1333"/>
      <c r="C78" s="1264"/>
      <c r="D78" s="588">
        <v>1</v>
      </c>
      <c r="E78" s="35">
        <v>241122</v>
      </c>
      <c r="F78" s="51">
        <f t="shared" si="10"/>
        <v>20093.5</v>
      </c>
      <c r="G78" s="588">
        <v>0.9</v>
      </c>
      <c r="H78" s="35">
        <v>236755</v>
      </c>
      <c r="I78" s="51">
        <v>21921.75925925926</v>
      </c>
      <c r="J78" s="588"/>
      <c r="K78" s="35">
        <v>0</v>
      </c>
      <c r="L78" s="51">
        <f t="shared" si="11"/>
      </c>
    </row>
    <row r="79" spans="1:12" ht="13.5" customHeight="1">
      <c r="A79" s="1451" t="s">
        <v>97</v>
      </c>
      <c r="B79" s="1333"/>
      <c r="C79" s="1264"/>
      <c r="D79" s="588">
        <v>0</v>
      </c>
      <c r="E79" s="35">
        <v>0</v>
      </c>
      <c r="F79" s="51">
        <f t="shared" si="10"/>
      </c>
      <c r="G79" s="588"/>
      <c r="H79" s="35"/>
      <c r="I79" s="51" t="s">
        <v>192</v>
      </c>
      <c r="J79" s="588"/>
      <c r="K79" s="35">
        <v>0</v>
      </c>
      <c r="L79" s="51">
        <f t="shared" si="11"/>
      </c>
    </row>
    <row r="80" spans="1:12" ht="20.25" customHeight="1">
      <c r="A80" s="1451" t="s">
        <v>64</v>
      </c>
      <c r="B80" s="1333"/>
      <c r="C80" s="1264"/>
      <c r="D80" s="588">
        <v>79.05</v>
      </c>
      <c r="E80" s="34">
        <v>13933044</v>
      </c>
      <c r="F80" s="51">
        <f t="shared" si="10"/>
        <v>14688.00759013283</v>
      </c>
      <c r="G80" s="588">
        <v>75.71</v>
      </c>
      <c r="H80" s="34">
        <v>14598747</v>
      </c>
      <c r="I80" s="51">
        <v>16068.712851670849</v>
      </c>
      <c r="J80" s="588">
        <v>67.99</v>
      </c>
      <c r="K80" s="34">
        <v>13850353</v>
      </c>
      <c r="L80" s="51">
        <f t="shared" si="11"/>
        <v>16975.96827964897</v>
      </c>
    </row>
    <row r="81" spans="1:12" ht="20.25" customHeight="1" thickBot="1">
      <c r="A81" s="1481" t="s">
        <v>98</v>
      </c>
      <c r="B81" s="1482"/>
      <c r="C81" s="1483"/>
      <c r="D81" s="589">
        <v>137.07</v>
      </c>
      <c r="E81" s="130">
        <v>15735439</v>
      </c>
      <c r="F81" s="89">
        <f t="shared" si="10"/>
        <v>9566.546898178547</v>
      </c>
      <c r="G81" s="589">
        <v>124.78</v>
      </c>
      <c r="H81" s="45">
        <v>15019135</v>
      </c>
      <c r="I81" s="590">
        <v>10030.4101885986</v>
      </c>
      <c r="J81" s="589">
        <v>119.59</v>
      </c>
      <c r="K81" s="45">
        <v>15516896</v>
      </c>
      <c r="L81" s="51">
        <f t="shared" si="11"/>
        <v>10812.565153162193</v>
      </c>
    </row>
    <row r="82" spans="1:13" s="24" customFormat="1" ht="22.5" customHeight="1" thickBot="1">
      <c r="A82" s="1484" t="s">
        <v>24</v>
      </c>
      <c r="B82" s="1485"/>
      <c r="C82" s="1486"/>
      <c r="D82" s="591">
        <f>SUM(D72:D81)</f>
        <v>1129.2699999999998</v>
      </c>
      <c r="E82" s="36">
        <f>SUM(E72:E81)</f>
        <v>226530611</v>
      </c>
      <c r="F82" s="86">
        <f t="shared" si="10"/>
        <v>16716.596488587027</v>
      </c>
      <c r="G82" s="592">
        <f>SUM(G72:G81)</f>
        <v>1130.49</v>
      </c>
      <c r="H82" s="36">
        <f>SUM(H72:H81)</f>
        <v>247420325</v>
      </c>
      <c r="I82" s="86">
        <f>+IF(G82&gt;0,H82/G82/12,"")</f>
        <v>18238.4279530705</v>
      </c>
      <c r="J82" s="592">
        <f>SUM(J72:J81)</f>
        <v>1115.03</v>
      </c>
      <c r="K82" s="36">
        <f>SUM(K72:K81)</f>
        <v>273877535</v>
      </c>
      <c r="L82" s="86">
        <f>+IF(J82&gt;0,K82/J82/12,"")</f>
        <v>20468.62229416847</v>
      </c>
      <c r="M82"/>
    </row>
    <row r="83" ht="6.75" customHeight="1"/>
    <row r="84" spans="1:12" ht="12.75" customHeight="1">
      <c r="A84" s="1523" t="s">
        <v>289</v>
      </c>
      <c r="B84" s="1524"/>
      <c r="C84" s="1524"/>
      <c r="D84" s="1524"/>
      <c r="E84" s="1524"/>
      <c r="F84" s="1524"/>
      <c r="G84" s="1524"/>
      <c r="H84" s="1524"/>
      <c r="I84" s="1524"/>
      <c r="J84" s="1524"/>
      <c r="K84" s="1524"/>
      <c r="L84" s="1573"/>
    </row>
    <row r="85" spans="1:12" ht="12.75">
      <c r="A85" s="1526"/>
      <c r="B85" s="1527"/>
      <c r="C85" s="1527"/>
      <c r="D85" s="1527"/>
      <c r="E85" s="1527"/>
      <c r="F85" s="1527"/>
      <c r="G85" s="1527"/>
      <c r="H85" s="1527"/>
      <c r="I85" s="1527"/>
      <c r="J85" s="1527"/>
      <c r="K85" s="1527"/>
      <c r="L85" s="1574"/>
    </row>
    <row r="86" spans="1:12" ht="12.75">
      <c r="A86" s="1529"/>
      <c r="B86" s="1530"/>
      <c r="C86" s="1530"/>
      <c r="D86" s="1530"/>
      <c r="E86" s="1530"/>
      <c r="F86" s="1530"/>
      <c r="G86" s="1530"/>
      <c r="H86" s="1530"/>
      <c r="I86" s="1530"/>
      <c r="J86" s="1530"/>
      <c r="K86" s="1530"/>
      <c r="L86" s="1575"/>
    </row>
    <row r="89" spans="1:9" ht="16.5" thickBot="1">
      <c r="A89" s="16" t="s">
        <v>91</v>
      </c>
      <c r="B89" s="90"/>
      <c r="C89" s="90"/>
      <c r="D89" s="90"/>
      <c r="E89" s="90"/>
      <c r="F89" s="90"/>
      <c r="G89" s="90"/>
      <c r="H89" s="90"/>
      <c r="I89" s="90"/>
    </row>
    <row r="90" spans="1:12" ht="13.5" thickBot="1">
      <c r="A90" s="1576" t="s">
        <v>69</v>
      </c>
      <c r="B90" s="1577"/>
      <c r="C90" s="1580" t="s">
        <v>70</v>
      </c>
      <c r="D90" s="1581"/>
      <c r="E90" s="1581"/>
      <c r="F90" s="1581"/>
      <c r="G90" s="1582"/>
      <c r="H90" s="1580" t="s">
        <v>71</v>
      </c>
      <c r="I90" s="1581"/>
      <c r="J90" s="1581"/>
      <c r="K90" s="1581"/>
      <c r="L90" s="1582"/>
    </row>
    <row r="91" spans="1:12" ht="13.5" thickBot="1">
      <c r="A91" s="1578"/>
      <c r="B91" s="1579"/>
      <c r="C91" s="1">
        <v>2003</v>
      </c>
      <c r="D91" s="10">
        <v>2004</v>
      </c>
      <c r="E91" s="10">
        <v>2005</v>
      </c>
      <c r="F91" s="10">
        <v>2006</v>
      </c>
      <c r="G91" s="92" t="s">
        <v>72</v>
      </c>
      <c r="H91" s="91">
        <v>2003</v>
      </c>
      <c r="I91" s="10">
        <v>2004</v>
      </c>
      <c r="J91" s="10">
        <v>2005</v>
      </c>
      <c r="K91" s="10">
        <v>2006</v>
      </c>
      <c r="L91" s="156" t="s">
        <v>72</v>
      </c>
    </row>
    <row r="92" spans="1:12" ht="12.75">
      <c r="A92" s="1571" t="s">
        <v>73</v>
      </c>
      <c r="B92" s="1572"/>
      <c r="C92" s="93">
        <v>124</v>
      </c>
      <c r="D92" s="95">
        <v>124</v>
      </c>
      <c r="E92" s="241">
        <v>124</v>
      </c>
      <c r="F92" s="241">
        <v>124</v>
      </c>
      <c r="G92" s="94">
        <f aca="true" t="shared" si="12" ref="G92:G110">+F92-D92</f>
        <v>0</v>
      </c>
      <c r="H92" s="96">
        <v>79.9</v>
      </c>
      <c r="I92" s="97">
        <v>82.34</v>
      </c>
      <c r="J92" s="593">
        <v>73.98854238648269</v>
      </c>
      <c r="K92" s="843">
        <v>67.41</v>
      </c>
      <c r="L92" s="110">
        <f>+K92-J92</f>
        <v>-6.578542386482695</v>
      </c>
    </row>
    <row r="93" spans="1:12" ht="12.75">
      <c r="A93" s="1564" t="s">
        <v>74</v>
      </c>
      <c r="B93" s="1264"/>
      <c r="C93" s="99">
        <v>40</v>
      </c>
      <c r="D93" s="100">
        <v>40</v>
      </c>
      <c r="E93" s="242">
        <v>40</v>
      </c>
      <c r="F93" s="242">
        <v>40</v>
      </c>
      <c r="G93" s="94">
        <f t="shared" si="12"/>
        <v>0</v>
      </c>
      <c r="H93" s="101">
        <v>79.1</v>
      </c>
      <c r="I93" s="97">
        <v>70.56</v>
      </c>
      <c r="J93" s="594">
        <v>62.690677966101696</v>
      </c>
      <c r="K93" s="844">
        <v>55.6</v>
      </c>
      <c r="L93" s="111">
        <f>+K93-J93</f>
        <v>-7.090677966101694</v>
      </c>
    </row>
    <row r="94" spans="1:12" ht="12.75">
      <c r="A94" s="1564" t="s">
        <v>75</v>
      </c>
      <c r="B94" s="1264"/>
      <c r="C94" s="99">
        <v>30</v>
      </c>
      <c r="D94" s="100">
        <v>30</v>
      </c>
      <c r="E94" s="242">
        <v>30</v>
      </c>
      <c r="F94" s="242">
        <v>30</v>
      </c>
      <c r="G94" s="94">
        <f t="shared" si="12"/>
        <v>0</v>
      </c>
      <c r="H94" s="101">
        <v>77.4</v>
      </c>
      <c r="I94" s="97">
        <v>85.97</v>
      </c>
      <c r="J94" s="594">
        <v>69.00469483568075</v>
      </c>
      <c r="K94" s="844">
        <v>65.231</v>
      </c>
      <c r="L94" s="111">
        <f aca="true" t="shared" si="13" ref="L94:L108">+K94-J94</f>
        <v>-3.7736948356807574</v>
      </c>
    </row>
    <row r="95" spans="1:12" ht="12.75" customHeight="1">
      <c r="A95" s="1564" t="s">
        <v>76</v>
      </c>
      <c r="B95" s="1264"/>
      <c r="C95" s="99">
        <v>47</v>
      </c>
      <c r="D95" s="100">
        <v>50</v>
      </c>
      <c r="E95" s="242">
        <v>50</v>
      </c>
      <c r="F95" s="242">
        <v>50</v>
      </c>
      <c r="G95" s="94">
        <f t="shared" si="12"/>
        <v>0</v>
      </c>
      <c r="H95" s="101">
        <v>85.7</v>
      </c>
      <c r="I95" s="97">
        <v>99.45</v>
      </c>
      <c r="J95" s="594">
        <v>97.21103742302226</v>
      </c>
      <c r="K95" s="844">
        <v>79.47</v>
      </c>
      <c r="L95" s="111">
        <f t="shared" si="13"/>
        <v>-17.741037423022263</v>
      </c>
    </row>
    <row r="96" spans="1:12" ht="12.75">
      <c r="A96" s="1564" t="s">
        <v>77</v>
      </c>
      <c r="B96" s="1264"/>
      <c r="C96" s="118"/>
      <c r="D96" s="100"/>
      <c r="E96" s="242"/>
      <c r="F96" s="242"/>
      <c r="G96" s="94">
        <f t="shared" si="12"/>
        <v>0</v>
      </c>
      <c r="H96" s="101"/>
      <c r="I96" s="97"/>
      <c r="J96" s="594"/>
      <c r="K96" s="844">
        <v>0</v>
      </c>
      <c r="L96" s="111">
        <f t="shared" si="13"/>
        <v>0</v>
      </c>
    </row>
    <row r="97" spans="1:12" ht="12.75">
      <c r="A97" s="1564" t="s">
        <v>78</v>
      </c>
      <c r="B97" s="1264"/>
      <c r="C97" s="99">
        <v>66</v>
      </c>
      <c r="D97" s="100">
        <v>66</v>
      </c>
      <c r="E97" s="242">
        <v>66</v>
      </c>
      <c r="F97" s="242">
        <v>66</v>
      </c>
      <c r="G97" s="94">
        <f t="shared" si="12"/>
        <v>0</v>
      </c>
      <c r="H97" s="101">
        <v>86.5</v>
      </c>
      <c r="I97" s="97">
        <v>94</v>
      </c>
      <c r="J97" s="594">
        <v>98.4274898078043</v>
      </c>
      <c r="K97" s="844">
        <v>94.93</v>
      </c>
      <c r="L97" s="111">
        <f t="shared" si="13"/>
        <v>-3.4974898078042997</v>
      </c>
    </row>
    <row r="98" spans="1:12" ht="12.75">
      <c r="A98" s="1564" t="s">
        <v>79</v>
      </c>
      <c r="B98" s="1264"/>
      <c r="C98" s="99">
        <v>54</v>
      </c>
      <c r="D98" s="100">
        <v>60</v>
      </c>
      <c r="E98" s="242">
        <v>60</v>
      </c>
      <c r="F98" s="242">
        <v>60</v>
      </c>
      <c r="G98" s="94">
        <f t="shared" si="12"/>
        <v>0</v>
      </c>
      <c r="H98" s="101">
        <v>66.1</v>
      </c>
      <c r="I98" s="97">
        <v>71.43</v>
      </c>
      <c r="J98" s="594">
        <v>78.95365504061157</v>
      </c>
      <c r="K98" s="844">
        <v>65.2</v>
      </c>
      <c r="L98" s="111">
        <f t="shared" si="13"/>
        <v>-13.753655040611562</v>
      </c>
    </row>
    <row r="99" spans="1:12" ht="12.75">
      <c r="A99" s="1564" t="s">
        <v>80</v>
      </c>
      <c r="B99" s="1264"/>
      <c r="C99" s="99">
        <v>107</v>
      </c>
      <c r="D99" s="100">
        <v>107</v>
      </c>
      <c r="E99" s="242">
        <v>107</v>
      </c>
      <c r="F99" s="242">
        <v>107</v>
      </c>
      <c r="G99" s="94">
        <f t="shared" si="12"/>
        <v>0</v>
      </c>
      <c r="H99" s="101">
        <v>84.8</v>
      </c>
      <c r="I99" s="97">
        <v>86.17</v>
      </c>
      <c r="J99" s="594">
        <v>84.56567580436705</v>
      </c>
      <c r="K99" s="844">
        <v>69.6</v>
      </c>
      <c r="L99" s="111">
        <f t="shared" si="13"/>
        <v>-14.965675804367052</v>
      </c>
    </row>
    <row r="100" spans="1:12" ht="12.75">
      <c r="A100" s="1564" t="s">
        <v>81</v>
      </c>
      <c r="B100" s="1264"/>
      <c r="C100" s="99">
        <v>5</v>
      </c>
      <c r="D100" s="100">
        <v>5</v>
      </c>
      <c r="E100" s="242">
        <v>5</v>
      </c>
      <c r="F100" s="242">
        <v>5</v>
      </c>
      <c r="G100" s="94">
        <f t="shared" si="12"/>
        <v>0</v>
      </c>
      <c r="H100" s="101">
        <v>83.3</v>
      </c>
      <c r="I100" s="97">
        <v>88.03</v>
      </c>
      <c r="J100" s="594">
        <v>88.76712328767124</v>
      </c>
      <c r="K100" s="844">
        <v>79.89</v>
      </c>
      <c r="L100" s="111">
        <f t="shared" si="13"/>
        <v>-8.877123287671239</v>
      </c>
    </row>
    <row r="101" spans="1:12" ht="12.75">
      <c r="A101" s="1564" t="s">
        <v>82</v>
      </c>
      <c r="B101" s="1264"/>
      <c r="C101" s="99">
        <v>20</v>
      </c>
      <c r="D101" s="100">
        <v>26</v>
      </c>
      <c r="E101" s="242">
        <v>26</v>
      </c>
      <c r="F101" s="242">
        <v>26</v>
      </c>
      <c r="G101" s="94">
        <f t="shared" si="12"/>
        <v>0</v>
      </c>
      <c r="H101" s="101">
        <v>100</v>
      </c>
      <c r="I101" s="97">
        <v>106.73</v>
      </c>
      <c r="J101" s="594">
        <v>106.8169014084507</v>
      </c>
      <c r="K101" s="844">
        <v>88.44</v>
      </c>
      <c r="L101" s="111">
        <f t="shared" si="13"/>
        <v>-18.376901408450706</v>
      </c>
    </row>
    <row r="102" spans="1:12" ht="12.75">
      <c r="A102" s="1564" t="s">
        <v>83</v>
      </c>
      <c r="B102" s="1264"/>
      <c r="C102" s="99">
        <v>17</v>
      </c>
      <c r="D102" s="100">
        <v>20</v>
      </c>
      <c r="E102" s="242">
        <v>20</v>
      </c>
      <c r="F102" s="242">
        <v>20</v>
      </c>
      <c r="G102" s="94">
        <f t="shared" si="12"/>
        <v>0</v>
      </c>
      <c r="H102" s="101">
        <v>76.7</v>
      </c>
      <c r="I102" s="97">
        <v>74.24</v>
      </c>
      <c r="J102" s="594">
        <v>74.80337078651685</v>
      </c>
      <c r="K102" s="844">
        <v>53.99</v>
      </c>
      <c r="L102" s="111">
        <f t="shared" si="13"/>
        <v>-20.81337078651685</v>
      </c>
    </row>
    <row r="103" spans="1:12" ht="12.75">
      <c r="A103" s="1564" t="s">
        <v>84</v>
      </c>
      <c r="B103" s="1264"/>
      <c r="C103" s="99">
        <v>30</v>
      </c>
      <c r="D103" s="100">
        <v>30</v>
      </c>
      <c r="E103" s="242">
        <v>30</v>
      </c>
      <c r="F103" s="242">
        <v>30</v>
      </c>
      <c r="G103" s="94">
        <f t="shared" si="12"/>
        <v>0</v>
      </c>
      <c r="H103" s="101">
        <v>86.6</v>
      </c>
      <c r="I103" s="97">
        <v>79.36</v>
      </c>
      <c r="J103" s="594">
        <v>73.1324200913242</v>
      </c>
      <c r="K103" s="844">
        <v>66.58</v>
      </c>
      <c r="L103" s="111">
        <f t="shared" si="13"/>
        <v>-6.552420091324208</v>
      </c>
    </row>
    <row r="104" spans="1:12" ht="12.75">
      <c r="A104" s="1564" t="s">
        <v>85</v>
      </c>
      <c r="B104" s="1264"/>
      <c r="C104" s="99">
        <v>20</v>
      </c>
      <c r="D104" s="100">
        <v>20</v>
      </c>
      <c r="E104" s="242">
        <v>20</v>
      </c>
      <c r="F104" s="242">
        <v>20</v>
      </c>
      <c r="G104" s="94">
        <f t="shared" si="12"/>
        <v>0</v>
      </c>
      <c r="H104" s="101">
        <v>76.5</v>
      </c>
      <c r="I104" s="97">
        <v>82.21</v>
      </c>
      <c r="J104" s="594">
        <v>85.50964187327824</v>
      </c>
      <c r="K104" s="844">
        <v>68.28</v>
      </c>
      <c r="L104" s="111">
        <f t="shared" si="13"/>
        <v>-17.22964187327824</v>
      </c>
    </row>
    <row r="105" spans="1:12" ht="12.75">
      <c r="A105" s="1564" t="s">
        <v>86</v>
      </c>
      <c r="B105" s="1264"/>
      <c r="C105" s="99">
        <v>20</v>
      </c>
      <c r="D105" s="100">
        <v>20</v>
      </c>
      <c r="E105" s="242">
        <v>20</v>
      </c>
      <c r="F105" s="242">
        <v>20</v>
      </c>
      <c r="G105" s="94">
        <f t="shared" si="12"/>
        <v>0</v>
      </c>
      <c r="H105" s="101">
        <v>77.6</v>
      </c>
      <c r="I105" s="97">
        <v>77.98</v>
      </c>
      <c r="J105" s="594">
        <v>74.92937853107344</v>
      </c>
      <c r="K105" s="844">
        <v>70.87</v>
      </c>
      <c r="L105" s="111">
        <f t="shared" si="13"/>
        <v>-4.059378531073435</v>
      </c>
    </row>
    <row r="106" spans="1:12" ht="12.75" customHeight="1">
      <c r="A106" s="1564" t="s">
        <v>87</v>
      </c>
      <c r="B106" s="1264"/>
      <c r="C106" s="99">
        <v>52</v>
      </c>
      <c r="D106" s="100">
        <v>52</v>
      </c>
      <c r="E106" s="242">
        <v>52</v>
      </c>
      <c r="F106" s="242">
        <v>52</v>
      </c>
      <c r="G106" s="94">
        <f t="shared" si="12"/>
        <v>0</v>
      </c>
      <c r="H106" s="101">
        <v>73.8</v>
      </c>
      <c r="I106" s="97">
        <v>83.05</v>
      </c>
      <c r="J106" s="594">
        <v>79.5857356395473</v>
      </c>
      <c r="K106" s="844">
        <v>77.81</v>
      </c>
      <c r="L106" s="111">
        <f t="shared" si="13"/>
        <v>-1.7757356395472925</v>
      </c>
    </row>
    <row r="107" spans="1:12" ht="12.75" customHeight="1">
      <c r="A107" s="1564" t="s">
        <v>88</v>
      </c>
      <c r="B107" s="1264"/>
      <c r="C107" s="99">
        <v>20</v>
      </c>
      <c r="D107" s="100">
        <v>20</v>
      </c>
      <c r="E107" s="242">
        <v>20</v>
      </c>
      <c r="F107" s="242">
        <v>20</v>
      </c>
      <c r="G107" s="94">
        <f t="shared" si="12"/>
        <v>0</v>
      </c>
      <c r="H107" s="101">
        <v>85</v>
      </c>
      <c r="I107" s="97">
        <v>88.48</v>
      </c>
      <c r="J107" s="594">
        <v>86.0923076923077</v>
      </c>
      <c r="K107" s="844">
        <v>76.08</v>
      </c>
      <c r="L107" s="111">
        <f t="shared" si="13"/>
        <v>-10.0123076923077</v>
      </c>
    </row>
    <row r="108" spans="1:12" ht="12.75" customHeight="1">
      <c r="A108" s="1564" t="s">
        <v>89</v>
      </c>
      <c r="B108" s="1264"/>
      <c r="C108" s="99">
        <v>88</v>
      </c>
      <c r="D108" s="100">
        <v>88</v>
      </c>
      <c r="E108" s="242">
        <v>88</v>
      </c>
      <c r="F108" s="242">
        <v>88</v>
      </c>
      <c r="G108" s="94">
        <f t="shared" si="12"/>
        <v>0</v>
      </c>
      <c r="H108" s="101">
        <v>84.3</v>
      </c>
      <c r="I108" s="97">
        <v>85.64</v>
      </c>
      <c r="J108" s="594">
        <v>80.971919476856</v>
      </c>
      <c r="K108" s="844">
        <v>81.58</v>
      </c>
      <c r="L108" s="111">
        <f t="shared" si="13"/>
        <v>0.6080805231439967</v>
      </c>
    </row>
    <row r="109" spans="1:12" ht="13.5" customHeight="1" thickBot="1">
      <c r="A109" s="1565" t="s">
        <v>90</v>
      </c>
      <c r="B109" s="1483"/>
      <c r="C109" s="119"/>
      <c r="D109" s="104"/>
      <c r="E109" s="243"/>
      <c r="F109" s="243"/>
      <c r="G109" s="114">
        <f t="shared" si="12"/>
        <v>0</v>
      </c>
      <c r="H109" s="105"/>
      <c r="I109" s="595"/>
      <c r="J109" s="596"/>
      <c r="K109" s="845">
        <v>0</v>
      </c>
      <c r="L109" s="112"/>
    </row>
    <row r="110" spans="1:12" ht="13.5" thickBot="1">
      <c r="A110" s="1566" t="s">
        <v>24</v>
      </c>
      <c r="B110" s="1534"/>
      <c r="C110" s="120">
        <f>SUM(C92:C109)</f>
        <v>740</v>
      </c>
      <c r="D110" s="107">
        <f>SUM(D92:D109)</f>
        <v>758</v>
      </c>
      <c r="E110" s="107">
        <v>758</v>
      </c>
      <c r="F110" s="107">
        <f>SUM(F92:F109)</f>
        <v>758</v>
      </c>
      <c r="G110" s="597">
        <f t="shared" si="12"/>
        <v>0</v>
      </c>
      <c r="H110" s="108">
        <v>81.3</v>
      </c>
      <c r="I110" s="208">
        <v>84.57</v>
      </c>
      <c r="J110" s="598">
        <v>81.01</v>
      </c>
      <c r="K110" s="846">
        <v>73.3</v>
      </c>
      <c r="L110" s="113">
        <f>+K110-J110</f>
        <v>-7.710000000000008</v>
      </c>
    </row>
    <row r="112" spans="1:12" ht="12.75" customHeight="1">
      <c r="A112" s="1523" t="s">
        <v>290</v>
      </c>
      <c r="B112" s="1524"/>
      <c r="C112" s="1524"/>
      <c r="D112" s="1524"/>
      <c r="E112" s="1524"/>
      <c r="F112" s="1524"/>
      <c r="G112" s="1524"/>
      <c r="H112" s="1524"/>
      <c r="I112" s="1524"/>
      <c r="J112" s="1524"/>
      <c r="K112" s="1524"/>
      <c r="L112" s="1525"/>
    </row>
    <row r="113" spans="1:12" ht="12.75">
      <c r="A113" s="1526"/>
      <c r="B113" s="1527"/>
      <c r="C113" s="1527"/>
      <c r="D113" s="1527"/>
      <c r="E113" s="1527"/>
      <c r="F113" s="1527"/>
      <c r="G113" s="1527"/>
      <c r="H113" s="1527"/>
      <c r="I113" s="1527"/>
      <c r="J113" s="1527"/>
      <c r="K113" s="1527"/>
      <c r="L113" s="1528"/>
    </row>
    <row r="114" spans="1:12" ht="12.75">
      <c r="A114" s="1526"/>
      <c r="B114" s="1527"/>
      <c r="C114" s="1527"/>
      <c r="D114" s="1527"/>
      <c r="E114" s="1527"/>
      <c r="F114" s="1527"/>
      <c r="G114" s="1527"/>
      <c r="H114" s="1527"/>
      <c r="I114" s="1527"/>
      <c r="J114" s="1527"/>
      <c r="K114" s="1527"/>
      <c r="L114" s="1528"/>
    </row>
    <row r="115" spans="1:12" ht="12.75">
      <c r="A115" s="1529"/>
      <c r="B115" s="1530"/>
      <c r="C115" s="1530"/>
      <c r="D115" s="1530"/>
      <c r="E115" s="1530"/>
      <c r="F115" s="1530"/>
      <c r="G115" s="1530"/>
      <c r="H115" s="1530"/>
      <c r="I115" s="1530"/>
      <c r="J115" s="1530"/>
      <c r="K115" s="1530"/>
      <c r="L115" s="1531"/>
    </row>
    <row r="116" spans="1:12" ht="12.75">
      <c r="A116" s="54"/>
      <c r="B116" s="54"/>
      <c r="C116" s="54"/>
      <c r="D116" s="54"/>
      <c r="E116" s="54"/>
      <c r="F116" s="54"/>
      <c r="G116" s="54"/>
      <c r="H116" s="54"/>
      <c r="I116" s="54"/>
      <c r="J116" s="54"/>
      <c r="K116" s="54"/>
      <c r="L116" s="145"/>
    </row>
    <row r="117" spans="1:12" ht="16.5" thickBot="1">
      <c r="A117" s="16" t="s">
        <v>193</v>
      </c>
      <c r="L117" s="167" t="s">
        <v>15</v>
      </c>
    </row>
    <row r="118" spans="1:12" ht="24.75" customHeight="1" thickBot="1">
      <c r="A118" s="1365" t="s">
        <v>114</v>
      </c>
      <c r="B118" s="1366"/>
      <c r="C118" s="1366"/>
      <c r="D118" s="1366"/>
      <c r="E118" s="1435" t="s">
        <v>100</v>
      </c>
      <c r="F118" s="1436"/>
      <c r="G118" s="24"/>
      <c r="H118" s="1365" t="s">
        <v>115</v>
      </c>
      <c r="I118" s="1366"/>
      <c r="J118" s="1366"/>
      <c r="K118" s="1435" t="s">
        <v>100</v>
      </c>
      <c r="L118" s="1436"/>
    </row>
    <row r="119" spans="1:12" ht="21" customHeight="1">
      <c r="A119" s="1417" t="s">
        <v>194</v>
      </c>
      <c r="B119" s="1418"/>
      <c r="C119" s="1418"/>
      <c r="D119" s="1418"/>
      <c r="E119" s="1568">
        <v>1942689</v>
      </c>
      <c r="F119" s="1429"/>
      <c r="G119" s="144"/>
      <c r="H119" s="1417" t="s">
        <v>102</v>
      </c>
      <c r="I119" s="1418"/>
      <c r="J119" s="1418"/>
      <c r="K119" s="1437">
        <v>30390000</v>
      </c>
      <c r="L119" s="1438"/>
    </row>
    <row r="120" spans="1:12" ht="18.75" customHeight="1">
      <c r="A120" s="1419" t="s">
        <v>102</v>
      </c>
      <c r="B120" s="1420"/>
      <c r="C120" s="1420"/>
      <c r="D120" s="1420"/>
      <c r="E120" s="1421">
        <v>22410000</v>
      </c>
      <c r="F120" s="1264"/>
      <c r="G120" s="144"/>
      <c r="H120" s="1419" t="s">
        <v>103</v>
      </c>
      <c r="I120" s="1420"/>
      <c r="J120" s="1420"/>
      <c r="K120" s="1424">
        <v>2268595.83</v>
      </c>
      <c r="L120" s="1426"/>
    </row>
    <row r="121" spans="1:12" ht="18.75" customHeight="1">
      <c r="A121" s="1419" t="s">
        <v>103</v>
      </c>
      <c r="B121" s="1420"/>
      <c r="C121" s="1420"/>
      <c r="D121" s="1420"/>
      <c r="E121" s="1421">
        <v>865195.5</v>
      </c>
      <c r="F121" s="1264"/>
      <c r="G121" s="144"/>
      <c r="H121" s="1419" t="s">
        <v>124</v>
      </c>
      <c r="I121" s="1420"/>
      <c r="J121" s="1420"/>
      <c r="K121" s="1424"/>
      <c r="L121" s="1465"/>
    </row>
    <row r="122" spans="1:12" ht="18" customHeight="1">
      <c r="A122" s="1419" t="s">
        <v>104</v>
      </c>
      <c r="B122" s="1420"/>
      <c r="C122" s="1420"/>
      <c r="D122" s="1420"/>
      <c r="E122" s="1421">
        <v>38406</v>
      </c>
      <c r="F122" s="1264"/>
      <c r="G122" s="144"/>
      <c r="H122" s="1419" t="s">
        <v>195</v>
      </c>
      <c r="I122" s="1420"/>
      <c r="J122" s="1420"/>
      <c r="K122" s="1424"/>
      <c r="L122" s="1465"/>
    </row>
    <row r="123" spans="1:12" ht="16.5" customHeight="1">
      <c r="A123" s="1419" t="s">
        <v>123</v>
      </c>
      <c r="B123" s="1420"/>
      <c r="C123" s="1420"/>
      <c r="D123" s="1420"/>
      <c r="E123" s="1421">
        <v>3287</v>
      </c>
      <c r="F123" s="1264"/>
      <c r="G123" s="144"/>
      <c r="H123" s="1419" t="s">
        <v>196</v>
      </c>
      <c r="I123" s="1420"/>
      <c r="J123" s="1420"/>
      <c r="K123" s="1424"/>
      <c r="L123" s="1465"/>
    </row>
    <row r="124" spans="1:12" ht="18" customHeight="1">
      <c r="A124" s="1419" t="s">
        <v>197</v>
      </c>
      <c r="B124" s="1420"/>
      <c r="C124" s="1420"/>
      <c r="D124" s="1420"/>
      <c r="E124" s="1421"/>
      <c r="F124" s="1264"/>
      <c r="G124" s="24"/>
      <c r="H124" s="1419" t="s">
        <v>254</v>
      </c>
      <c r="I124" s="1420"/>
      <c r="J124" s="1420"/>
      <c r="K124" s="1424">
        <v>593000</v>
      </c>
      <c r="L124" s="1465"/>
    </row>
    <row r="125" spans="1:12" ht="18" customHeight="1">
      <c r="A125" s="1419" t="s">
        <v>198</v>
      </c>
      <c r="B125" s="1420"/>
      <c r="C125" s="1420"/>
      <c r="D125" s="1420"/>
      <c r="E125" s="1421"/>
      <c r="F125" s="1264"/>
      <c r="G125" s="24"/>
      <c r="H125" s="1419"/>
      <c r="I125" s="1420"/>
      <c r="J125" s="1420"/>
      <c r="K125" s="1424"/>
      <c r="L125" s="1465"/>
    </row>
    <row r="126" spans="1:12" ht="21.75" customHeight="1" thickBot="1">
      <c r="A126" s="1422" t="s">
        <v>106</v>
      </c>
      <c r="B126" s="1423"/>
      <c r="C126" s="1423"/>
      <c r="D126" s="1423"/>
      <c r="E126" s="1567">
        <f>SUM(E119:F125)</f>
        <v>25259577.5</v>
      </c>
      <c r="F126" s="1266"/>
      <c r="G126" s="24"/>
      <c r="H126" s="1422" t="s">
        <v>107</v>
      </c>
      <c r="I126" s="1423"/>
      <c r="J126" s="1423"/>
      <c r="K126" s="1415">
        <f>SUM(K119:L125)</f>
        <v>33251595.83</v>
      </c>
      <c r="L126" s="1416"/>
    </row>
    <row r="127" spans="1:12" ht="12.75">
      <c r="A127" s="54"/>
      <c r="B127" s="54"/>
      <c r="C127" s="54"/>
      <c r="D127" s="54"/>
      <c r="E127" s="54"/>
      <c r="F127" s="54"/>
      <c r="G127" s="54"/>
      <c r="H127" s="54"/>
      <c r="I127" s="54"/>
      <c r="J127" s="54"/>
      <c r="K127" s="54"/>
      <c r="L127" s="145"/>
    </row>
    <row r="128" spans="1:10" ht="12.75">
      <c r="A128" s="153"/>
      <c r="B128" s="599"/>
      <c r="E128" s="599"/>
      <c r="F128" s="599"/>
      <c r="G128" s="599"/>
      <c r="H128" s="153"/>
      <c r="I128" s="153"/>
      <c r="J128" s="153"/>
    </row>
    <row r="129" spans="1:12" ht="12.75" customHeight="1">
      <c r="A129" s="1523" t="s">
        <v>291</v>
      </c>
      <c r="B129" s="1524"/>
      <c r="C129" s="1524"/>
      <c r="D129" s="1524"/>
      <c r="E129" s="1524"/>
      <c r="F129" s="1524"/>
      <c r="G129" s="1524"/>
      <c r="H129" s="1524"/>
      <c r="I129" s="1524"/>
      <c r="J129" s="1524"/>
      <c r="K129" s="1524"/>
      <c r="L129" s="1525"/>
    </row>
    <row r="130" spans="1:12" ht="12.75">
      <c r="A130" s="1526"/>
      <c r="B130" s="1527"/>
      <c r="C130" s="1527"/>
      <c r="D130" s="1527"/>
      <c r="E130" s="1527"/>
      <c r="F130" s="1527"/>
      <c r="G130" s="1527"/>
      <c r="H130" s="1527"/>
      <c r="I130" s="1527"/>
      <c r="J130" s="1527"/>
      <c r="K130" s="1527"/>
      <c r="L130" s="1528"/>
    </row>
    <row r="131" spans="1:12" ht="12.75">
      <c r="A131" s="1526"/>
      <c r="B131" s="1527"/>
      <c r="C131" s="1527"/>
      <c r="D131" s="1527"/>
      <c r="E131" s="1527"/>
      <c r="F131" s="1527"/>
      <c r="G131" s="1527"/>
      <c r="H131" s="1527"/>
      <c r="I131" s="1527"/>
      <c r="J131" s="1527"/>
      <c r="K131" s="1527"/>
      <c r="L131" s="1528"/>
    </row>
    <row r="132" spans="1:12" ht="12.75">
      <c r="A132" s="1529"/>
      <c r="B132" s="1530"/>
      <c r="C132" s="1530"/>
      <c r="D132" s="1530"/>
      <c r="E132" s="1530"/>
      <c r="F132" s="1530"/>
      <c r="G132" s="1530"/>
      <c r="H132" s="1530"/>
      <c r="I132" s="1530"/>
      <c r="J132" s="1530"/>
      <c r="K132" s="1530"/>
      <c r="L132" s="1531"/>
    </row>
    <row r="134" ht="16.5" thickBot="1">
      <c r="A134" s="16" t="s">
        <v>199</v>
      </c>
    </row>
    <row r="135" spans="1:12" ht="13.5" thickBot="1">
      <c r="A135" s="1542" t="s">
        <v>150</v>
      </c>
      <c r="B135" s="1543"/>
      <c r="C135" s="1544"/>
      <c r="D135" s="436"/>
      <c r="E135" s="436"/>
      <c r="F135" s="436"/>
      <c r="G135" s="436"/>
      <c r="H135" s="436"/>
      <c r="I135" s="436"/>
      <c r="J135" s="436"/>
      <c r="K135" s="436"/>
      <c r="L135" s="437"/>
    </row>
    <row r="136" spans="1:12" ht="20.25" customHeight="1">
      <c r="A136" s="1545"/>
      <c r="B136" s="1546"/>
      <c r="C136" s="1547"/>
      <c r="D136" s="1256" t="s">
        <v>200</v>
      </c>
      <c r="E136" s="1258"/>
      <c r="F136" s="1256" t="s">
        <v>201</v>
      </c>
      <c r="G136" s="1552"/>
      <c r="H136" s="1553"/>
      <c r="I136" s="1256" t="s">
        <v>250</v>
      </c>
      <c r="J136" s="1552"/>
      <c r="K136" s="1553"/>
      <c r="L136" s="438" t="s">
        <v>179</v>
      </c>
    </row>
    <row r="137" spans="1:12" ht="12.75">
      <c r="A137" s="1545"/>
      <c r="B137" s="1546"/>
      <c r="C137" s="1547"/>
      <c r="D137" s="1554">
        <v>2004</v>
      </c>
      <c r="E137" s="1554">
        <v>2005</v>
      </c>
      <c r="F137" s="367" t="s">
        <v>180</v>
      </c>
      <c r="G137" s="368" t="s">
        <v>181</v>
      </c>
      <c r="H137" s="369" t="s">
        <v>24</v>
      </c>
      <c r="I137" s="367" t="s">
        <v>180</v>
      </c>
      <c r="J137" s="368" t="s">
        <v>181</v>
      </c>
      <c r="K137" s="369" t="s">
        <v>24</v>
      </c>
      <c r="L137" s="369" t="s">
        <v>182</v>
      </c>
    </row>
    <row r="138" spans="1:12" ht="13.5" thickBot="1">
      <c r="A138" s="1548"/>
      <c r="B138" s="1549"/>
      <c r="C138" s="1550"/>
      <c r="D138" s="1555"/>
      <c r="E138" s="1555"/>
      <c r="F138" s="370" t="s">
        <v>183</v>
      </c>
      <c r="G138" s="371" t="s">
        <v>183</v>
      </c>
      <c r="H138" s="372"/>
      <c r="I138" s="370" t="s">
        <v>183</v>
      </c>
      <c r="J138" s="371" t="s">
        <v>183</v>
      </c>
      <c r="K138" s="372"/>
      <c r="L138" s="372" t="s">
        <v>184</v>
      </c>
    </row>
    <row r="139" spans="1:12" ht="12.75">
      <c r="A139" s="1551" t="s">
        <v>151</v>
      </c>
      <c r="B139" s="1543"/>
      <c r="C139" s="1544"/>
      <c r="D139" s="439"/>
      <c r="E139" s="439"/>
      <c r="F139" s="440"/>
      <c r="G139" s="441"/>
      <c r="H139" s="442"/>
      <c r="I139" s="440"/>
      <c r="J139" s="441"/>
      <c r="K139" s="442"/>
      <c r="L139" s="393"/>
    </row>
    <row r="140" spans="1:12" ht="12.75">
      <c r="A140" s="1522" t="s">
        <v>152</v>
      </c>
      <c r="B140" s="1333"/>
      <c r="C140" s="1264"/>
      <c r="D140" s="439">
        <v>540192.48</v>
      </c>
      <c r="E140" s="439">
        <v>612286</v>
      </c>
      <c r="F140" s="440">
        <v>612756.0128763355</v>
      </c>
      <c r="G140" s="441">
        <v>893.9871236644312</v>
      </c>
      <c r="H140" s="442">
        <v>613650</v>
      </c>
      <c r="I140" s="444">
        <v>634923</v>
      </c>
      <c r="J140" s="445">
        <v>658</v>
      </c>
      <c r="K140" s="443">
        <v>635581</v>
      </c>
      <c r="L140" s="393">
        <f aca="true" t="shared" si="14" ref="L140:L145">+K140/H140</f>
        <v>1.0357386132160027</v>
      </c>
    </row>
    <row r="141" spans="1:12" ht="12.75">
      <c r="A141" s="1522" t="s">
        <v>153</v>
      </c>
      <c r="B141" s="1333"/>
      <c r="C141" s="1264"/>
      <c r="D141" s="439">
        <v>86508.1</v>
      </c>
      <c r="E141" s="439">
        <v>99498</v>
      </c>
      <c r="F141" s="440">
        <v>0</v>
      </c>
      <c r="G141" s="441">
        <v>99766</v>
      </c>
      <c r="H141" s="442">
        <f aca="true" t="shared" si="15" ref="H141:H147">SUM(F141:G141)</f>
        <v>99766</v>
      </c>
      <c r="I141" s="444">
        <v>0</v>
      </c>
      <c r="J141" s="445">
        <v>98220</v>
      </c>
      <c r="K141" s="443">
        <v>98220</v>
      </c>
      <c r="L141" s="393">
        <f t="shared" si="14"/>
        <v>0.9845037387486719</v>
      </c>
    </row>
    <row r="142" spans="1:12" ht="12.75">
      <c r="A142" s="1522" t="s">
        <v>154</v>
      </c>
      <c r="B142" s="1333"/>
      <c r="C142" s="1264"/>
      <c r="D142" s="439">
        <v>8095.41</v>
      </c>
      <c r="E142" s="439">
        <v>7900</v>
      </c>
      <c r="F142" s="440">
        <v>8089.7468354430375</v>
      </c>
      <c r="G142" s="441">
        <v>10.253164556962025</v>
      </c>
      <c r="H142" s="442">
        <f t="shared" si="15"/>
        <v>8100</v>
      </c>
      <c r="I142" s="444">
        <v>7431</v>
      </c>
      <c r="J142" s="445">
        <v>30</v>
      </c>
      <c r="K142" s="443">
        <v>7461</v>
      </c>
      <c r="L142" s="393">
        <f t="shared" si="14"/>
        <v>0.9211111111111111</v>
      </c>
    </row>
    <row r="143" spans="1:12" ht="12.75">
      <c r="A143" s="1522" t="s">
        <v>155</v>
      </c>
      <c r="B143" s="1333"/>
      <c r="C143" s="1264"/>
      <c r="D143" s="439">
        <v>23538.34</v>
      </c>
      <c r="E143" s="439">
        <v>17551</v>
      </c>
      <c r="F143" s="440">
        <v>8214.35245854937</v>
      </c>
      <c r="G143" s="441">
        <v>335.6475414506296</v>
      </c>
      <c r="H143" s="442">
        <f t="shared" si="15"/>
        <v>8550</v>
      </c>
      <c r="I143" s="444">
        <v>55288</v>
      </c>
      <c r="J143" s="445">
        <v>714</v>
      </c>
      <c r="K143" s="443">
        <v>56002</v>
      </c>
      <c r="L143" s="393">
        <f t="shared" si="14"/>
        <v>6.549941520467836</v>
      </c>
    </row>
    <row r="144" spans="1:12" ht="12.75">
      <c r="A144" s="1522" t="s">
        <v>156</v>
      </c>
      <c r="B144" s="1333"/>
      <c r="C144" s="1264"/>
      <c r="D144" s="439">
        <v>1665.61</v>
      </c>
      <c r="E144" s="439">
        <v>7747</v>
      </c>
      <c r="F144" s="440">
        <v>6000</v>
      </c>
      <c r="G144" s="441">
        <v>0</v>
      </c>
      <c r="H144" s="442">
        <f t="shared" si="15"/>
        <v>6000</v>
      </c>
      <c r="I144" s="444">
        <v>31496</v>
      </c>
      <c r="J144" s="445">
        <v>0</v>
      </c>
      <c r="K144" s="443">
        <v>31496</v>
      </c>
      <c r="L144" s="393">
        <f t="shared" si="14"/>
        <v>5.249333333333333</v>
      </c>
    </row>
    <row r="145" spans="1:12" ht="12.75">
      <c r="A145" s="1522" t="s">
        <v>157</v>
      </c>
      <c r="B145" s="1333"/>
      <c r="C145" s="1264"/>
      <c r="D145" s="439">
        <v>10050.76</v>
      </c>
      <c r="E145" s="439">
        <v>9224</v>
      </c>
      <c r="F145" s="440">
        <v>9570</v>
      </c>
      <c r="G145" s="441">
        <v>0</v>
      </c>
      <c r="H145" s="442">
        <f t="shared" si="15"/>
        <v>9570</v>
      </c>
      <c r="I145" s="444">
        <v>8456</v>
      </c>
      <c r="J145" s="445">
        <v>0</v>
      </c>
      <c r="K145" s="443">
        <v>8456</v>
      </c>
      <c r="L145" s="393">
        <f t="shared" si="14"/>
        <v>0.883594566353187</v>
      </c>
    </row>
    <row r="146" spans="1:12" ht="21.75" customHeight="1">
      <c r="A146" s="1522" t="s">
        <v>158</v>
      </c>
      <c r="B146" s="1333"/>
      <c r="C146" s="1264"/>
      <c r="D146" s="439">
        <v>0</v>
      </c>
      <c r="E146" s="439">
        <v>51</v>
      </c>
      <c r="F146" s="440">
        <v>0</v>
      </c>
      <c r="G146" s="441">
        <v>0</v>
      </c>
      <c r="H146" s="442">
        <f t="shared" si="15"/>
        <v>0</v>
      </c>
      <c r="I146" s="444">
        <v>0</v>
      </c>
      <c r="J146" s="445">
        <v>0</v>
      </c>
      <c r="K146" s="443">
        <v>0</v>
      </c>
      <c r="L146" s="393"/>
    </row>
    <row r="147" spans="1:12" ht="13.5" thickBot="1">
      <c r="A147" s="1538" t="s">
        <v>159</v>
      </c>
      <c r="B147" s="1482"/>
      <c r="C147" s="1483"/>
      <c r="D147" s="439">
        <v>29327.8</v>
      </c>
      <c r="E147" s="439">
        <v>58134</v>
      </c>
      <c r="F147" s="440">
        <f>47355.2985-50+82.911</f>
        <v>47388.2095</v>
      </c>
      <c r="G147" s="441">
        <v>0</v>
      </c>
      <c r="H147" s="442">
        <f t="shared" si="15"/>
        <v>47388.2095</v>
      </c>
      <c r="I147" s="444">
        <v>31463</v>
      </c>
      <c r="J147" s="445">
        <v>0</v>
      </c>
      <c r="K147" s="443">
        <v>31463</v>
      </c>
      <c r="L147" s="393">
        <f aca="true" t="shared" si="16" ref="L147:L167">+K147/H147</f>
        <v>0.6639415232601266</v>
      </c>
    </row>
    <row r="148" spans="1:12" ht="12.75" customHeight="1" thickBot="1">
      <c r="A148" s="1539" t="s">
        <v>19</v>
      </c>
      <c r="B148" s="1540"/>
      <c r="C148" s="1541"/>
      <c r="D148" s="600">
        <v>697712.89</v>
      </c>
      <c r="E148" s="600">
        <v>804593</v>
      </c>
      <c r="F148" s="387">
        <f aca="true" t="shared" si="17" ref="F148:K148">+F140+F142+F143+F145+F147+F141</f>
        <v>686018.3216703279</v>
      </c>
      <c r="G148" s="388">
        <f t="shared" si="17"/>
        <v>101005.88782967202</v>
      </c>
      <c r="H148" s="389">
        <f t="shared" si="17"/>
        <v>787024.2095</v>
      </c>
      <c r="I148" s="387">
        <f t="shared" si="17"/>
        <v>737561</v>
      </c>
      <c r="J148" s="388">
        <f t="shared" si="17"/>
        <v>99622</v>
      </c>
      <c r="K148" s="389">
        <f t="shared" si="17"/>
        <v>837183</v>
      </c>
      <c r="L148" s="390">
        <f t="shared" si="16"/>
        <v>1.0637322078463967</v>
      </c>
    </row>
    <row r="149" spans="1:12" ht="12.75">
      <c r="A149" s="1522" t="s">
        <v>160</v>
      </c>
      <c r="B149" s="1333"/>
      <c r="C149" s="1264"/>
      <c r="D149" s="439">
        <v>171150.8</v>
      </c>
      <c r="E149" s="439">
        <v>180191</v>
      </c>
      <c r="F149" s="440">
        <v>169038.80271489697</v>
      </c>
      <c r="G149" s="441">
        <v>261.19728510302957</v>
      </c>
      <c r="H149" s="442">
        <v>169300</v>
      </c>
      <c r="I149" s="444">
        <v>176609</v>
      </c>
      <c r="J149" s="445">
        <v>304</v>
      </c>
      <c r="K149" s="439">
        <v>176913</v>
      </c>
      <c r="L149" s="393">
        <f t="shared" si="16"/>
        <v>1.0449675132900178</v>
      </c>
    </row>
    <row r="150" spans="1:12" ht="12.75">
      <c r="A150" s="1522" t="s">
        <v>161</v>
      </c>
      <c r="B150" s="1333"/>
      <c r="C150" s="1264"/>
      <c r="D150" s="439">
        <v>-1046</v>
      </c>
      <c r="E150" s="439">
        <v>1857</v>
      </c>
      <c r="F150" s="440">
        <v>947.4421109316103</v>
      </c>
      <c r="G150" s="441">
        <v>2.5578890683898763</v>
      </c>
      <c r="H150" s="442">
        <v>950</v>
      </c>
      <c r="I150" s="444">
        <v>2280</v>
      </c>
      <c r="J150" s="445">
        <v>2</v>
      </c>
      <c r="K150" s="439">
        <v>2282</v>
      </c>
      <c r="L150" s="393">
        <f t="shared" si="16"/>
        <v>2.4021052631578947</v>
      </c>
    </row>
    <row r="151" spans="1:12" ht="12.75">
      <c r="A151" s="1522" t="s">
        <v>162</v>
      </c>
      <c r="B151" s="1333"/>
      <c r="C151" s="1264"/>
      <c r="D151" s="439">
        <v>27092.08</v>
      </c>
      <c r="E151" s="439">
        <v>30570</v>
      </c>
      <c r="F151" s="440">
        <v>33431.83186130193</v>
      </c>
      <c r="G151" s="441">
        <v>669.2836113837095</v>
      </c>
      <c r="H151" s="442">
        <v>34100</v>
      </c>
      <c r="I151" s="444">
        <v>34082</v>
      </c>
      <c r="J151" s="445">
        <v>674</v>
      </c>
      <c r="K151" s="439">
        <v>34756</v>
      </c>
      <c r="L151" s="393">
        <f t="shared" si="16"/>
        <v>1.0192375366568915</v>
      </c>
    </row>
    <row r="152" spans="1:12" ht="12.75">
      <c r="A152" s="1522" t="s">
        <v>163</v>
      </c>
      <c r="B152" s="1333"/>
      <c r="C152" s="1264"/>
      <c r="D152" s="439">
        <v>361.91</v>
      </c>
      <c r="E152" s="439">
        <v>346</v>
      </c>
      <c r="F152" s="440">
        <v>350</v>
      </c>
      <c r="G152" s="441">
        <v>0</v>
      </c>
      <c r="H152" s="442">
        <v>350</v>
      </c>
      <c r="I152" s="444">
        <v>307</v>
      </c>
      <c r="J152" s="445">
        <v>0</v>
      </c>
      <c r="K152" s="439">
        <v>307</v>
      </c>
      <c r="L152" s="393">
        <f t="shared" si="16"/>
        <v>0.8771428571428571</v>
      </c>
    </row>
    <row r="153" spans="1:12" ht="12.75">
      <c r="A153" s="1522" t="s">
        <v>164</v>
      </c>
      <c r="B153" s="1333"/>
      <c r="C153" s="1264"/>
      <c r="D153" s="439">
        <v>71176.06</v>
      </c>
      <c r="E153" s="439">
        <v>82847</v>
      </c>
      <c r="F153" s="440">
        <v>0</v>
      </c>
      <c r="G153" s="441">
        <v>80522</v>
      </c>
      <c r="H153" s="442">
        <v>80522</v>
      </c>
      <c r="I153" s="444">
        <v>0</v>
      </c>
      <c r="J153" s="445">
        <v>83416</v>
      </c>
      <c r="K153" s="439">
        <v>83416</v>
      </c>
      <c r="L153" s="393">
        <f t="shared" si="16"/>
        <v>1.0359404883137528</v>
      </c>
    </row>
    <row r="154" spans="1:12" ht="12.75">
      <c r="A154" s="1522" t="s">
        <v>165</v>
      </c>
      <c r="B154" s="1333"/>
      <c r="C154" s="1264"/>
      <c r="D154" s="439">
        <v>95142.77</v>
      </c>
      <c r="E154" s="439">
        <v>116529</v>
      </c>
      <c r="F154" s="440">
        <v>126824.04608294932</v>
      </c>
      <c r="G154" s="441">
        <v>195.11391705069127</v>
      </c>
      <c r="H154" s="442">
        <v>127019.16</v>
      </c>
      <c r="I154" s="444">
        <v>123430</v>
      </c>
      <c r="J154" s="445">
        <v>100</v>
      </c>
      <c r="K154" s="439">
        <v>123530</v>
      </c>
      <c r="L154" s="393">
        <f t="shared" si="16"/>
        <v>0.972530443438612</v>
      </c>
    </row>
    <row r="155" spans="1:12" ht="12.75">
      <c r="A155" s="1522" t="s">
        <v>166</v>
      </c>
      <c r="B155" s="1333"/>
      <c r="C155" s="1264"/>
      <c r="D155" s="439">
        <v>15050.7</v>
      </c>
      <c r="E155" s="439">
        <v>15118</v>
      </c>
      <c r="F155" s="440">
        <v>13981.479031617939</v>
      </c>
      <c r="G155" s="441">
        <v>18.520968382061117</v>
      </c>
      <c r="H155" s="442">
        <v>14000</v>
      </c>
      <c r="I155" s="444">
        <v>11684</v>
      </c>
      <c r="J155" s="445">
        <v>35</v>
      </c>
      <c r="K155" s="439">
        <v>11719</v>
      </c>
      <c r="L155" s="393">
        <f t="shared" si="16"/>
        <v>0.8370714285714286</v>
      </c>
    </row>
    <row r="156" spans="1:12" ht="12.75">
      <c r="A156" s="1522" t="s">
        <v>167</v>
      </c>
      <c r="B156" s="1333"/>
      <c r="C156" s="1264"/>
      <c r="D156" s="439">
        <v>79403.28</v>
      </c>
      <c r="E156" s="439">
        <v>100775</v>
      </c>
      <c r="F156" s="440">
        <v>112124.20621066733</v>
      </c>
      <c r="G156" s="441">
        <v>174.9537893326718</v>
      </c>
      <c r="H156" s="442">
        <v>112299.16</v>
      </c>
      <c r="I156" s="444">
        <v>111131</v>
      </c>
      <c r="J156" s="445">
        <v>64</v>
      </c>
      <c r="K156" s="439">
        <v>111195</v>
      </c>
      <c r="L156" s="393">
        <f t="shared" si="16"/>
        <v>0.9901676913700868</v>
      </c>
    </row>
    <row r="157" spans="1:12" ht="12.75">
      <c r="A157" s="1522" t="s">
        <v>168</v>
      </c>
      <c r="B157" s="1333"/>
      <c r="C157" s="1264"/>
      <c r="D157" s="439">
        <v>316162.78</v>
      </c>
      <c r="E157" s="439">
        <v>344593</v>
      </c>
      <c r="F157" s="440">
        <v>377769.6539421671</v>
      </c>
      <c r="G157" s="441">
        <v>4728.600299687752</v>
      </c>
      <c r="H157" s="442">
        <v>382498.2542418548</v>
      </c>
      <c r="I157" s="444">
        <v>378502</v>
      </c>
      <c r="J157" s="445">
        <v>4240</v>
      </c>
      <c r="K157" s="439">
        <v>382742</v>
      </c>
      <c r="L157" s="393">
        <f t="shared" si="16"/>
        <v>1.000637246720585</v>
      </c>
    </row>
    <row r="158" spans="1:12" ht="12.75">
      <c r="A158" s="1522" t="s">
        <v>169</v>
      </c>
      <c r="B158" s="1333"/>
      <c r="C158" s="1264"/>
      <c r="D158" s="439">
        <v>230829.78</v>
      </c>
      <c r="E158" s="439">
        <v>251615</v>
      </c>
      <c r="F158" s="440">
        <v>275662.34600431216</v>
      </c>
      <c r="G158" s="441">
        <v>3455.4857456878563</v>
      </c>
      <c r="H158" s="442">
        <v>279117.83175</v>
      </c>
      <c r="I158" s="444">
        <v>276553</v>
      </c>
      <c r="J158" s="445">
        <v>3095</v>
      </c>
      <c r="K158" s="439">
        <v>279648</v>
      </c>
      <c r="L158" s="393">
        <f t="shared" si="16"/>
        <v>1.0018994424207008</v>
      </c>
    </row>
    <row r="159" spans="1:12" ht="12.75">
      <c r="A159" s="1522" t="s">
        <v>170</v>
      </c>
      <c r="B159" s="1333"/>
      <c r="C159" s="1264"/>
      <c r="D159" s="439">
        <v>0</v>
      </c>
      <c r="E159" s="439">
        <v>247420</v>
      </c>
      <c r="F159" s="440">
        <v>271505.27592478076</v>
      </c>
      <c r="G159" s="441">
        <v>3432.5558252192627</v>
      </c>
      <c r="H159" s="442">
        <v>274937.83175</v>
      </c>
      <c r="I159" s="444">
        <v>270778</v>
      </c>
      <c r="J159" s="445">
        <v>3094</v>
      </c>
      <c r="K159" s="439">
        <v>273872</v>
      </c>
      <c r="L159" s="393">
        <f t="shared" si="16"/>
        <v>0.9961233718065793</v>
      </c>
    </row>
    <row r="160" spans="1:12" ht="12.75">
      <c r="A160" s="1522" t="s">
        <v>171</v>
      </c>
      <c r="B160" s="1333"/>
      <c r="C160" s="1264"/>
      <c r="D160" s="439">
        <v>0</v>
      </c>
      <c r="E160" s="439">
        <v>4195</v>
      </c>
      <c r="F160" s="440">
        <v>4154.092967818832</v>
      </c>
      <c r="G160" s="441">
        <v>25.907032181168056</v>
      </c>
      <c r="H160" s="442">
        <v>4180</v>
      </c>
      <c r="I160" s="444">
        <v>5775</v>
      </c>
      <c r="J160" s="445">
        <v>1</v>
      </c>
      <c r="K160" s="439">
        <v>5776</v>
      </c>
      <c r="L160" s="393">
        <f t="shared" si="16"/>
        <v>1.3818181818181818</v>
      </c>
    </row>
    <row r="161" spans="1:12" ht="12.75">
      <c r="A161" s="1522" t="s">
        <v>172</v>
      </c>
      <c r="B161" s="1333"/>
      <c r="C161" s="1264"/>
      <c r="D161" s="439">
        <v>85333</v>
      </c>
      <c r="E161" s="439">
        <v>92978</v>
      </c>
      <c r="F161" s="440">
        <v>102107.31935183062</v>
      </c>
      <c r="G161" s="441">
        <v>1273.1031400242402</v>
      </c>
      <c r="H161" s="442">
        <v>103380.42249185486</v>
      </c>
      <c r="I161" s="444">
        <v>101949</v>
      </c>
      <c r="J161" s="445">
        <v>1145</v>
      </c>
      <c r="K161" s="439">
        <v>103094</v>
      </c>
      <c r="L161" s="393">
        <f t="shared" si="16"/>
        <v>0.9972294319857571</v>
      </c>
    </row>
    <row r="162" spans="1:12" ht="12.75">
      <c r="A162" s="1522" t="s">
        <v>173</v>
      </c>
      <c r="B162" s="1333"/>
      <c r="C162" s="1264"/>
      <c r="D162" s="439">
        <v>0</v>
      </c>
      <c r="E162" s="439">
        <v>0</v>
      </c>
      <c r="F162" s="440">
        <v>0</v>
      </c>
      <c r="G162" s="441">
        <v>0</v>
      </c>
      <c r="H162" s="442">
        <v>0</v>
      </c>
      <c r="I162" s="444">
        <v>27</v>
      </c>
      <c r="J162" s="445">
        <v>0</v>
      </c>
      <c r="K162" s="439">
        <v>27</v>
      </c>
      <c r="L162" s="393" t="e">
        <f t="shared" si="16"/>
        <v>#DIV/0!</v>
      </c>
    </row>
    <row r="163" spans="1:12" ht="12.75">
      <c r="A163" s="1522" t="s">
        <v>174</v>
      </c>
      <c r="B163" s="1333"/>
      <c r="C163" s="1264"/>
      <c r="D163" s="439">
        <v>9096.4</v>
      </c>
      <c r="E163" s="439">
        <v>9716</v>
      </c>
      <c r="F163" s="440">
        <v>3399.991766158913</v>
      </c>
      <c r="G163" s="441">
        <v>470.00823384108685</v>
      </c>
      <c r="H163" s="442">
        <v>3870</v>
      </c>
      <c r="I163" s="444">
        <v>2871</v>
      </c>
      <c r="J163" s="445">
        <v>52</v>
      </c>
      <c r="K163" s="439">
        <v>2923</v>
      </c>
      <c r="L163" s="393">
        <f t="shared" si="16"/>
        <v>0.755297157622739</v>
      </c>
    </row>
    <row r="164" spans="1:12" ht="12.75">
      <c r="A164" s="1522" t="s">
        <v>175</v>
      </c>
      <c r="B164" s="1333"/>
      <c r="C164" s="1264"/>
      <c r="D164" s="439">
        <v>12120.13</v>
      </c>
      <c r="E164" s="439">
        <v>10840</v>
      </c>
      <c r="F164" s="440">
        <v>11614.640221402215</v>
      </c>
      <c r="G164" s="441">
        <v>5.3597785977859775</v>
      </c>
      <c r="H164" s="442">
        <v>11620</v>
      </c>
      <c r="I164" s="444">
        <v>9817</v>
      </c>
      <c r="J164" s="445">
        <v>0</v>
      </c>
      <c r="K164" s="439">
        <v>9817</v>
      </c>
      <c r="L164" s="393">
        <f t="shared" si="16"/>
        <v>0.8448364888123924</v>
      </c>
    </row>
    <row r="165" spans="1:12" ht="15.75" customHeight="1">
      <c r="A165" s="1522" t="s">
        <v>176</v>
      </c>
      <c r="B165" s="1333"/>
      <c r="C165" s="1264"/>
      <c r="D165" s="439">
        <v>2135.3</v>
      </c>
      <c r="E165" s="439">
        <v>1758</v>
      </c>
      <c r="F165" s="440">
        <v>2200</v>
      </c>
      <c r="G165" s="441">
        <v>0</v>
      </c>
      <c r="H165" s="442">
        <v>2200</v>
      </c>
      <c r="I165" s="444">
        <v>1729</v>
      </c>
      <c r="J165" s="445">
        <v>0</v>
      </c>
      <c r="K165" s="439">
        <v>1729</v>
      </c>
      <c r="L165" s="393">
        <f t="shared" si="16"/>
        <v>0.7859090909090909</v>
      </c>
    </row>
    <row r="166" spans="1:12" ht="13.5" thickBot="1">
      <c r="A166" s="1538" t="s">
        <v>177</v>
      </c>
      <c r="B166" s="1482"/>
      <c r="C166" s="1483"/>
      <c r="D166" s="439">
        <v>0</v>
      </c>
      <c r="E166" s="439">
        <v>2972</v>
      </c>
      <c r="F166" s="440">
        <v>1206.14</v>
      </c>
      <c r="G166" s="441">
        <v>0</v>
      </c>
      <c r="H166" s="442">
        <v>1206.14</v>
      </c>
      <c r="I166" s="444">
        <v>-1051</v>
      </c>
      <c r="J166" s="445">
        <v>0</v>
      </c>
      <c r="K166" s="439">
        <v>-1051</v>
      </c>
      <c r="L166" s="393">
        <f t="shared" si="16"/>
        <v>-0.8713747989453959</v>
      </c>
    </row>
    <row r="167" spans="1:12" ht="13.5" thickBot="1">
      <c r="A167" s="1532" t="s">
        <v>18</v>
      </c>
      <c r="B167" s="1533"/>
      <c r="C167" s="1534"/>
      <c r="D167" s="447">
        <v>702302.93</v>
      </c>
      <c r="E167" s="447">
        <v>778604</v>
      </c>
      <c r="F167" s="387">
        <v>723635.1065888766</v>
      </c>
      <c r="G167" s="600">
        <v>86851.56312566406</v>
      </c>
      <c r="H167" s="601">
        <v>810485.5542418548</v>
      </c>
      <c r="I167" s="387">
        <v>724594</v>
      </c>
      <c r="J167" s="600">
        <v>88786</v>
      </c>
      <c r="K167" s="601">
        <v>813380</v>
      </c>
      <c r="L167" s="602">
        <f t="shared" si="16"/>
        <v>1.0035712490407713</v>
      </c>
    </row>
    <row r="168" spans="1:12" ht="13.5" thickBot="1">
      <c r="A168" s="1535" t="s">
        <v>26</v>
      </c>
      <c r="B168" s="1536"/>
      <c r="C168" s="1537"/>
      <c r="D168" s="454">
        <v>-4590.039999999921</v>
      </c>
      <c r="E168" s="603">
        <v>25989</v>
      </c>
      <c r="F168" s="1556">
        <f>+H148-H167</f>
        <v>-23461.344741854817</v>
      </c>
      <c r="G168" s="1556"/>
      <c r="H168" s="1557"/>
      <c r="I168" s="1556">
        <f>+K148-K167</f>
        <v>23803</v>
      </c>
      <c r="J168" s="1556"/>
      <c r="K168" s="1557"/>
      <c r="L168" s="405"/>
    </row>
    <row r="170" spans="1:12" ht="12.75" customHeight="1">
      <c r="A170" s="1523" t="s">
        <v>292</v>
      </c>
      <c r="B170" s="1524"/>
      <c r="C170" s="1524"/>
      <c r="D170" s="1524"/>
      <c r="E170" s="1524"/>
      <c r="F170" s="1524"/>
      <c r="G170" s="1524"/>
      <c r="H170" s="1524"/>
      <c r="I170" s="1524"/>
      <c r="J170" s="1524"/>
      <c r="K170" s="1524"/>
      <c r="L170" s="1525"/>
    </row>
    <row r="171" spans="1:12" ht="12.75">
      <c r="A171" s="1526"/>
      <c r="B171" s="1527"/>
      <c r="C171" s="1527"/>
      <c r="D171" s="1527"/>
      <c r="E171" s="1527"/>
      <c r="F171" s="1527"/>
      <c r="G171" s="1527"/>
      <c r="H171" s="1527"/>
      <c r="I171" s="1527"/>
      <c r="J171" s="1527"/>
      <c r="K171" s="1527"/>
      <c r="L171" s="1528"/>
    </row>
    <row r="172" spans="1:12" ht="12.75">
      <c r="A172" s="1526"/>
      <c r="B172" s="1527"/>
      <c r="C172" s="1527"/>
      <c r="D172" s="1527"/>
      <c r="E172" s="1527"/>
      <c r="F172" s="1527"/>
      <c r="G172" s="1527"/>
      <c r="H172" s="1527"/>
      <c r="I172" s="1527"/>
      <c r="J172" s="1527"/>
      <c r="K172" s="1527"/>
      <c r="L172" s="1528"/>
    </row>
    <row r="173" spans="1:12" ht="12.75">
      <c r="A173" s="1529"/>
      <c r="B173" s="1530"/>
      <c r="C173" s="1530"/>
      <c r="D173" s="1530"/>
      <c r="E173" s="1530"/>
      <c r="F173" s="1530"/>
      <c r="G173" s="1530"/>
      <c r="H173" s="1530"/>
      <c r="I173" s="1530"/>
      <c r="J173" s="1530"/>
      <c r="K173" s="1530"/>
      <c r="L173" s="1531"/>
    </row>
    <row r="177" ht="15.75">
      <c r="A177" s="16" t="s">
        <v>202</v>
      </c>
    </row>
    <row r="178" spans="1:12" ht="12.75">
      <c r="A178" s="848" t="s">
        <v>293</v>
      </c>
      <c r="B178" s="849"/>
      <c r="C178" s="849"/>
      <c r="D178" s="849"/>
      <c r="E178" s="849"/>
      <c r="F178" s="849"/>
      <c r="G178" s="849"/>
      <c r="H178" s="849"/>
      <c r="I178" s="849"/>
      <c r="J178" s="849"/>
      <c r="K178" s="849"/>
      <c r="L178" s="850"/>
    </row>
    <row r="179" spans="1:12" ht="12.75">
      <c r="A179" s="851" t="s">
        <v>294</v>
      </c>
      <c r="B179" s="852"/>
      <c r="C179" s="852"/>
      <c r="D179" s="852"/>
      <c r="E179" s="852"/>
      <c r="F179" s="852"/>
      <c r="G179" s="852"/>
      <c r="H179" s="852"/>
      <c r="I179" s="852"/>
      <c r="J179" s="852"/>
      <c r="K179" s="852"/>
      <c r="L179" s="853"/>
    </row>
    <row r="180" spans="1:12" ht="12.75">
      <c r="A180" s="851" t="s">
        <v>295</v>
      </c>
      <c r="B180" s="852"/>
      <c r="C180" s="852"/>
      <c r="D180" s="852"/>
      <c r="E180" s="852"/>
      <c r="F180" s="852"/>
      <c r="G180" s="852"/>
      <c r="H180" s="852"/>
      <c r="I180" s="852"/>
      <c r="J180" s="852"/>
      <c r="K180" s="852"/>
      <c r="L180" s="853"/>
    </row>
    <row r="181" spans="1:12" ht="12.75">
      <c r="A181" s="851" t="s">
        <v>296</v>
      </c>
      <c r="B181" s="852"/>
      <c r="C181" s="852"/>
      <c r="D181" s="852"/>
      <c r="E181" s="852"/>
      <c r="F181" s="852"/>
      <c r="G181" s="852"/>
      <c r="H181" s="852"/>
      <c r="I181" s="852"/>
      <c r="J181" s="852"/>
      <c r="K181" s="852"/>
      <c r="L181" s="853"/>
    </row>
    <row r="182" spans="1:12" ht="12.75">
      <c r="A182" s="851" t="s">
        <v>297</v>
      </c>
      <c r="B182" s="852"/>
      <c r="C182" s="852"/>
      <c r="D182" s="852"/>
      <c r="E182" s="852"/>
      <c r="F182" s="852"/>
      <c r="G182" s="852"/>
      <c r="H182" s="852"/>
      <c r="I182" s="852"/>
      <c r="J182" s="852"/>
      <c r="K182" s="852"/>
      <c r="L182" s="853"/>
    </row>
    <row r="183" spans="1:12" ht="12.75">
      <c r="A183" s="851" t="s">
        <v>298</v>
      </c>
      <c r="B183" s="852"/>
      <c r="C183" s="852"/>
      <c r="D183" s="852"/>
      <c r="E183" s="852"/>
      <c r="F183" s="852"/>
      <c r="G183" s="852"/>
      <c r="H183" s="852"/>
      <c r="I183" s="852"/>
      <c r="J183" s="852"/>
      <c r="K183" s="852"/>
      <c r="L183" s="853"/>
    </row>
    <row r="184" spans="1:12" ht="12.75">
      <c r="A184" s="851" t="s">
        <v>299</v>
      </c>
      <c r="B184" s="852"/>
      <c r="C184" s="852"/>
      <c r="D184" s="852"/>
      <c r="E184" s="852"/>
      <c r="F184" s="852"/>
      <c r="G184" s="852"/>
      <c r="H184" s="852"/>
      <c r="I184" s="852"/>
      <c r="J184" s="852"/>
      <c r="K184" s="852"/>
      <c r="L184" s="853"/>
    </row>
    <row r="185" spans="1:12" ht="12.75">
      <c r="A185" s="854" t="s">
        <v>300</v>
      </c>
      <c r="B185" s="855"/>
      <c r="C185" s="855"/>
      <c r="D185" s="855"/>
      <c r="E185" s="855"/>
      <c r="F185" s="855"/>
      <c r="G185" s="855"/>
      <c r="H185" s="855"/>
      <c r="I185" s="855"/>
      <c r="J185" s="855"/>
      <c r="K185" s="855"/>
      <c r="L185" s="856"/>
    </row>
    <row r="186" spans="1:12" ht="12.75">
      <c r="A186" s="847"/>
      <c r="B186" s="847"/>
      <c r="C186" s="847"/>
      <c r="D186" s="847"/>
      <c r="E186" s="847"/>
      <c r="F186" s="847"/>
      <c r="G186" s="847"/>
      <c r="H186" s="847"/>
      <c r="I186" s="847"/>
      <c r="J186" s="847"/>
      <c r="K186" s="847"/>
      <c r="L186" s="847"/>
    </row>
    <row r="187" spans="1:12" ht="12.75">
      <c r="A187" s="847"/>
      <c r="B187" s="847"/>
      <c r="C187" s="847"/>
      <c r="D187" s="847"/>
      <c r="E187" s="847"/>
      <c r="F187" s="847"/>
      <c r="G187" s="847"/>
      <c r="H187" s="847"/>
      <c r="I187" s="847"/>
      <c r="J187" s="847"/>
      <c r="K187" s="847"/>
      <c r="L187" s="847"/>
    </row>
  </sheetData>
  <mergeCells count="141">
    <mergeCell ref="J70:L70"/>
    <mergeCell ref="A70:C71"/>
    <mergeCell ref="A72:C72"/>
    <mergeCell ref="A73:C73"/>
    <mergeCell ref="D70:F70"/>
    <mergeCell ref="A74:C74"/>
    <mergeCell ref="A75:C75"/>
    <mergeCell ref="A76:C76"/>
    <mergeCell ref="A77:C77"/>
    <mergeCell ref="A78:C78"/>
    <mergeCell ref="A79:C79"/>
    <mergeCell ref="A80:C80"/>
    <mergeCell ref="A81:C81"/>
    <mergeCell ref="A82:C82"/>
    <mergeCell ref="L5:L6"/>
    <mergeCell ref="E45:E46"/>
    <mergeCell ref="F45:K45"/>
    <mergeCell ref="E26:E27"/>
    <mergeCell ref="F26:K26"/>
    <mergeCell ref="L26:L27"/>
    <mergeCell ref="L45:L46"/>
    <mergeCell ref="A45:A46"/>
    <mergeCell ref="B45:B46"/>
    <mergeCell ref="C45:C46"/>
    <mergeCell ref="D45:D46"/>
    <mergeCell ref="A2:K2"/>
    <mergeCell ref="B4:C4"/>
    <mergeCell ref="D4:G4"/>
    <mergeCell ref="B5:B6"/>
    <mergeCell ref="C5:C6"/>
    <mergeCell ref="D5:E5"/>
    <mergeCell ref="F5:G5"/>
    <mergeCell ref="H4:L4"/>
    <mergeCell ref="H5:I5"/>
    <mergeCell ref="J5:K5"/>
    <mergeCell ref="A92:B92"/>
    <mergeCell ref="A93:B93"/>
    <mergeCell ref="A84:L86"/>
    <mergeCell ref="A90:B91"/>
    <mergeCell ref="C90:G90"/>
    <mergeCell ref="H90:L90"/>
    <mergeCell ref="A4:A6"/>
    <mergeCell ref="G70:I70"/>
    <mergeCell ref="A94:B94"/>
    <mergeCell ref="A95:B95"/>
    <mergeCell ref="A102:B102"/>
    <mergeCell ref="A103:B103"/>
    <mergeCell ref="A96:B96"/>
    <mergeCell ref="A97:B97"/>
    <mergeCell ref="A98:B98"/>
    <mergeCell ref="A99:B99"/>
    <mergeCell ref="A100:B100"/>
    <mergeCell ref="A101:B101"/>
    <mergeCell ref="A126:D126"/>
    <mergeCell ref="A129:L132"/>
    <mergeCell ref="E126:F126"/>
    <mergeCell ref="A118:D118"/>
    <mergeCell ref="A119:D119"/>
    <mergeCell ref="E118:F118"/>
    <mergeCell ref="E119:F119"/>
    <mergeCell ref="E120:F120"/>
    <mergeCell ref="E121:F121"/>
    <mergeCell ref="A124:D124"/>
    <mergeCell ref="E124:F124"/>
    <mergeCell ref="E122:F122"/>
    <mergeCell ref="K126:L126"/>
    <mergeCell ref="H118:J118"/>
    <mergeCell ref="H119:J119"/>
    <mergeCell ref="H120:J120"/>
    <mergeCell ref="H121:J121"/>
    <mergeCell ref="K118:L118"/>
    <mergeCell ref="K119:L119"/>
    <mergeCell ref="K120:L120"/>
    <mergeCell ref="H126:J126"/>
    <mergeCell ref="K122:L122"/>
    <mergeCell ref="A123:D123"/>
    <mergeCell ref="A120:D120"/>
    <mergeCell ref="A121:D121"/>
    <mergeCell ref="E123:F123"/>
    <mergeCell ref="A125:D125"/>
    <mergeCell ref="E125:F125"/>
    <mergeCell ref="A122:D122"/>
    <mergeCell ref="K123:L123"/>
    <mergeCell ref="A104:B104"/>
    <mergeCell ref="A105:B105"/>
    <mergeCell ref="A106:B106"/>
    <mergeCell ref="A107:B107"/>
    <mergeCell ref="A108:B108"/>
    <mergeCell ref="A109:B109"/>
    <mergeCell ref="A110:B110"/>
    <mergeCell ref="K121:L121"/>
    <mergeCell ref="A112:L115"/>
    <mergeCell ref="A26:A27"/>
    <mergeCell ref="B26:B27"/>
    <mergeCell ref="C26:C27"/>
    <mergeCell ref="D26:D27"/>
    <mergeCell ref="K124:L124"/>
    <mergeCell ref="K125:L125"/>
    <mergeCell ref="H122:J122"/>
    <mergeCell ref="H123:J123"/>
    <mergeCell ref="H124:J124"/>
    <mergeCell ref="H125:J125"/>
    <mergeCell ref="I136:K136"/>
    <mergeCell ref="D137:D138"/>
    <mergeCell ref="E137:E138"/>
    <mergeCell ref="F168:H168"/>
    <mergeCell ref="I168:K168"/>
    <mergeCell ref="A135:C138"/>
    <mergeCell ref="A139:C139"/>
    <mergeCell ref="A140:C140"/>
    <mergeCell ref="F136:H136"/>
    <mergeCell ref="D136:E136"/>
    <mergeCell ref="A144:C144"/>
    <mergeCell ref="A143:C143"/>
    <mergeCell ref="A142:C142"/>
    <mergeCell ref="A141:C141"/>
    <mergeCell ref="A148:C148"/>
    <mergeCell ref="A147:C147"/>
    <mergeCell ref="A146:C146"/>
    <mergeCell ref="A145:C145"/>
    <mergeCell ref="A152:C152"/>
    <mergeCell ref="A151:C151"/>
    <mergeCell ref="A150:C150"/>
    <mergeCell ref="A149:C149"/>
    <mergeCell ref="A156:C156"/>
    <mergeCell ref="A155:C155"/>
    <mergeCell ref="A154:C154"/>
    <mergeCell ref="A153:C153"/>
    <mergeCell ref="A160:C160"/>
    <mergeCell ref="A159:C159"/>
    <mergeCell ref="A158:C158"/>
    <mergeCell ref="A157:C157"/>
    <mergeCell ref="A170:L173"/>
    <mergeCell ref="A167:C167"/>
    <mergeCell ref="A168:C168"/>
    <mergeCell ref="A166:C166"/>
    <mergeCell ref="A161:C161"/>
    <mergeCell ref="A165:C165"/>
    <mergeCell ref="A164:C164"/>
    <mergeCell ref="A163:C163"/>
    <mergeCell ref="A162:C162"/>
  </mergeCells>
  <printOptions horizontalCentered="1"/>
  <pageMargins left="0.2" right="0.2" top="0.25" bottom="0.3937007874015748" header="0.22" footer="0.2362204724409449"/>
  <pageSetup horizontalDpi="600" verticalDpi="600" orientation="portrait" paperSize="9" scale="80" r:id="rId4"/>
  <headerFooter alignWithMargins="0">
    <oddFooter>&amp;C&amp;8&amp;P / 25</oddFooter>
  </headerFooter>
  <rowBreaks count="2" manualBreakCount="2">
    <brk id="68" max="255" man="1"/>
    <brk id="133" max="255" man="1"/>
  </rowBreaks>
  <drawing r:id="rId3"/>
  <legacyDrawing r:id="rId2"/>
</worksheet>
</file>

<file path=xl/worksheets/sheet6.xml><?xml version="1.0" encoding="utf-8"?>
<worksheet xmlns="http://schemas.openxmlformats.org/spreadsheetml/2006/main" xmlns:r="http://schemas.openxmlformats.org/officeDocument/2006/relationships">
  <dimension ref="A1:L185"/>
  <sheetViews>
    <sheetView workbookViewId="0" topLeftCell="A36">
      <selection activeCell="L62" sqref="L62"/>
    </sheetView>
  </sheetViews>
  <sheetFormatPr defaultColWidth="9.00390625" defaultRowHeight="12.75"/>
  <cols>
    <col min="1" max="1" width="10.625" style="0" customWidth="1"/>
    <col min="2" max="8" width="10.375" style="0" customWidth="1"/>
    <col min="9" max="9" width="11.25390625" style="0" customWidth="1"/>
    <col min="10" max="12" width="10.375" style="0" customWidth="1"/>
  </cols>
  <sheetData>
    <row r="1" spans="1:11" ht="18">
      <c r="A1" s="1399" t="s">
        <v>58</v>
      </c>
      <c r="B1" s="1400"/>
      <c r="C1" s="1400"/>
      <c r="D1" s="1400"/>
      <c r="E1" s="1400"/>
      <c r="F1" s="1400"/>
      <c r="G1" s="1400"/>
      <c r="H1" s="1400"/>
      <c r="I1" s="1400"/>
      <c r="J1" s="1400"/>
      <c r="K1" s="1400"/>
    </row>
    <row r="2" ht="15.75">
      <c r="A2" s="16"/>
    </row>
    <row r="3" spans="1:12" ht="17.25" customHeight="1" thickBot="1">
      <c r="A3" s="68" t="s">
        <v>54</v>
      </c>
      <c r="L3" s="167" t="s">
        <v>116</v>
      </c>
    </row>
    <row r="4" spans="1:12" s="265" customFormat="1" ht="15" customHeight="1">
      <c r="A4" s="1247" t="s">
        <v>32</v>
      </c>
      <c r="B4" s="1256" t="s">
        <v>18</v>
      </c>
      <c r="C4" s="1644"/>
      <c r="D4" s="1591" t="s">
        <v>128</v>
      </c>
      <c r="E4" s="1645"/>
      <c r="F4" s="1646"/>
      <c r="G4" s="1647"/>
      <c r="H4" s="1591" t="s">
        <v>26</v>
      </c>
      <c r="I4" s="1646"/>
      <c r="J4" s="1646"/>
      <c r="K4" s="1646"/>
      <c r="L4" s="1647"/>
    </row>
    <row r="5" spans="1:12" s="265" customFormat="1" ht="12.75" customHeight="1">
      <c r="A5" s="1642"/>
      <c r="B5" s="1587">
        <v>2005</v>
      </c>
      <c r="C5" s="1627">
        <v>2006</v>
      </c>
      <c r="D5" s="1569">
        <v>2005</v>
      </c>
      <c r="E5" s="1611"/>
      <c r="F5" s="1570">
        <v>2006</v>
      </c>
      <c r="G5" s="1633"/>
      <c r="H5" s="1569">
        <v>2005</v>
      </c>
      <c r="I5" s="1634"/>
      <c r="J5" s="1570">
        <v>2006</v>
      </c>
      <c r="K5" s="1611" t="s">
        <v>127</v>
      </c>
      <c r="L5" s="1588" t="s">
        <v>141</v>
      </c>
    </row>
    <row r="6" spans="1:12" s="265" customFormat="1" ht="24.75" thickBot="1">
      <c r="A6" s="1643"/>
      <c r="B6" s="1626"/>
      <c r="C6" s="1628"/>
      <c r="D6" s="65" t="s">
        <v>129</v>
      </c>
      <c r="E6" s="58" t="s">
        <v>130</v>
      </c>
      <c r="F6" s="70" t="s">
        <v>129</v>
      </c>
      <c r="G6" s="66" t="s">
        <v>130</v>
      </c>
      <c r="H6" s="266" t="s">
        <v>131</v>
      </c>
      <c r="I6" s="70" t="s">
        <v>127</v>
      </c>
      <c r="J6" s="267" t="s">
        <v>131</v>
      </c>
      <c r="K6" s="58" t="s">
        <v>127</v>
      </c>
      <c r="L6" s="1635"/>
    </row>
    <row r="7" spans="1:12" s="24" customFormat="1" ht="12.75" customHeight="1">
      <c r="A7" s="37" t="s">
        <v>33</v>
      </c>
      <c r="B7" s="237">
        <v>38866</v>
      </c>
      <c r="C7" s="60">
        <f>+'Hospodaření str1-2'!F31</f>
        <v>42821</v>
      </c>
      <c r="D7" s="237">
        <v>31044</v>
      </c>
      <c r="E7" s="11">
        <v>65</v>
      </c>
      <c r="F7" s="2">
        <f>+'Hospodaření str1-2'!J31</f>
        <v>38260</v>
      </c>
      <c r="G7" s="3">
        <v>1340</v>
      </c>
      <c r="H7" s="17">
        <f aca="true" t="shared" si="0" ref="H7:H18">+D7-B7</f>
        <v>-7822</v>
      </c>
      <c r="I7" s="2">
        <f aca="true" t="shared" si="1" ref="I7:I18">+H7-E7</f>
        <v>-7887</v>
      </c>
      <c r="J7" s="2">
        <f aca="true" t="shared" si="2" ref="J7:J18">+F7-C7</f>
        <v>-4561</v>
      </c>
      <c r="K7" s="2">
        <f aca="true" t="shared" si="3" ref="K7:K18">+J7-G7</f>
        <v>-5901</v>
      </c>
      <c r="L7" s="3">
        <f aca="true" t="shared" si="4" ref="L7:L18">+J7-H7</f>
        <v>3261</v>
      </c>
    </row>
    <row r="8" spans="1:12" s="24" customFormat="1" ht="12.75">
      <c r="A8" s="39" t="s">
        <v>34</v>
      </c>
      <c r="B8" s="230">
        <v>71146</v>
      </c>
      <c r="C8" s="12">
        <f>+'Hospodaření str1-2'!F32</f>
        <v>78081</v>
      </c>
      <c r="D8" s="230">
        <v>61643</v>
      </c>
      <c r="E8" s="12">
        <v>253</v>
      </c>
      <c r="F8" s="4">
        <f>+'Hospodaření str1-2'!J32</f>
        <v>74038</v>
      </c>
      <c r="G8" s="5">
        <v>2657</v>
      </c>
      <c r="H8" s="17">
        <f t="shared" si="0"/>
        <v>-9503</v>
      </c>
      <c r="I8" s="2">
        <f t="shared" si="1"/>
        <v>-9756</v>
      </c>
      <c r="J8" s="2">
        <f t="shared" si="2"/>
        <v>-4043</v>
      </c>
      <c r="K8" s="2">
        <f t="shared" si="3"/>
        <v>-6700</v>
      </c>
      <c r="L8" s="3">
        <f t="shared" si="4"/>
        <v>5460</v>
      </c>
    </row>
    <row r="9" spans="1:12" s="24" customFormat="1" ht="12.75">
      <c r="A9" s="39" t="s">
        <v>35</v>
      </c>
      <c r="B9" s="230">
        <v>104231</v>
      </c>
      <c r="C9" s="12">
        <f>+'Hospodaření str1-2'!F33</f>
        <v>115622</v>
      </c>
      <c r="D9" s="230">
        <v>94177</v>
      </c>
      <c r="E9" s="12">
        <v>360</v>
      </c>
      <c r="F9" s="4">
        <f>+'Hospodaření str1-2'!J33</f>
        <v>109602</v>
      </c>
      <c r="G9" s="5">
        <v>4007</v>
      </c>
      <c r="H9" s="17">
        <f t="shared" si="0"/>
        <v>-10054</v>
      </c>
      <c r="I9" s="2">
        <f t="shared" si="1"/>
        <v>-10414</v>
      </c>
      <c r="J9" s="2">
        <f t="shared" si="2"/>
        <v>-6020</v>
      </c>
      <c r="K9" s="2">
        <f t="shared" si="3"/>
        <v>-10027</v>
      </c>
      <c r="L9" s="3">
        <f t="shared" si="4"/>
        <v>4034</v>
      </c>
    </row>
    <row r="10" spans="1:12" s="24" customFormat="1" ht="12.75">
      <c r="A10" s="39" t="s">
        <v>36</v>
      </c>
      <c r="B10" s="230">
        <v>141564</v>
      </c>
      <c r="C10" s="12">
        <f>+'Hospodaření str1-2'!F34</f>
        <v>153656</v>
      </c>
      <c r="D10" s="230">
        <v>130301</v>
      </c>
      <c r="E10" s="12">
        <v>5717</v>
      </c>
      <c r="F10" s="4">
        <f>+'Hospodaření str1-2'!J34</f>
        <v>144023</v>
      </c>
      <c r="G10" s="5">
        <v>5721</v>
      </c>
      <c r="H10" s="17">
        <f t="shared" si="0"/>
        <v>-11263</v>
      </c>
      <c r="I10" s="2">
        <f t="shared" si="1"/>
        <v>-16980</v>
      </c>
      <c r="J10" s="2">
        <f t="shared" si="2"/>
        <v>-9633</v>
      </c>
      <c r="K10" s="2">
        <f t="shared" si="3"/>
        <v>-15354</v>
      </c>
      <c r="L10" s="3">
        <f t="shared" si="4"/>
        <v>1630</v>
      </c>
    </row>
    <row r="11" spans="1:12" s="24" customFormat="1" ht="12.75">
      <c r="A11" s="39" t="s">
        <v>37</v>
      </c>
      <c r="B11" s="230">
        <v>173539</v>
      </c>
      <c r="C11" s="12">
        <f>+'Hospodaření str1-2'!F35</f>
        <v>191049</v>
      </c>
      <c r="D11" s="230">
        <v>164264</v>
      </c>
      <c r="E11" s="12">
        <v>7293</v>
      </c>
      <c r="F11" s="4">
        <f>+'Hospodaření str1-2'!J35</f>
        <v>180343</v>
      </c>
      <c r="G11" s="5">
        <v>7140</v>
      </c>
      <c r="H11" s="17">
        <f t="shared" si="0"/>
        <v>-9275</v>
      </c>
      <c r="I11" s="2">
        <f t="shared" si="1"/>
        <v>-16568</v>
      </c>
      <c r="J11" s="2">
        <f t="shared" si="2"/>
        <v>-10706</v>
      </c>
      <c r="K11" s="2">
        <f t="shared" si="3"/>
        <v>-17846</v>
      </c>
      <c r="L11" s="3">
        <f t="shared" si="4"/>
        <v>-1431</v>
      </c>
    </row>
    <row r="12" spans="1:12" s="24" customFormat="1" ht="13.5" thickBot="1">
      <c r="A12" s="182" t="s">
        <v>38</v>
      </c>
      <c r="B12" s="239">
        <v>206906</v>
      </c>
      <c r="C12" s="62">
        <f>+'Hospodaření str1-2'!F36</f>
        <v>227779</v>
      </c>
      <c r="D12" s="239">
        <v>201042</v>
      </c>
      <c r="E12" s="62">
        <v>10971</v>
      </c>
      <c r="F12" s="6">
        <f>+'Hospodaření str1-2'!J36</f>
        <v>217415</v>
      </c>
      <c r="G12" s="7">
        <v>8511</v>
      </c>
      <c r="H12" s="115">
        <f t="shared" si="0"/>
        <v>-5864</v>
      </c>
      <c r="I12" s="116">
        <f t="shared" si="1"/>
        <v>-16835</v>
      </c>
      <c r="J12" s="116">
        <f t="shared" si="2"/>
        <v>-10364</v>
      </c>
      <c r="K12" s="116">
        <f t="shared" si="3"/>
        <v>-18875</v>
      </c>
      <c r="L12" s="117">
        <f t="shared" si="4"/>
        <v>-4500</v>
      </c>
    </row>
    <row r="13" spans="1:12" ht="12.75">
      <c r="A13" s="238" t="s">
        <v>39</v>
      </c>
      <c r="B13" s="231">
        <v>239310</v>
      </c>
      <c r="C13" s="30">
        <v>264363</v>
      </c>
      <c r="D13" s="261">
        <v>232845</v>
      </c>
      <c r="E13" s="30">
        <v>12491</v>
      </c>
      <c r="F13" s="60">
        <v>251859</v>
      </c>
      <c r="G13" s="30">
        <v>9877</v>
      </c>
      <c r="H13" s="67">
        <f t="shared" si="0"/>
        <v>-6465</v>
      </c>
      <c r="I13" s="229">
        <f t="shared" si="1"/>
        <v>-18956</v>
      </c>
      <c r="J13" s="229">
        <f t="shared" si="2"/>
        <v>-12504</v>
      </c>
      <c r="K13" s="229">
        <f t="shared" si="3"/>
        <v>-22381</v>
      </c>
      <c r="L13" s="13">
        <f t="shared" si="4"/>
        <v>-6039</v>
      </c>
    </row>
    <row r="14" spans="1:12" ht="12.75">
      <c r="A14" s="39" t="s">
        <v>40</v>
      </c>
      <c r="B14" s="232">
        <v>271406</v>
      </c>
      <c r="C14" s="28">
        <v>298273</v>
      </c>
      <c r="D14" s="328">
        <v>265452</v>
      </c>
      <c r="E14" s="28">
        <v>13874</v>
      </c>
      <c r="F14" s="61">
        <v>285922</v>
      </c>
      <c r="G14" s="28">
        <v>11242</v>
      </c>
      <c r="H14" s="17">
        <f t="shared" si="0"/>
        <v>-5954</v>
      </c>
      <c r="I14" s="2">
        <f t="shared" si="1"/>
        <v>-19828</v>
      </c>
      <c r="J14" s="2">
        <f t="shared" si="2"/>
        <v>-12351</v>
      </c>
      <c r="K14" s="2">
        <f t="shared" si="3"/>
        <v>-23593</v>
      </c>
      <c r="L14" s="5">
        <f t="shared" si="4"/>
        <v>-6397</v>
      </c>
    </row>
    <row r="15" spans="1:12" ht="12.75">
      <c r="A15" s="39" t="s">
        <v>41</v>
      </c>
      <c r="B15" s="230">
        <v>305069</v>
      </c>
      <c r="C15" s="5">
        <v>334132</v>
      </c>
      <c r="D15" s="174">
        <v>300683</v>
      </c>
      <c r="E15" s="5">
        <v>16535</v>
      </c>
      <c r="F15" s="12">
        <v>329565</v>
      </c>
      <c r="G15" s="5">
        <v>22147</v>
      </c>
      <c r="H15" s="17">
        <f t="shared" si="0"/>
        <v>-4386</v>
      </c>
      <c r="I15" s="2">
        <f t="shared" si="1"/>
        <v>-20921</v>
      </c>
      <c r="J15" s="2">
        <f t="shared" si="2"/>
        <v>-4567</v>
      </c>
      <c r="K15" s="2">
        <f t="shared" si="3"/>
        <v>-26714</v>
      </c>
      <c r="L15" s="5">
        <f t="shared" si="4"/>
        <v>-181</v>
      </c>
    </row>
    <row r="16" spans="1:12" ht="12.75">
      <c r="A16" s="41" t="s">
        <v>42</v>
      </c>
      <c r="B16" s="232">
        <v>342978</v>
      </c>
      <c r="C16" s="28">
        <v>372762</v>
      </c>
      <c r="D16" s="328">
        <v>334203</v>
      </c>
      <c r="E16" s="28">
        <v>17896</v>
      </c>
      <c r="F16" s="61">
        <v>368718</v>
      </c>
      <c r="G16" s="28">
        <v>24561</v>
      </c>
      <c r="H16" s="17">
        <f t="shared" si="0"/>
        <v>-8775</v>
      </c>
      <c r="I16" s="2">
        <f t="shared" si="1"/>
        <v>-26671</v>
      </c>
      <c r="J16" s="2">
        <f t="shared" si="2"/>
        <v>-4044</v>
      </c>
      <c r="K16" s="2">
        <f t="shared" si="3"/>
        <v>-28605</v>
      </c>
      <c r="L16" s="5">
        <f t="shared" si="4"/>
        <v>4731</v>
      </c>
    </row>
    <row r="17" spans="1:12" ht="12.75">
      <c r="A17" s="39" t="s">
        <v>43</v>
      </c>
      <c r="B17" s="232">
        <v>379850</v>
      </c>
      <c r="C17" s="28">
        <v>410932</v>
      </c>
      <c r="D17" s="328">
        <v>371148</v>
      </c>
      <c r="E17" s="28">
        <v>19396</v>
      </c>
      <c r="F17" s="61">
        <v>403696</v>
      </c>
      <c r="G17" s="28">
        <v>26998</v>
      </c>
      <c r="H17" s="17">
        <f t="shared" si="0"/>
        <v>-8702</v>
      </c>
      <c r="I17" s="2">
        <f t="shared" si="1"/>
        <v>-28098</v>
      </c>
      <c r="J17" s="2">
        <f t="shared" si="2"/>
        <v>-7236</v>
      </c>
      <c r="K17" s="2">
        <f t="shared" si="3"/>
        <v>-34234</v>
      </c>
      <c r="L17" s="5">
        <f t="shared" si="4"/>
        <v>1466</v>
      </c>
    </row>
    <row r="18" spans="1:12" ht="13.5" thickBot="1">
      <c r="A18" s="43" t="s">
        <v>44</v>
      </c>
      <c r="B18" s="233">
        <v>415021</v>
      </c>
      <c r="C18" s="7">
        <v>445948</v>
      </c>
      <c r="D18" s="329">
        <v>415166</v>
      </c>
      <c r="E18" s="7">
        <v>22990</v>
      </c>
      <c r="F18" s="62">
        <v>446129</v>
      </c>
      <c r="G18" s="7">
        <v>33943</v>
      </c>
      <c r="H18" s="115">
        <f t="shared" si="0"/>
        <v>145</v>
      </c>
      <c r="I18" s="116">
        <f t="shared" si="1"/>
        <v>-22845</v>
      </c>
      <c r="J18" s="116">
        <f t="shared" si="2"/>
        <v>181</v>
      </c>
      <c r="K18" s="116">
        <f t="shared" si="3"/>
        <v>-33762</v>
      </c>
      <c r="L18" s="117">
        <f t="shared" si="4"/>
        <v>36</v>
      </c>
    </row>
    <row r="20" spans="1:12" ht="12.75" customHeight="1">
      <c r="A20" s="1523" t="s">
        <v>320</v>
      </c>
      <c r="B20" s="1598"/>
      <c r="C20" s="1598"/>
      <c r="D20" s="1598"/>
      <c r="E20" s="1598"/>
      <c r="F20" s="1598"/>
      <c r="G20" s="1598"/>
      <c r="H20" s="1598"/>
      <c r="I20" s="1598"/>
      <c r="J20" s="1598"/>
      <c r="K20" s="1598"/>
      <c r="L20" s="1599"/>
    </row>
    <row r="21" spans="1:12" ht="12.75">
      <c r="A21" s="1600"/>
      <c r="B21" s="1601"/>
      <c r="C21" s="1601"/>
      <c r="D21" s="1601"/>
      <c r="E21" s="1601"/>
      <c r="F21" s="1601"/>
      <c r="G21" s="1601"/>
      <c r="H21" s="1601"/>
      <c r="I21" s="1601"/>
      <c r="J21" s="1601"/>
      <c r="K21" s="1601"/>
      <c r="L21" s="1602"/>
    </row>
    <row r="22" spans="1:12" ht="12.75">
      <c r="A22" s="1600"/>
      <c r="B22" s="1601"/>
      <c r="C22" s="1601"/>
      <c r="D22" s="1601"/>
      <c r="E22" s="1601"/>
      <c r="F22" s="1601"/>
      <c r="G22" s="1601"/>
      <c r="H22" s="1601"/>
      <c r="I22" s="1601"/>
      <c r="J22" s="1601"/>
      <c r="K22" s="1601"/>
      <c r="L22" s="1602"/>
    </row>
    <row r="23" spans="1:12" ht="12.75">
      <c r="A23" s="1603"/>
      <c r="B23" s="1604"/>
      <c r="C23" s="1604"/>
      <c r="D23" s="1604"/>
      <c r="E23" s="1604"/>
      <c r="F23" s="1604"/>
      <c r="G23" s="1604"/>
      <c r="H23" s="1604"/>
      <c r="I23" s="1604"/>
      <c r="J23" s="1604"/>
      <c r="K23" s="1604"/>
      <c r="L23" s="1605"/>
    </row>
    <row r="24" spans="1:11" ht="12.75">
      <c r="A24" s="54"/>
      <c r="B24" s="54"/>
      <c r="C24" s="54"/>
      <c r="D24" s="54"/>
      <c r="E24" s="54"/>
      <c r="F24" s="54"/>
      <c r="G24" s="54"/>
      <c r="H24" s="54"/>
      <c r="I24" s="54"/>
      <c r="J24" s="54"/>
      <c r="K24" s="54"/>
    </row>
    <row r="25" ht="16.5" thickBot="1">
      <c r="A25" s="16" t="s">
        <v>55</v>
      </c>
    </row>
    <row r="26" spans="1:12" ht="12.75">
      <c r="A26" s="1558" t="s">
        <v>28</v>
      </c>
      <c r="B26" s="1560" t="s">
        <v>29</v>
      </c>
      <c r="C26" s="1562" t="s">
        <v>30</v>
      </c>
      <c r="D26" s="1562" t="s">
        <v>31</v>
      </c>
      <c r="E26" s="1592" t="s">
        <v>24</v>
      </c>
      <c r="F26" s="1606" t="s">
        <v>45</v>
      </c>
      <c r="G26" s="1257"/>
      <c r="H26" s="1257"/>
      <c r="I26" s="1257"/>
      <c r="J26" s="1257"/>
      <c r="K26" s="1607"/>
      <c r="L26" s="1247" t="s">
        <v>16</v>
      </c>
    </row>
    <row r="27" spans="1:12" s="24" customFormat="1" ht="18" customHeight="1" thickBot="1">
      <c r="A27" s="1559"/>
      <c r="B27" s="1610"/>
      <c r="C27" s="1609" t="s">
        <v>30</v>
      </c>
      <c r="D27" s="1609" t="s">
        <v>31</v>
      </c>
      <c r="E27" s="1608" t="s">
        <v>24</v>
      </c>
      <c r="F27" s="70" t="s">
        <v>46</v>
      </c>
      <c r="G27" s="70" t="s">
        <v>47</v>
      </c>
      <c r="H27" s="70" t="s">
        <v>48</v>
      </c>
      <c r="I27" s="70" t="s">
        <v>49</v>
      </c>
      <c r="J27" s="70" t="s">
        <v>50</v>
      </c>
      <c r="K27" s="66" t="s">
        <v>24</v>
      </c>
      <c r="L27" s="1594"/>
    </row>
    <row r="28" spans="1:12" ht="12.75">
      <c r="A28" s="203">
        <v>37986</v>
      </c>
      <c r="B28" s="189">
        <v>18973.85</v>
      </c>
      <c r="C28" s="189">
        <v>0</v>
      </c>
      <c r="D28" s="189">
        <v>119.18</v>
      </c>
      <c r="E28" s="190">
        <f>SUM(B28:D28)</f>
        <v>19093.03</v>
      </c>
      <c r="F28" s="188">
        <v>9123.7</v>
      </c>
      <c r="G28" s="189">
        <v>150.79</v>
      </c>
      <c r="H28" s="189">
        <v>152.55</v>
      </c>
      <c r="I28" s="189"/>
      <c r="J28" s="189"/>
      <c r="K28" s="192">
        <f>SUM(F28:J28)</f>
        <v>9427.04</v>
      </c>
      <c r="L28" s="193">
        <v>1560</v>
      </c>
    </row>
    <row r="29" spans="1:12" ht="12.75">
      <c r="A29" s="302">
        <v>38352</v>
      </c>
      <c r="B29" s="317">
        <v>14614.86</v>
      </c>
      <c r="C29" s="318">
        <v>0</v>
      </c>
      <c r="D29" s="318">
        <v>265.56</v>
      </c>
      <c r="E29" s="304">
        <v>14880.42</v>
      </c>
      <c r="F29" s="319">
        <v>6813</v>
      </c>
      <c r="G29" s="318">
        <v>111.18</v>
      </c>
      <c r="H29" s="318">
        <v>-6.93</v>
      </c>
      <c r="I29" s="318">
        <v>6.64</v>
      </c>
      <c r="J29" s="318">
        <v>-0.9</v>
      </c>
      <c r="K29" s="320">
        <v>6922.99</v>
      </c>
      <c r="L29" s="308">
        <v>720</v>
      </c>
    </row>
    <row r="30" spans="1:12" ht="13.5" thickBot="1">
      <c r="A30" s="309">
        <v>38717</v>
      </c>
      <c r="B30" s="312">
        <v>30714</v>
      </c>
      <c r="C30" s="313">
        <v>0</v>
      </c>
      <c r="D30" s="313">
        <v>44</v>
      </c>
      <c r="E30" s="314">
        <f>SUM(B30:D30)</f>
        <v>30758</v>
      </c>
      <c r="F30" s="315">
        <v>11799</v>
      </c>
      <c r="G30" s="313">
        <v>9259</v>
      </c>
      <c r="H30" s="313"/>
      <c r="I30" s="313">
        <v>739</v>
      </c>
      <c r="J30" s="313"/>
      <c r="K30" s="310">
        <f>SUM(F30:J30)</f>
        <v>21797</v>
      </c>
      <c r="L30" s="321">
        <v>0</v>
      </c>
    </row>
    <row r="31" spans="1:12" ht="12.75">
      <c r="A31" s="37">
        <v>38748</v>
      </c>
      <c r="B31" s="38">
        <v>35391</v>
      </c>
      <c r="C31" s="33"/>
      <c r="D31" s="33">
        <v>34</v>
      </c>
      <c r="E31" s="71">
        <f aca="true" t="shared" si="5" ref="E31:E42">SUM(B31:D31)</f>
        <v>35425</v>
      </c>
      <c r="F31" s="50">
        <v>9367</v>
      </c>
      <c r="G31" s="33">
        <v>10474</v>
      </c>
      <c r="H31" s="33">
        <v>83</v>
      </c>
      <c r="I31" s="33">
        <v>3</v>
      </c>
      <c r="J31" s="33"/>
      <c r="K31" s="73">
        <f aca="true" t="shared" si="6" ref="K31:K42">SUM(F31:J31)</f>
        <v>19927</v>
      </c>
      <c r="L31" s="213">
        <v>0</v>
      </c>
    </row>
    <row r="32" spans="1:12" ht="12.75">
      <c r="A32" s="39">
        <v>38776</v>
      </c>
      <c r="B32" s="40">
        <v>42661</v>
      </c>
      <c r="C32" s="34"/>
      <c r="D32" s="34">
        <v>98</v>
      </c>
      <c r="E32" s="235">
        <f t="shared" si="5"/>
        <v>42759</v>
      </c>
      <c r="F32" s="46">
        <v>10596</v>
      </c>
      <c r="G32" s="34">
        <v>17017</v>
      </c>
      <c r="H32" s="34">
        <v>1135</v>
      </c>
      <c r="I32" s="34">
        <v>12</v>
      </c>
      <c r="J32" s="34"/>
      <c r="K32" s="74">
        <f t="shared" si="6"/>
        <v>28760</v>
      </c>
      <c r="L32" s="234">
        <v>0</v>
      </c>
    </row>
    <row r="33" spans="1:12" ht="12.75">
      <c r="A33" s="39">
        <v>38807</v>
      </c>
      <c r="B33" s="40">
        <v>41135</v>
      </c>
      <c r="C33" s="34"/>
      <c r="D33" s="34">
        <v>47</v>
      </c>
      <c r="E33" s="235">
        <f t="shared" si="5"/>
        <v>41182</v>
      </c>
      <c r="F33" s="46">
        <v>10189</v>
      </c>
      <c r="G33" s="34">
        <v>14777</v>
      </c>
      <c r="H33" s="34">
        <v>2243</v>
      </c>
      <c r="I33" s="34"/>
      <c r="J33" s="34"/>
      <c r="K33" s="74">
        <f t="shared" si="6"/>
        <v>27209</v>
      </c>
      <c r="L33" s="234">
        <v>0</v>
      </c>
    </row>
    <row r="34" spans="1:12" ht="12.75">
      <c r="A34" s="39">
        <v>38837</v>
      </c>
      <c r="B34" s="40">
        <v>41792</v>
      </c>
      <c r="C34" s="34">
        <v>31</v>
      </c>
      <c r="D34" s="34">
        <v>50</v>
      </c>
      <c r="E34" s="235">
        <f t="shared" si="5"/>
        <v>41873</v>
      </c>
      <c r="F34" s="46">
        <v>8221</v>
      </c>
      <c r="G34" s="34">
        <v>16478</v>
      </c>
      <c r="H34" s="34">
        <v>800</v>
      </c>
      <c r="I34" s="34"/>
      <c r="J34" s="34">
        <v>2</v>
      </c>
      <c r="K34" s="74">
        <f t="shared" si="6"/>
        <v>25501</v>
      </c>
      <c r="L34" s="234">
        <v>0</v>
      </c>
    </row>
    <row r="35" spans="1:12" ht="12.75">
      <c r="A35" s="39">
        <v>38868</v>
      </c>
      <c r="B35" s="40">
        <v>43262</v>
      </c>
      <c r="C35" s="34">
        <v>31</v>
      </c>
      <c r="D35" s="34">
        <v>50</v>
      </c>
      <c r="E35" s="235">
        <f t="shared" si="5"/>
        <v>43343</v>
      </c>
      <c r="F35" s="46">
        <v>8690</v>
      </c>
      <c r="G35" s="34">
        <v>14319</v>
      </c>
      <c r="H35" s="34">
        <v>1089</v>
      </c>
      <c r="I35" s="34"/>
      <c r="J35" s="34"/>
      <c r="K35" s="74">
        <f t="shared" si="6"/>
        <v>24098</v>
      </c>
      <c r="L35" s="234">
        <v>0</v>
      </c>
    </row>
    <row r="36" spans="1:12" ht="13.5" thickBot="1">
      <c r="A36" s="182">
        <v>38898</v>
      </c>
      <c r="B36" s="186">
        <v>45041</v>
      </c>
      <c r="C36" s="185">
        <v>31</v>
      </c>
      <c r="D36" s="185">
        <v>61</v>
      </c>
      <c r="E36" s="194">
        <f t="shared" si="5"/>
        <v>45133</v>
      </c>
      <c r="F36" s="184">
        <v>9872</v>
      </c>
      <c r="G36" s="185">
        <v>14082</v>
      </c>
      <c r="H36" s="185">
        <v>1915</v>
      </c>
      <c r="I36" s="185"/>
      <c r="J36" s="185"/>
      <c r="K36" s="75">
        <f t="shared" si="6"/>
        <v>25869</v>
      </c>
      <c r="L36" s="236">
        <v>0</v>
      </c>
    </row>
    <row r="37" spans="1:12" ht="12.75">
      <c r="A37" s="37">
        <v>38929</v>
      </c>
      <c r="B37" s="38">
        <v>45853</v>
      </c>
      <c r="C37" s="33">
        <v>45</v>
      </c>
      <c r="D37" s="33">
        <v>86</v>
      </c>
      <c r="E37" s="71">
        <f t="shared" si="5"/>
        <v>45984</v>
      </c>
      <c r="F37" s="50">
        <v>8595</v>
      </c>
      <c r="G37" s="33">
        <v>15330</v>
      </c>
      <c r="H37" s="33">
        <v>1814</v>
      </c>
      <c r="I37" s="33">
        <v>1</v>
      </c>
      <c r="J37" s="33"/>
      <c r="K37" s="73">
        <f t="shared" si="6"/>
        <v>25740</v>
      </c>
      <c r="L37" s="213">
        <v>0</v>
      </c>
    </row>
    <row r="38" spans="1:12" ht="12.75">
      <c r="A38" s="39">
        <v>38960</v>
      </c>
      <c r="B38" s="38">
        <v>44611</v>
      </c>
      <c r="C38" s="33">
        <v>45</v>
      </c>
      <c r="D38" s="33">
        <v>67</v>
      </c>
      <c r="E38" s="71">
        <f t="shared" si="5"/>
        <v>44723</v>
      </c>
      <c r="F38" s="46">
        <v>7790</v>
      </c>
      <c r="G38" s="34">
        <v>14323</v>
      </c>
      <c r="H38" s="34">
        <v>1729</v>
      </c>
      <c r="I38" s="34">
        <v>1</v>
      </c>
      <c r="J38" s="34"/>
      <c r="K38" s="74">
        <f t="shared" si="6"/>
        <v>23843</v>
      </c>
      <c r="L38" s="234">
        <v>0</v>
      </c>
    </row>
    <row r="39" spans="1:12" ht="12.75">
      <c r="A39" s="37">
        <v>38990</v>
      </c>
      <c r="B39" s="38">
        <v>35059</v>
      </c>
      <c r="C39" s="33">
        <v>45</v>
      </c>
      <c r="D39" s="33">
        <v>85</v>
      </c>
      <c r="E39" s="71">
        <f t="shared" si="5"/>
        <v>35189</v>
      </c>
      <c r="F39" s="46">
        <v>13093</v>
      </c>
      <c r="G39" s="34">
        <v>13393</v>
      </c>
      <c r="H39" s="34">
        <v>1787</v>
      </c>
      <c r="I39" s="34">
        <v>12</v>
      </c>
      <c r="J39" s="34"/>
      <c r="K39" s="74">
        <f t="shared" si="6"/>
        <v>28285</v>
      </c>
      <c r="L39" s="234">
        <v>0</v>
      </c>
    </row>
    <row r="40" spans="1:12" ht="12.75">
      <c r="A40" s="39">
        <v>39021</v>
      </c>
      <c r="B40" s="40">
        <v>31857</v>
      </c>
      <c r="C40" s="34">
        <v>45</v>
      </c>
      <c r="D40" s="34">
        <v>96</v>
      </c>
      <c r="E40" s="235">
        <f t="shared" si="5"/>
        <v>31998</v>
      </c>
      <c r="F40" s="46">
        <v>9681</v>
      </c>
      <c r="G40" s="34">
        <v>17593</v>
      </c>
      <c r="H40" s="34">
        <v>225</v>
      </c>
      <c r="I40" s="34">
        <v>12</v>
      </c>
      <c r="J40" s="34"/>
      <c r="K40" s="74">
        <f t="shared" si="6"/>
        <v>27511</v>
      </c>
      <c r="L40" s="234">
        <v>0</v>
      </c>
    </row>
    <row r="41" spans="1:12" ht="12.75">
      <c r="A41" s="37">
        <v>39051</v>
      </c>
      <c r="B41" s="38">
        <v>31739</v>
      </c>
      <c r="C41" s="33">
        <v>31</v>
      </c>
      <c r="D41" s="33">
        <v>99</v>
      </c>
      <c r="E41" s="71">
        <f t="shared" si="5"/>
        <v>31869</v>
      </c>
      <c r="F41" s="46">
        <v>16813</v>
      </c>
      <c r="G41" s="34">
        <v>19290</v>
      </c>
      <c r="H41" s="34">
        <v>525</v>
      </c>
      <c r="I41" s="34">
        <v>15</v>
      </c>
      <c r="J41" s="34"/>
      <c r="K41" s="74">
        <f t="shared" si="6"/>
        <v>36643</v>
      </c>
      <c r="L41" s="234">
        <v>0</v>
      </c>
    </row>
    <row r="42" spans="1:12" ht="13.5" thickBot="1">
      <c r="A42" s="182">
        <v>39082</v>
      </c>
      <c r="B42" s="44">
        <v>32562</v>
      </c>
      <c r="C42" s="45">
        <v>14</v>
      </c>
      <c r="D42" s="45">
        <v>27</v>
      </c>
      <c r="E42" s="72">
        <f t="shared" si="5"/>
        <v>32603</v>
      </c>
      <c r="F42" s="184">
        <v>10096</v>
      </c>
      <c r="G42" s="185">
        <v>13698</v>
      </c>
      <c r="H42" s="185">
        <v>385</v>
      </c>
      <c r="I42" s="185">
        <v>1</v>
      </c>
      <c r="J42" s="185"/>
      <c r="K42" s="75">
        <f t="shared" si="6"/>
        <v>24180</v>
      </c>
      <c r="L42" s="236">
        <v>0</v>
      </c>
    </row>
    <row r="43" spans="1:12" ht="12.75">
      <c r="A43" s="83" t="s">
        <v>61</v>
      </c>
      <c r="B43" s="56"/>
      <c r="C43" s="56"/>
      <c r="D43" s="56"/>
      <c r="E43" s="57"/>
      <c r="F43" s="56"/>
      <c r="G43" s="56"/>
      <c r="H43" s="56"/>
      <c r="I43" s="56"/>
      <c r="J43" s="56"/>
      <c r="K43" s="56"/>
      <c r="L43" s="81"/>
    </row>
    <row r="44" spans="1:11" ht="12.75">
      <c r="A44" s="55"/>
      <c r="B44" s="56"/>
      <c r="C44" s="56"/>
      <c r="D44" s="56"/>
      <c r="E44" s="57"/>
      <c r="F44" s="56"/>
      <c r="G44" s="56"/>
      <c r="H44" s="56"/>
      <c r="I44" s="56"/>
      <c r="J44" s="56"/>
      <c r="K44" s="56"/>
    </row>
    <row r="45" ht="16.5" thickBot="1">
      <c r="A45" s="16" t="s">
        <v>56</v>
      </c>
    </row>
    <row r="46" spans="1:12" ht="22.5" customHeight="1" thickBot="1">
      <c r="A46" s="1558" t="s">
        <v>28</v>
      </c>
      <c r="B46" s="1560" t="s">
        <v>51</v>
      </c>
      <c r="C46" s="1562" t="s">
        <v>52</v>
      </c>
      <c r="D46" s="1562" t="s">
        <v>53</v>
      </c>
      <c r="E46" s="1592" t="s">
        <v>24</v>
      </c>
      <c r="F46" s="1620" t="s">
        <v>45</v>
      </c>
      <c r="G46" s="1621"/>
      <c r="H46" s="1621"/>
      <c r="I46" s="1621"/>
      <c r="J46" s="1621"/>
      <c r="K46" s="1621"/>
      <c r="L46" s="1280" t="s">
        <v>139</v>
      </c>
    </row>
    <row r="47" spans="1:12" ht="33" customHeight="1" thickBot="1">
      <c r="A47" s="1559"/>
      <c r="B47" s="1561"/>
      <c r="C47" s="1563" t="s">
        <v>30</v>
      </c>
      <c r="D47" s="1563" t="s">
        <v>31</v>
      </c>
      <c r="E47" s="1593" t="s">
        <v>24</v>
      </c>
      <c r="F47" s="133" t="s">
        <v>46</v>
      </c>
      <c r="G47" s="134" t="s">
        <v>47</v>
      </c>
      <c r="H47" s="134" t="s">
        <v>48</v>
      </c>
      <c r="I47" s="134" t="s">
        <v>49</v>
      </c>
      <c r="J47" s="134" t="s">
        <v>50</v>
      </c>
      <c r="K47" s="158" t="s">
        <v>24</v>
      </c>
      <c r="L47" s="1281"/>
    </row>
    <row r="48" spans="1:12" ht="12.75">
      <c r="A48" s="187">
        <v>37986</v>
      </c>
      <c r="B48" s="322">
        <v>40603</v>
      </c>
      <c r="C48" s="205">
        <v>204</v>
      </c>
      <c r="D48" s="205">
        <v>1193</v>
      </c>
      <c r="E48" s="190">
        <f>SUM(B48:D48)</f>
        <v>42000</v>
      </c>
      <c r="F48" s="206">
        <v>1742</v>
      </c>
      <c r="G48" s="191">
        <v>62</v>
      </c>
      <c r="H48" s="191">
        <v>52</v>
      </c>
      <c r="I48" s="191">
        <v>151</v>
      </c>
      <c r="J48" s="191">
        <v>687</v>
      </c>
      <c r="K48" s="207">
        <f>SUM(F48:J48)</f>
        <v>2694</v>
      </c>
      <c r="L48" s="193">
        <f>+E48-E28-L28</f>
        <v>21346.97</v>
      </c>
    </row>
    <row r="49" spans="1:12" ht="12" customHeight="1">
      <c r="A49" s="316">
        <v>38352</v>
      </c>
      <c r="B49" s="323">
        <v>51452.59</v>
      </c>
      <c r="C49" s="303">
        <v>44.35</v>
      </c>
      <c r="D49" s="303">
        <v>848.34</v>
      </c>
      <c r="E49" s="304">
        <v>52345.28</v>
      </c>
      <c r="F49" s="305">
        <v>12985.2</v>
      </c>
      <c r="G49" s="306">
        <v>577.58</v>
      </c>
      <c r="H49" s="306">
        <v>25.8</v>
      </c>
      <c r="I49" s="306">
        <v>85.49</v>
      </c>
      <c r="J49" s="306">
        <v>686.15</v>
      </c>
      <c r="K49" s="307">
        <v>14360.22</v>
      </c>
      <c r="L49" s="308">
        <f>+E49-E29-L29</f>
        <v>36744.86</v>
      </c>
    </row>
    <row r="50" spans="1:12" ht="13.5" thickBot="1">
      <c r="A50" s="325">
        <v>38717</v>
      </c>
      <c r="B50" s="315">
        <v>62568</v>
      </c>
      <c r="C50" s="313">
        <v>58</v>
      </c>
      <c r="D50" s="313">
        <v>933</v>
      </c>
      <c r="E50" s="314">
        <f>SUM(B50:D50)</f>
        <v>63559</v>
      </c>
      <c r="F50" s="315">
        <v>17074</v>
      </c>
      <c r="G50" s="313">
        <v>1984</v>
      </c>
      <c r="H50" s="313">
        <v>372</v>
      </c>
      <c r="I50" s="313">
        <v>4</v>
      </c>
      <c r="J50" s="313">
        <v>700</v>
      </c>
      <c r="K50" s="327">
        <f>SUM(F50:J50)</f>
        <v>20134</v>
      </c>
      <c r="L50" s="311">
        <f>+E50-E29-L29</f>
        <v>47958.58</v>
      </c>
    </row>
    <row r="51" spans="1:12" ht="12.75">
      <c r="A51" s="47">
        <v>38748</v>
      </c>
      <c r="B51" s="50">
        <v>69589</v>
      </c>
      <c r="C51" s="33">
        <v>62</v>
      </c>
      <c r="D51" s="33">
        <v>910</v>
      </c>
      <c r="E51" s="71">
        <f aca="true" t="shared" si="7" ref="E51:E62">SUM(B51:D51)</f>
        <v>70561</v>
      </c>
      <c r="F51" s="50">
        <v>12985</v>
      </c>
      <c r="G51" s="33">
        <v>56</v>
      </c>
      <c r="H51" s="33">
        <v>341</v>
      </c>
      <c r="I51" s="33">
        <v>344</v>
      </c>
      <c r="J51" s="33">
        <v>700</v>
      </c>
      <c r="K51" s="76">
        <f aca="true" t="shared" si="8" ref="K51:K62">SUM(F51:J51)</f>
        <v>14426</v>
      </c>
      <c r="L51" s="159">
        <f aca="true" t="shared" si="9" ref="L51:L62">+E51-E31-L31</f>
        <v>35136</v>
      </c>
    </row>
    <row r="52" spans="1:12" ht="12.75">
      <c r="A52" s="48">
        <v>38776</v>
      </c>
      <c r="B52" s="46">
        <v>64472</v>
      </c>
      <c r="C52" s="34">
        <v>62</v>
      </c>
      <c r="D52" s="34">
        <v>1047</v>
      </c>
      <c r="E52" s="71">
        <f t="shared" si="7"/>
        <v>65581</v>
      </c>
      <c r="F52" s="46">
        <v>13426</v>
      </c>
      <c r="G52" s="34">
        <v>109</v>
      </c>
      <c r="H52" s="34">
        <v>338</v>
      </c>
      <c r="I52" s="34">
        <v>3</v>
      </c>
      <c r="J52" s="34">
        <v>700</v>
      </c>
      <c r="K52" s="77">
        <f t="shared" si="8"/>
        <v>14576</v>
      </c>
      <c r="L52" s="159">
        <f t="shared" si="9"/>
        <v>22822</v>
      </c>
    </row>
    <row r="53" spans="1:12" ht="12.75">
      <c r="A53" s="48">
        <v>38807</v>
      </c>
      <c r="B53" s="46">
        <v>50304</v>
      </c>
      <c r="C53" s="34">
        <v>66</v>
      </c>
      <c r="D53" s="34">
        <v>1044</v>
      </c>
      <c r="E53" s="71">
        <f t="shared" si="7"/>
        <v>51414</v>
      </c>
      <c r="F53" s="46">
        <v>5138</v>
      </c>
      <c r="G53" s="34">
        <v>76</v>
      </c>
      <c r="H53" s="34">
        <v>334</v>
      </c>
      <c r="I53" s="34">
        <v>3</v>
      </c>
      <c r="J53" s="34">
        <v>700</v>
      </c>
      <c r="K53" s="77">
        <f t="shared" si="8"/>
        <v>6251</v>
      </c>
      <c r="L53" s="159">
        <f t="shared" si="9"/>
        <v>10232</v>
      </c>
    </row>
    <row r="54" spans="1:12" ht="12.75">
      <c r="A54" s="48">
        <v>38837</v>
      </c>
      <c r="B54" s="46">
        <v>54390</v>
      </c>
      <c r="C54" s="34">
        <v>60</v>
      </c>
      <c r="D54" s="34">
        <v>796</v>
      </c>
      <c r="E54" s="71">
        <f t="shared" si="7"/>
        <v>55246</v>
      </c>
      <c r="F54" s="46">
        <v>2395</v>
      </c>
      <c r="G54" s="34">
        <v>28</v>
      </c>
      <c r="H54" s="34">
        <v>47</v>
      </c>
      <c r="I54" s="34">
        <v>3</v>
      </c>
      <c r="J54" s="34">
        <v>700</v>
      </c>
      <c r="K54" s="77">
        <f t="shared" si="8"/>
        <v>3173</v>
      </c>
      <c r="L54" s="159">
        <f t="shared" si="9"/>
        <v>13373</v>
      </c>
    </row>
    <row r="55" spans="1:12" ht="12.75">
      <c r="A55" s="48">
        <v>38868</v>
      </c>
      <c r="B55" s="46">
        <v>49535</v>
      </c>
      <c r="C55" s="34">
        <v>58</v>
      </c>
      <c r="D55" s="34">
        <v>808</v>
      </c>
      <c r="E55" s="71">
        <f t="shared" si="7"/>
        <v>50401</v>
      </c>
      <c r="F55" s="46">
        <v>3879</v>
      </c>
      <c r="G55" s="34">
        <v>138</v>
      </c>
      <c r="H55" s="34">
        <v>33</v>
      </c>
      <c r="I55" s="34"/>
      <c r="J55" s="34">
        <v>620</v>
      </c>
      <c r="K55" s="77">
        <f t="shared" si="8"/>
        <v>4670</v>
      </c>
      <c r="L55" s="159">
        <f t="shared" si="9"/>
        <v>7058</v>
      </c>
    </row>
    <row r="56" spans="1:12" ht="13.5" thickBot="1">
      <c r="A56" s="183">
        <v>38898</v>
      </c>
      <c r="B56" s="184">
        <v>48293</v>
      </c>
      <c r="C56" s="185">
        <v>54</v>
      </c>
      <c r="D56" s="185">
        <v>1082</v>
      </c>
      <c r="E56" s="194">
        <f t="shared" si="7"/>
        <v>49429</v>
      </c>
      <c r="F56" s="605">
        <v>329</v>
      </c>
      <c r="G56" s="116">
        <v>199</v>
      </c>
      <c r="H56" s="116">
        <v>0</v>
      </c>
      <c r="I56" s="116">
        <v>33</v>
      </c>
      <c r="J56" s="605">
        <v>620</v>
      </c>
      <c r="K56" s="75">
        <f t="shared" si="8"/>
        <v>1181</v>
      </c>
      <c r="L56" s="168">
        <f t="shared" si="9"/>
        <v>4296</v>
      </c>
    </row>
    <row r="57" spans="1:12" ht="12.75">
      <c r="A57" s="37">
        <v>38929</v>
      </c>
      <c r="B57" s="38">
        <v>50394</v>
      </c>
      <c r="C57" s="33">
        <v>54</v>
      </c>
      <c r="D57" s="33">
        <v>855</v>
      </c>
      <c r="E57" s="71">
        <f t="shared" si="7"/>
        <v>51303</v>
      </c>
      <c r="F57" s="50">
        <v>1755</v>
      </c>
      <c r="G57" s="33">
        <v>165</v>
      </c>
      <c r="H57" s="33">
        <v>66</v>
      </c>
      <c r="I57" s="33">
        <v>7</v>
      </c>
      <c r="J57" s="33">
        <v>619</v>
      </c>
      <c r="K57" s="76">
        <f t="shared" si="8"/>
        <v>2612</v>
      </c>
      <c r="L57" s="159">
        <f t="shared" si="9"/>
        <v>5319</v>
      </c>
    </row>
    <row r="58" spans="1:12" ht="12.75">
      <c r="A58" s="39">
        <v>38960</v>
      </c>
      <c r="B58" s="40">
        <v>48250</v>
      </c>
      <c r="C58" s="34">
        <v>58</v>
      </c>
      <c r="D58" s="34">
        <v>887</v>
      </c>
      <c r="E58" s="71">
        <f t="shared" si="7"/>
        <v>49195</v>
      </c>
      <c r="F58" s="46">
        <v>13407</v>
      </c>
      <c r="G58" s="34">
        <v>161</v>
      </c>
      <c r="H58" s="34">
        <v>56</v>
      </c>
      <c r="I58" s="34">
        <v>7</v>
      </c>
      <c r="J58" s="34">
        <v>620</v>
      </c>
      <c r="K58" s="77">
        <f t="shared" si="8"/>
        <v>14251</v>
      </c>
      <c r="L58" s="159">
        <f t="shared" si="9"/>
        <v>4472</v>
      </c>
    </row>
    <row r="59" spans="1:12" ht="12.75">
      <c r="A59" s="37">
        <v>38990</v>
      </c>
      <c r="B59" s="40">
        <v>46381</v>
      </c>
      <c r="C59" s="34">
        <v>58</v>
      </c>
      <c r="D59" s="34">
        <v>921</v>
      </c>
      <c r="E59" s="71">
        <f t="shared" si="7"/>
        <v>47360</v>
      </c>
      <c r="F59" s="46">
        <v>1513</v>
      </c>
      <c r="G59" s="34">
        <v>84</v>
      </c>
      <c r="H59" s="34">
        <v>150</v>
      </c>
      <c r="I59" s="34">
        <v>7</v>
      </c>
      <c r="J59" s="34">
        <v>620</v>
      </c>
      <c r="K59" s="77">
        <f t="shared" si="8"/>
        <v>2374</v>
      </c>
      <c r="L59" s="159">
        <f t="shared" si="9"/>
        <v>12171</v>
      </c>
    </row>
    <row r="60" spans="1:12" ht="12.75">
      <c r="A60" s="39">
        <v>39021</v>
      </c>
      <c r="B60" s="40">
        <v>48018</v>
      </c>
      <c r="C60" s="34">
        <v>76</v>
      </c>
      <c r="D60" s="34">
        <v>940</v>
      </c>
      <c r="E60" s="71">
        <f t="shared" si="7"/>
        <v>49034</v>
      </c>
      <c r="F60" s="46">
        <v>1166</v>
      </c>
      <c r="G60" s="34">
        <v>48</v>
      </c>
      <c r="H60" s="34">
        <v>162</v>
      </c>
      <c r="I60" s="34">
        <v>9</v>
      </c>
      <c r="J60" s="34">
        <v>620</v>
      </c>
      <c r="K60" s="77">
        <f t="shared" si="8"/>
        <v>2005</v>
      </c>
      <c r="L60" s="159">
        <f t="shared" si="9"/>
        <v>17036</v>
      </c>
    </row>
    <row r="61" spans="1:12" ht="12.75">
      <c r="A61" s="37">
        <v>39051</v>
      </c>
      <c r="B61" s="40">
        <v>45029</v>
      </c>
      <c r="C61" s="34">
        <v>34</v>
      </c>
      <c r="D61" s="34">
        <v>921</v>
      </c>
      <c r="E61" s="235">
        <f t="shared" si="7"/>
        <v>45984</v>
      </c>
      <c r="F61" s="46">
        <v>72</v>
      </c>
      <c r="G61" s="34">
        <v>93</v>
      </c>
      <c r="H61" s="34">
        <v>90</v>
      </c>
      <c r="I61" s="34">
        <v>63</v>
      </c>
      <c r="J61" s="34">
        <v>620</v>
      </c>
      <c r="K61" s="77">
        <f t="shared" si="8"/>
        <v>938</v>
      </c>
      <c r="L61" s="159">
        <f t="shared" si="9"/>
        <v>14115</v>
      </c>
    </row>
    <row r="62" spans="1:12" ht="13.5" thickBot="1">
      <c r="A62" s="182">
        <v>39082</v>
      </c>
      <c r="B62" s="186">
        <v>43681</v>
      </c>
      <c r="C62" s="185">
        <v>57</v>
      </c>
      <c r="D62" s="185">
        <v>939</v>
      </c>
      <c r="E62" s="72">
        <f t="shared" si="7"/>
        <v>44677</v>
      </c>
      <c r="F62" s="184">
        <v>26</v>
      </c>
      <c r="G62" s="185">
        <v>48</v>
      </c>
      <c r="H62" s="185">
        <v>2</v>
      </c>
      <c r="I62" s="185">
        <v>93</v>
      </c>
      <c r="J62" s="185">
        <v>80</v>
      </c>
      <c r="K62" s="78">
        <f t="shared" si="8"/>
        <v>249</v>
      </c>
      <c r="L62" s="168">
        <f t="shared" si="9"/>
        <v>12074</v>
      </c>
    </row>
    <row r="64" spans="1:12" ht="12.75" customHeight="1">
      <c r="A64" s="1523" t="s">
        <v>321</v>
      </c>
      <c r="B64" s="1612"/>
      <c r="C64" s="1612"/>
      <c r="D64" s="1612"/>
      <c r="E64" s="1612"/>
      <c r="F64" s="1612"/>
      <c r="G64" s="1612"/>
      <c r="H64" s="1612"/>
      <c r="I64" s="1612"/>
      <c r="J64" s="1612"/>
      <c r="K64" s="1612"/>
      <c r="L64" s="1613"/>
    </row>
    <row r="65" spans="1:12" ht="12.75">
      <c r="A65" s="1614"/>
      <c r="B65" s="1615"/>
      <c r="C65" s="1615"/>
      <c r="D65" s="1615"/>
      <c r="E65" s="1615"/>
      <c r="F65" s="1615"/>
      <c r="G65" s="1615"/>
      <c r="H65" s="1615"/>
      <c r="I65" s="1615"/>
      <c r="J65" s="1615"/>
      <c r="K65" s="1615"/>
      <c r="L65" s="1616"/>
    </row>
    <row r="66" spans="1:12" ht="12.75">
      <c r="A66" s="1614"/>
      <c r="B66" s="1615"/>
      <c r="C66" s="1615"/>
      <c r="D66" s="1615"/>
      <c r="E66" s="1615"/>
      <c r="F66" s="1615"/>
      <c r="G66" s="1615"/>
      <c r="H66" s="1615"/>
      <c r="I66" s="1615"/>
      <c r="J66" s="1615"/>
      <c r="K66" s="1615"/>
      <c r="L66" s="1616"/>
    </row>
    <row r="67" spans="1:12" ht="12.75">
      <c r="A67" s="1617"/>
      <c r="B67" s="1618"/>
      <c r="C67" s="1618"/>
      <c r="D67" s="1618"/>
      <c r="E67" s="1618"/>
      <c r="F67" s="1618"/>
      <c r="G67" s="1618"/>
      <c r="H67" s="1618"/>
      <c r="I67" s="1618"/>
      <c r="J67" s="1618"/>
      <c r="K67" s="1618"/>
      <c r="L67" s="1619"/>
    </row>
    <row r="69" ht="16.5" thickBot="1">
      <c r="A69" s="16" t="s">
        <v>68</v>
      </c>
    </row>
    <row r="70" spans="1:12" ht="13.5" customHeight="1">
      <c r="A70" s="1427" t="s">
        <v>13</v>
      </c>
      <c r="B70" s="1428"/>
      <c r="C70" s="1429"/>
      <c r="D70" s="1386" t="s">
        <v>27</v>
      </c>
      <c r="E70" s="1386"/>
      <c r="F70" s="1387"/>
      <c r="G70" s="1386" t="s">
        <v>137</v>
      </c>
      <c r="H70" s="1386"/>
      <c r="I70" s="1387"/>
      <c r="J70" s="1386" t="s">
        <v>248</v>
      </c>
      <c r="K70" s="1386"/>
      <c r="L70" s="1387"/>
    </row>
    <row r="71" spans="1:12" ht="28.5" customHeight="1" thickBot="1">
      <c r="A71" s="1430"/>
      <c r="B71" s="1431"/>
      <c r="C71" s="1266"/>
      <c r="D71" s="87" t="s">
        <v>65</v>
      </c>
      <c r="E71" s="87" t="s">
        <v>66</v>
      </c>
      <c r="F71" s="88" t="s">
        <v>67</v>
      </c>
      <c r="G71" s="87" t="s">
        <v>65</v>
      </c>
      <c r="H71" s="87" t="s">
        <v>66</v>
      </c>
      <c r="I71" s="88" t="s">
        <v>67</v>
      </c>
      <c r="J71" s="87" t="s">
        <v>65</v>
      </c>
      <c r="K71" s="87" t="s">
        <v>66</v>
      </c>
      <c r="L71" s="88" t="s">
        <v>67</v>
      </c>
    </row>
    <row r="72" spans="1:12" ht="20.25" customHeight="1">
      <c r="A72" s="1450" t="s">
        <v>62</v>
      </c>
      <c r="B72" s="1336"/>
      <c r="C72" s="1440"/>
      <c r="D72" s="196">
        <v>83.21</v>
      </c>
      <c r="E72" s="130">
        <v>35863059</v>
      </c>
      <c r="F72" s="89">
        <f aca="true" t="shared" si="10" ref="F72:F82">+IF(D72&gt;0,E72/D72/12,"")</f>
        <v>35916.214998197334</v>
      </c>
      <c r="G72" s="196">
        <v>85.82</v>
      </c>
      <c r="H72" s="130">
        <v>38595778</v>
      </c>
      <c r="I72" s="89">
        <f aca="true" t="shared" si="11" ref="I72:I82">+IF(G72&gt;0,H72/G72/12,"")</f>
        <v>37477.450866153966</v>
      </c>
      <c r="J72" s="807">
        <v>87.07</v>
      </c>
      <c r="K72" s="130">
        <v>42139472</v>
      </c>
      <c r="L72" s="89">
        <f aca="true" t="shared" si="12" ref="L72:L78">+IF(J72&gt;0,K72/J72/12,"")</f>
        <v>40331.02867424678</v>
      </c>
    </row>
    <row r="73" spans="1:12" ht="20.25" customHeight="1">
      <c r="A73" s="1451" t="s">
        <v>63</v>
      </c>
      <c r="B73" s="1333"/>
      <c r="C73" s="1264"/>
      <c r="D73" s="197">
        <v>3</v>
      </c>
      <c r="E73" s="35">
        <v>806807</v>
      </c>
      <c r="F73" s="51">
        <f t="shared" si="10"/>
        <v>22411.30555555556</v>
      </c>
      <c r="G73" s="197">
        <v>4</v>
      </c>
      <c r="H73" s="35">
        <v>1121745</v>
      </c>
      <c r="I73" s="51">
        <f t="shared" si="11"/>
        <v>23369.6875</v>
      </c>
      <c r="J73" s="808">
        <v>3.94</v>
      </c>
      <c r="K73" s="35">
        <v>1238128</v>
      </c>
      <c r="L73" s="51">
        <f t="shared" si="12"/>
        <v>26187.14043993232</v>
      </c>
    </row>
    <row r="74" spans="1:12" ht="20.25" customHeight="1">
      <c r="A74" s="1451" t="s">
        <v>93</v>
      </c>
      <c r="B74" s="1333"/>
      <c r="C74" s="1264"/>
      <c r="D74" s="197">
        <v>268.18</v>
      </c>
      <c r="E74" s="35">
        <v>54173241</v>
      </c>
      <c r="F74" s="51">
        <f t="shared" si="10"/>
        <v>16833.607092251474</v>
      </c>
      <c r="G74" s="197">
        <v>261.1</v>
      </c>
      <c r="H74" s="35">
        <v>55836562</v>
      </c>
      <c r="I74" s="51">
        <f t="shared" si="11"/>
        <v>17820.937699476573</v>
      </c>
      <c r="J74" s="808">
        <v>262.65</v>
      </c>
      <c r="K74" s="35">
        <v>63686318</v>
      </c>
      <c r="L74" s="51">
        <f t="shared" si="12"/>
        <v>20206.332254584686</v>
      </c>
    </row>
    <row r="75" spans="1:12" ht="20.25" customHeight="1">
      <c r="A75" s="1451" t="s">
        <v>92</v>
      </c>
      <c r="B75" s="1333"/>
      <c r="C75" s="1264"/>
      <c r="D75" s="197">
        <v>55.06</v>
      </c>
      <c r="E75" s="35">
        <v>12397766</v>
      </c>
      <c r="F75" s="51">
        <f t="shared" si="10"/>
        <v>18764.024094926746</v>
      </c>
      <c r="G75" s="197">
        <v>44.25</v>
      </c>
      <c r="H75" s="35">
        <v>10567422</v>
      </c>
      <c r="I75" s="51">
        <f t="shared" si="11"/>
        <v>19900.98305084746</v>
      </c>
      <c r="J75" s="808">
        <v>42.28</v>
      </c>
      <c r="K75" s="35">
        <v>10800337</v>
      </c>
      <c r="L75" s="51">
        <f t="shared" si="12"/>
        <v>21287.32458215074</v>
      </c>
    </row>
    <row r="76" spans="1:12" ht="20.25" customHeight="1">
      <c r="A76" s="1451" t="s">
        <v>94</v>
      </c>
      <c r="B76" s="1333"/>
      <c r="C76" s="1264"/>
      <c r="D76" s="197">
        <v>12.52</v>
      </c>
      <c r="E76" s="35">
        <v>1916373</v>
      </c>
      <c r="F76" s="51">
        <f t="shared" si="10"/>
        <v>12755.411341853034</v>
      </c>
      <c r="G76" s="197">
        <v>10.79</v>
      </c>
      <c r="H76" s="35">
        <v>1743537</v>
      </c>
      <c r="I76" s="51">
        <f t="shared" si="11"/>
        <v>13465.685820203893</v>
      </c>
      <c r="J76" s="808">
        <v>12.49</v>
      </c>
      <c r="K76" s="35">
        <v>2380231</v>
      </c>
      <c r="L76" s="51">
        <f t="shared" si="12"/>
        <v>15880.911395783294</v>
      </c>
    </row>
    <row r="77" spans="1:12" ht="20.25" customHeight="1">
      <c r="A77" s="1451" t="s">
        <v>95</v>
      </c>
      <c r="B77" s="1333"/>
      <c r="C77" s="1264"/>
      <c r="D77" s="197">
        <v>71.78</v>
      </c>
      <c r="E77" s="35">
        <v>11592868</v>
      </c>
      <c r="F77" s="51">
        <f t="shared" si="10"/>
        <v>13458.795393331477</v>
      </c>
      <c r="G77" s="197">
        <v>80.03</v>
      </c>
      <c r="H77" s="35">
        <v>13274258</v>
      </c>
      <c r="I77" s="51">
        <f t="shared" si="11"/>
        <v>13822.168770044567</v>
      </c>
      <c r="J77" s="808">
        <v>79.94</v>
      </c>
      <c r="K77" s="35">
        <v>14605363</v>
      </c>
      <c r="L77" s="51">
        <f t="shared" si="12"/>
        <v>15225.33879576349</v>
      </c>
    </row>
    <row r="78" spans="1:12" ht="20.25" customHeight="1">
      <c r="A78" s="1451" t="s">
        <v>96</v>
      </c>
      <c r="B78" s="1333"/>
      <c r="C78" s="1264"/>
      <c r="D78" s="197">
        <v>0</v>
      </c>
      <c r="E78" s="35">
        <v>0</v>
      </c>
      <c r="F78" s="51">
        <f t="shared" si="10"/>
      </c>
      <c r="G78" s="197">
        <v>11.31</v>
      </c>
      <c r="H78" s="35">
        <v>2726230</v>
      </c>
      <c r="I78" s="51">
        <f t="shared" si="11"/>
        <v>20087.164750957854</v>
      </c>
      <c r="J78" s="808">
        <v>11.96</v>
      </c>
      <c r="K78" s="35">
        <v>3120891</v>
      </c>
      <c r="L78" s="51">
        <f t="shared" si="12"/>
        <v>21745.33862876254</v>
      </c>
    </row>
    <row r="79" spans="1:12" ht="20.25" customHeight="1">
      <c r="A79" s="1451" t="s">
        <v>97</v>
      </c>
      <c r="B79" s="1333"/>
      <c r="C79" s="1264"/>
      <c r="D79" s="197">
        <v>0</v>
      </c>
      <c r="E79" s="35">
        <v>0</v>
      </c>
      <c r="F79" s="51">
        <f t="shared" si="10"/>
      </c>
      <c r="G79" s="197"/>
      <c r="H79" s="35">
        <v>0</v>
      </c>
      <c r="I79" s="51">
        <f t="shared" si="11"/>
      </c>
      <c r="J79" s="808" t="s">
        <v>267</v>
      </c>
      <c r="K79" s="35">
        <v>0</v>
      </c>
      <c r="L79" s="51"/>
    </row>
    <row r="80" spans="1:12" ht="20.25" customHeight="1">
      <c r="A80" s="1451" t="s">
        <v>64</v>
      </c>
      <c r="B80" s="1333"/>
      <c r="C80" s="1264"/>
      <c r="D80" s="198">
        <v>57.24</v>
      </c>
      <c r="E80" s="34">
        <v>10540682</v>
      </c>
      <c r="F80" s="51">
        <f t="shared" si="10"/>
        <v>15345.740158397391</v>
      </c>
      <c r="G80" s="198">
        <v>56.02</v>
      </c>
      <c r="H80" s="34">
        <v>10928507</v>
      </c>
      <c r="I80" s="51">
        <f t="shared" si="11"/>
        <v>16256.853207187909</v>
      </c>
      <c r="J80" s="809">
        <v>53.81</v>
      </c>
      <c r="K80" s="34">
        <v>11352867</v>
      </c>
      <c r="L80" s="51">
        <f>+IF(J80&gt;0,K80/J80/12,"")</f>
        <v>17581.718082140866</v>
      </c>
    </row>
    <row r="81" spans="1:12" ht="28.5" customHeight="1" thickBot="1">
      <c r="A81" s="1481" t="s">
        <v>98</v>
      </c>
      <c r="B81" s="1482"/>
      <c r="C81" s="1483"/>
      <c r="D81" s="196">
        <v>78.04</v>
      </c>
      <c r="E81" s="130">
        <v>10562287</v>
      </c>
      <c r="F81" s="89">
        <f t="shared" si="10"/>
        <v>11278.710703912524</v>
      </c>
      <c r="G81" s="196">
        <v>80.17</v>
      </c>
      <c r="H81" s="130">
        <v>11205557</v>
      </c>
      <c r="I81" s="51">
        <f t="shared" si="11"/>
        <v>11647.703837678266</v>
      </c>
      <c r="J81" s="807">
        <v>79.56</v>
      </c>
      <c r="K81" s="130">
        <v>11549955</v>
      </c>
      <c r="L81" s="51">
        <f>+IF(J81&gt;0,K81/J81/12,"")</f>
        <v>12097.74069884364</v>
      </c>
    </row>
    <row r="82" spans="1:12" s="24" customFormat="1" ht="22.5" customHeight="1" thickBot="1">
      <c r="A82" s="1484" t="s">
        <v>24</v>
      </c>
      <c r="B82" s="1485"/>
      <c r="C82" s="1486"/>
      <c r="D82" s="199">
        <f>SUM(D72:D81)</f>
        <v>629.03</v>
      </c>
      <c r="E82" s="36">
        <f>SUM(E72:E81)</f>
        <v>137853083</v>
      </c>
      <c r="F82" s="86">
        <f t="shared" si="10"/>
        <v>18262.65347704667</v>
      </c>
      <c r="G82" s="199">
        <f>SUM(G72:G81)</f>
        <v>633.49</v>
      </c>
      <c r="H82" s="36">
        <f>SUM(H72:H81)</f>
        <v>145999596</v>
      </c>
      <c r="I82" s="86">
        <f t="shared" si="11"/>
        <v>19205.722268701953</v>
      </c>
      <c r="J82" s="199">
        <f>SUM(J72:J81)</f>
        <v>633.6999999999998</v>
      </c>
      <c r="K82" s="36">
        <f>SUM(K72:K81)</f>
        <v>160873562</v>
      </c>
      <c r="L82" s="86">
        <f>+IF(J82&gt;0,K82/J82/12,"")</f>
        <v>21155.326126979122</v>
      </c>
    </row>
    <row r="84" spans="1:12" ht="12.75" customHeight="1">
      <c r="A84" s="1523" t="s">
        <v>322</v>
      </c>
      <c r="B84" s="1524"/>
      <c r="C84" s="1524"/>
      <c r="D84" s="1524"/>
      <c r="E84" s="1524"/>
      <c r="F84" s="1524"/>
      <c r="G84" s="1524"/>
      <c r="H84" s="1524"/>
      <c r="I84" s="1524"/>
      <c r="J84" s="1524"/>
      <c r="K84" s="1524"/>
      <c r="L84" s="1573"/>
    </row>
    <row r="85" spans="1:12" ht="12.75">
      <c r="A85" s="1529"/>
      <c r="B85" s="1530"/>
      <c r="C85" s="1530"/>
      <c r="D85" s="1530"/>
      <c r="E85" s="1530"/>
      <c r="F85" s="1530"/>
      <c r="G85" s="1530"/>
      <c r="H85" s="1530"/>
      <c r="I85" s="1530"/>
      <c r="J85" s="1530"/>
      <c r="K85" s="1530"/>
      <c r="L85" s="1575"/>
    </row>
    <row r="87" spans="1:9" ht="16.5" thickBot="1">
      <c r="A87" s="16" t="s">
        <v>91</v>
      </c>
      <c r="B87" s="90"/>
      <c r="C87" s="90"/>
      <c r="D87" s="90"/>
      <c r="E87" s="90"/>
      <c r="F87" s="90"/>
      <c r="G87" s="90"/>
      <c r="H87" s="90"/>
      <c r="I87" s="90"/>
    </row>
    <row r="88" spans="1:12" ht="13.5" thickBot="1">
      <c r="A88" s="1622" t="s">
        <v>69</v>
      </c>
      <c r="B88" s="1429"/>
      <c r="C88" s="1581" t="s">
        <v>70</v>
      </c>
      <c r="D88" s="1540"/>
      <c r="E88" s="1540"/>
      <c r="F88" s="1540"/>
      <c r="G88" s="1540"/>
      <c r="H88" s="1580" t="s">
        <v>71</v>
      </c>
      <c r="I88" s="1540"/>
      <c r="J88" s="1540"/>
      <c r="K88" s="1540"/>
      <c r="L88" s="1541"/>
    </row>
    <row r="89" spans="1:12" ht="13.5" thickBot="1">
      <c r="A89" s="1623"/>
      <c r="B89" s="1264"/>
      <c r="C89" s="1">
        <v>2003</v>
      </c>
      <c r="D89" s="10">
        <v>2004</v>
      </c>
      <c r="E89" s="134">
        <v>2005</v>
      </c>
      <c r="F89" s="248">
        <v>2006</v>
      </c>
      <c r="G89" s="245" t="s">
        <v>72</v>
      </c>
      <c r="H89" s="91">
        <v>2003</v>
      </c>
      <c r="I89" s="10">
        <v>2004</v>
      </c>
      <c r="J89" s="158">
        <v>2005</v>
      </c>
      <c r="K89" s="366">
        <v>2006</v>
      </c>
      <c r="L89" s="109" t="s">
        <v>72</v>
      </c>
    </row>
    <row r="90" spans="1:12" ht="12.75">
      <c r="A90" s="1564" t="s">
        <v>73</v>
      </c>
      <c r="B90" s="1264"/>
      <c r="C90" s="122">
        <v>80</v>
      </c>
      <c r="D90" s="95">
        <v>80</v>
      </c>
      <c r="E90" s="360">
        <v>80</v>
      </c>
      <c r="F90" s="263">
        <v>80</v>
      </c>
      <c r="G90" s="246">
        <v>0</v>
      </c>
      <c r="H90" s="96">
        <v>82.2</v>
      </c>
      <c r="I90" s="97">
        <v>87.19603825136612</v>
      </c>
      <c r="J90" s="97">
        <v>87.325</v>
      </c>
      <c r="K90" s="110">
        <v>84.63</v>
      </c>
      <c r="L90" s="110">
        <v>-2.6950000000000074</v>
      </c>
    </row>
    <row r="91" spans="1:12" ht="12.75">
      <c r="A91" s="1564" t="s">
        <v>74</v>
      </c>
      <c r="B91" s="1264"/>
      <c r="C91" s="118"/>
      <c r="D91" s="100"/>
      <c r="E91" s="361"/>
      <c r="F91" s="264"/>
      <c r="G91" s="246">
        <v>0</v>
      </c>
      <c r="H91" s="101"/>
      <c r="I91" s="363"/>
      <c r="J91" s="363"/>
      <c r="K91" s="111"/>
      <c r="L91" s="110">
        <v>0</v>
      </c>
    </row>
    <row r="92" spans="1:12" ht="12.75">
      <c r="A92" s="1564" t="s">
        <v>75</v>
      </c>
      <c r="B92" s="1264"/>
      <c r="C92" s="118"/>
      <c r="D92" s="100"/>
      <c r="E92" s="361"/>
      <c r="F92" s="264"/>
      <c r="G92" s="246">
        <v>0</v>
      </c>
      <c r="H92" s="101"/>
      <c r="I92" s="363"/>
      <c r="J92" s="363"/>
      <c r="K92" s="111"/>
      <c r="L92" s="110">
        <v>0</v>
      </c>
    </row>
    <row r="93" spans="1:12" ht="12.75">
      <c r="A93" s="1564" t="s">
        <v>76</v>
      </c>
      <c r="B93" s="1264"/>
      <c r="C93" s="118">
        <v>24</v>
      </c>
      <c r="D93" s="100">
        <v>24</v>
      </c>
      <c r="E93" s="361">
        <v>24</v>
      </c>
      <c r="F93" s="264">
        <v>24</v>
      </c>
      <c r="G93" s="246">
        <v>0</v>
      </c>
      <c r="H93" s="101">
        <v>80</v>
      </c>
      <c r="I93" s="363">
        <v>78.41530054644808</v>
      </c>
      <c r="J93" s="363">
        <v>77.13166666666667</v>
      </c>
      <c r="K93" s="111">
        <v>75.35</v>
      </c>
      <c r="L93" s="110">
        <v>-1.7816666666666805</v>
      </c>
    </row>
    <row r="94" spans="1:12" ht="12.75">
      <c r="A94" s="1564" t="s">
        <v>77</v>
      </c>
      <c r="B94" s="1264"/>
      <c r="C94" s="118"/>
      <c r="D94" s="100"/>
      <c r="E94" s="361"/>
      <c r="F94" s="264"/>
      <c r="G94" s="246">
        <v>0</v>
      </c>
      <c r="H94" s="101"/>
      <c r="I94" s="363"/>
      <c r="J94" s="363"/>
      <c r="K94" s="111"/>
      <c r="L94" s="110">
        <v>0</v>
      </c>
    </row>
    <row r="95" spans="1:12" ht="12.75">
      <c r="A95" s="1564" t="s">
        <v>149</v>
      </c>
      <c r="B95" s="1264"/>
      <c r="C95" s="118">
        <v>44</v>
      </c>
      <c r="D95" s="100">
        <v>44</v>
      </c>
      <c r="E95" s="361">
        <v>44</v>
      </c>
      <c r="F95" s="264">
        <v>54</v>
      </c>
      <c r="G95" s="246">
        <v>10</v>
      </c>
      <c r="H95" s="101">
        <v>71.5</v>
      </c>
      <c r="I95" s="363">
        <v>53.266269249875805</v>
      </c>
      <c r="J95" s="363">
        <v>55.681363636363635</v>
      </c>
      <c r="K95" s="111">
        <v>61.37</v>
      </c>
      <c r="L95" s="110">
        <v>5.688636363636363</v>
      </c>
    </row>
    <row r="96" spans="1:12" ht="12.75">
      <c r="A96" s="1564" t="s">
        <v>79</v>
      </c>
      <c r="B96" s="1264"/>
      <c r="C96" s="118">
        <v>41</v>
      </c>
      <c r="D96" s="100">
        <v>41</v>
      </c>
      <c r="E96" s="361">
        <v>41</v>
      </c>
      <c r="F96" s="264">
        <v>31</v>
      </c>
      <c r="G96" s="246">
        <v>-10</v>
      </c>
      <c r="H96" s="101">
        <v>71.8</v>
      </c>
      <c r="I96" s="363">
        <v>71.89790750366521</v>
      </c>
      <c r="J96" s="363">
        <v>69.0209756097561</v>
      </c>
      <c r="K96" s="111">
        <v>63.4</v>
      </c>
      <c r="L96" s="110">
        <v>-5.620975609756108</v>
      </c>
    </row>
    <row r="97" spans="1:12" ht="12.75">
      <c r="A97" s="1564" t="s">
        <v>80</v>
      </c>
      <c r="B97" s="1264"/>
      <c r="C97" s="118">
        <v>67</v>
      </c>
      <c r="D97" s="100">
        <v>66</v>
      </c>
      <c r="E97" s="361">
        <v>66</v>
      </c>
      <c r="F97" s="264">
        <v>66</v>
      </c>
      <c r="G97" s="246">
        <v>0</v>
      </c>
      <c r="H97" s="101">
        <v>72.9</v>
      </c>
      <c r="I97" s="363">
        <v>71.53088259645637</v>
      </c>
      <c r="J97" s="363">
        <v>69.84227272727273</v>
      </c>
      <c r="K97" s="111">
        <v>67.37</v>
      </c>
      <c r="L97" s="110">
        <v>-2.472272727272724</v>
      </c>
    </row>
    <row r="98" spans="1:12" ht="12.75">
      <c r="A98" s="1564" t="s">
        <v>81</v>
      </c>
      <c r="B98" s="1264"/>
      <c r="C98" s="118">
        <v>5</v>
      </c>
      <c r="D98" s="100">
        <v>5</v>
      </c>
      <c r="E98" s="361">
        <v>5</v>
      </c>
      <c r="F98" s="264">
        <v>5</v>
      </c>
      <c r="G98" s="246">
        <v>0</v>
      </c>
      <c r="H98" s="101">
        <v>58</v>
      </c>
      <c r="I98" s="363">
        <v>73.49726775956285</v>
      </c>
      <c r="J98" s="363">
        <v>74.19</v>
      </c>
      <c r="K98" s="111">
        <v>73.37</v>
      </c>
      <c r="L98" s="110">
        <v>-0.8199999999999932</v>
      </c>
    </row>
    <row r="99" spans="1:12" ht="12.75">
      <c r="A99" s="1564" t="s">
        <v>82</v>
      </c>
      <c r="B99" s="1264"/>
      <c r="C99" s="118">
        <v>24</v>
      </c>
      <c r="D99" s="100">
        <v>24</v>
      </c>
      <c r="E99" s="361">
        <v>24</v>
      </c>
      <c r="F99" s="264">
        <v>24</v>
      </c>
      <c r="G99" s="246">
        <v>0</v>
      </c>
      <c r="H99" s="101">
        <v>76.8</v>
      </c>
      <c r="I99" s="363">
        <v>76.69626593806922</v>
      </c>
      <c r="J99" s="363">
        <v>77.08</v>
      </c>
      <c r="K99" s="111">
        <v>75.02</v>
      </c>
      <c r="L99" s="110">
        <v>-2.06</v>
      </c>
    </row>
    <row r="100" spans="1:12" ht="12.75">
      <c r="A100" s="1564" t="s">
        <v>83</v>
      </c>
      <c r="B100" s="1264"/>
      <c r="C100" s="118">
        <v>20</v>
      </c>
      <c r="D100" s="100">
        <v>20</v>
      </c>
      <c r="E100" s="361">
        <v>20</v>
      </c>
      <c r="F100" s="264">
        <v>20</v>
      </c>
      <c r="G100" s="246">
        <v>0</v>
      </c>
      <c r="H100" s="101">
        <v>63.2</v>
      </c>
      <c r="I100" s="363">
        <v>61.59836065573771</v>
      </c>
      <c r="J100" s="363">
        <v>57.04</v>
      </c>
      <c r="K100" s="111">
        <v>55.67</v>
      </c>
      <c r="L100" s="110">
        <v>-1.37</v>
      </c>
    </row>
    <row r="101" spans="1:12" ht="12.75">
      <c r="A101" s="1564" t="s">
        <v>84</v>
      </c>
      <c r="B101" s="1264"/>
      <c r="C101" s="118"/>
      <c r="D101" s="100"/>
      <c r="E101" s="361"/>
      <c r="F101" s="264"/>
      <c r="G101" s="246">
        <v>0</v>
      </c>
      <c r="H101" s="101"/>
      <c r="I101" s="363"/>
      <c r="J101" s="363"/>
      <c r="K101" s="111"/>
      <c r="L101" s="110">
        <v>0</v>
      </c>
    </row>
    <row r="102" spans="1:12" ht="12.75">
      <c r="A102" s="1564" t="s">
        <v>85</v>
      </c>
      <c r="B102" s="1264"/>
      <c r="C102" s="118"/>
      <c r="D102" s="100"/>
      <c r="E102" s="361"/>
      <c r="F102" s="264"/>
      <c r="G102" s="246">
        <v>0</v>
      </c>
      <c r="H102" s="101"/>
      <c r="I102" s="363"/>
      <c r="J102" s="363"/>
      <c r="K102" s="111"/>
      <c r="L102" s="110">
        <v>0</v>
      </c>
    </row>
    <row r="103" spans="1:12" ht="12.75">
      <c r="A103" s="1564" t="s">
        <v>86</v>
      </c>
      <c r="B103" s="1264"/>
      <c r="C103" s="118"/>
      <c r="D103" s="100"/>
      <c r="E103" s="361"/>
      <c r="F103" s="264"/>
      <c r="G103" s="246">
        <v>0</v>
      </c>
      <c r="H103" s="101"/>
      <c r="I103" s="363"/>
      <c r="J103" s="363"/>
      <c r="K103" s="111"/>
      <c r="L103" s="110">
        <v>0</v>
      </c>
    </row>
    <row r="104" spans="1:12" ht="12.75">
      <c r="A104" s="1564" t="s">
        <v>87</v>
      </c>
      <c r="B104" s="1264"/>
      <c r="C104" s="118"/>
      <c r="D104" s="100"/>
      <c r="E104" s="361"/>
      <c r="F104" s="264"/>
      <c r="G104" s="246">
        <v>0</v>
      </c>
      <c r="H104" s="101"/>
      <c r="I104" s="363"/>
      <c r="J104" s="363"/>
      <c r="K104" s="111"/>
      <c r="L104" s="110">
        <v>0</v>
      </c>
    </row>
    <row r="105" spans="1:12" ht="12.75">
      <c r="A105" s="1564" t="s">
        <v>88</v>
      </c>
      <c r="B105" s="1264"/>
      <c r="C105" s="118"/>
      <c r="D105" s="100"/>
      <c r="E105" s="361"/>
      <c r="F105" s="264"/>
      <c r="G105" s="246">
        <v>0</v>
      </c>
      <c r="H105" s="101"/>
      <c r="I105" s="363"/>
      <c r="J105" s="363"/>
      <c r="K105" s="111"/>
      <c r="L105" s="110">
        <v>0</v>
      </c>
    </row>
    <row r="106" spans="1:12" ht="12.75">
      <c r="A106" s="1564" t="s">
        <v>89</v>
      </c>
      <c r="B106" s="1264"/>
      <c r="C106" s="118">
        <v>46</v>
      </c>
      <c r="D106" s="100">
        <v>46</v>
      </c>
      <c r="E106" s="361">
        <v>46</v>
      </c>
      <c r="F106" s="264">
        <v>46</v>
      </c>
      <c r="G106" s="246">
        <v>0</v>
      </c>
      <c r="H106" s="101">
        <v>97.3</v>
      </c>
      <c r="I106" s="363">
        <v>97.32715609408412</v>
      </c>
      <c r="J106" s="363">
        <v>96.35</v>
      </c>
      <c r="K106" s="111">
        <v>95.09</v>
      </c>
      <c r="L106" s="110">
        <v>-1.259999999999991</v>
      </c>
    </row>
    <row r="107" spans="1:12" ht="13.5" thickBot="1">
      <c r="A107" s="1565" t="s">
        <v>90</v>
      </c>
      <c r="B107" s="1483"/>
      <c r="C107" s="119"/>
      <c r="D107" s="104"/>
      <c r="E107" s="119"/>
      <c r="F107" s="249"/>
      <c r="G107" s="246">
        <v>0</v>
      </c>
      <c r="H107" s="105"/>
      <c r="I107" s="364"/>
      <c r="J107" s="364"/>
      <c r="K107" s="112"/>
      <c r="L107" s="110">
        <v>0</v>
      </c>
    </row>
    <row r="108" spans="1:12" ht="13.5" thickBot="1">
      <c r="A108" s="1566" t="s">
        <v>24</v>
      </c>
      <c r="B108" s="1534"/>
      <c r="C108" s="120">
        <v>351</v>
      </c>
      <c r="D108" s="107">
        <v>350</v>
      </c>
      <c r="E108" s="362">
        <v>350</v>
      </c>
      <c r="F108" s="250">
        <v>350</v>
      </c>
      <c r="G108" s="247">
        <v>0</v>
      </c>
      <c r="H108" s="108">
        <v>77.9</v>
      </c>
      <c r="I108" s="365">
        <v>76.53551912568307</v>
      </c>
      <c r="J108" s="365">
        <v>75.8</v>
      </c>
      <c r="K108" s="113">
        <v>74.17</v>
      </c>
      <c r="L108" s="113">
        <v>-1.63</v>
      </c>
    </row>
    <row r="110" spans="1:12" ht="12.75" customHeight="1">
      <c r="A110" s="1523" t="s">
        <v>323</v>
      </c>
      <c r="B110" s="1442"/>
      <c r="C110" s="1442"/>
      <c r="D110" s="1442"/>
      <c r="E110" s="1442"/>
      <c r="F110" s="1442"/>
      <c r="G110" s="1442"/>
      <c r="H110" s="1442"/>
      <c r="I110" s="1442"/>
      <c r="J110" s="1442"/>
      <c r="K110" s="1442"/>
      <c r="L110" s="1443"/>
    </row>
    <row r="111" spans="1:12" ht="12.75">
      <c r="A111" s="1624"/>
      <c r="B111" s="1625"/>
      <c r="C111" s="1625"/>
      <c r="D111" s="1625"/>
      <c r="E111" s="1625"/>
      <c r="F111" s="1625"/>
      <c r="G111" s="1625"/>
      <c r="H111" s="1625"/>
      <c r="I111" s="1625"/>
      <c r="J111" s="1625"/>
      <c r="K111" s="1625"/>
      <c r="L111" s="1480"/>
    </row>
    <row r="112" spans="1:12" ht="12.75">
      <c r="A112" s="54"/>
      <c r="B112" s="54"/>
      <c r="C112" s="54"/>
      <c r="D112" s="54"/>
      <c r="E112" s="54"/>
      <c r="F112" s="54"/>
      <c r="G112" s="54"/>
      <c r="H112" s="54"/>
      <c r="I112" s="54"/>
      <c r="J112" s="54"/>
      <c r="K112" s="54"/>
      <c r="L112" s="145"/>
    </row>
    <row r="113" spans="1:12" ht="16.5" thickBot="1">
      <c r="A113" s="16" t="s">
        <v>125</v>
      </c>
      <c r="L113" s="167" t="s">
        <v>15</v>
      </c>
    </row>
    <row r="114" spans="1:12" ht="22.5" customHeight="1" thickBot="1">
      <c r="A114" s="1365" t="s">
        <v>114</v>
      </c>
      <c r="B114" s="1366"/>
      <c r="C114" s="1366"/>
      <c r="D114" s="1366"/>
      <c r="E114" s="1435" t="s">
        <v>100</v>
      </c>
      <c r="F114" s="1436"/>
      <c r="G114" s="24"/>
      <c r="H114" s="1365" t="s">
        <v>115</v>
      </c>
      <c r="I114" s="1366"/>
      <c r="J114" s="1366"/>
      <c r="K114" s="1435" t="s">
        <v>100</v>
      </c>
      <c r="L114" s="1436"/>
    </row>
    <row r="115" spans="1:12" ht="18.75" customHeight="1">
      <c r="A115" s="1417" t="s">
        <v>101</v>
      </c>
      <c r="B115" s="1418"/>
      <c r="C115" s="1418"/>
      <c r="D115" s="1418"/>
      <c r="E115" s="1631">
        <v>1570996</v>
      </c>
      <c r="F115" s="1632"/>
      <c r="G115" s="144"/>
      <c r="H115" s="1417" t="s">
        <v>102</v>
      </c>
      <c r="I115" s="1418"/>
      <c r="J115" s="1418"/>
      <c r="K115" s="1437">
        <v>4837180</v>
      </c>
      <c r="L115" s="1438"/>
    </row>
    <row r="116" spans="1:12" ht="18.75" customHeight="1">
      <c r="A116" s="1419" t="s">
        <v>102</v>
      </c>
      <c r="B116" s="1420"/>
      <c r="C116" s="1420"/>
      <c r="D116" s="1420"/>
      <c r="E116" s="1596">
        <v>27662820</v>
      </c>
      <c r="F116" s="1597"/>
      <c r="G116" s="144"/>
      <c r="H116" s="1419" t="s">
        <v>103</v>
      </c>
      <c r="I116" s="1420"/>
      <c r="J116" s="1420"/>
      <c r="K116" s="1424"/>
      <c r="L116" s="1426"/>
    </row>
    <row r="117" spans="1:12" ht="15.75" customHeight="1">
      <c r="A117" s="1419" t="s">
        <v>103</v>
      </c>
      <c r="B117" s="1420"/>
      <c r="C117" s="1420"/>
      <c r="D117" s="1420"/>
      <c r="E117" s="1596">
        <v>344574.33</v>
      </c>
      <c r="F117" s="1597"/>
      <c r="G117" s="144"/>
      <c r="H117" s="1419" t="s">
        <v>105</v>
      </c>
      <c r="I117" s="1420"/>
      <c r="J117" s="1420"/>
      <c r="K117" s="1424"/>
      <c r="L117" s="1465"/>
    </row>
    <row r="118" spans="1:12" ht="15.75" customHeight="1">
      <c r="A118" s="1419" t="s">
        <v>104</v>
      </c>
      <c r="B118" s="1420"/>
      <c r="C118" s="1420"/>
      <c r="D118" s="1420"/>
      <c r="E118" s="1596">
        <v>9800</v>
      </c>
      <c r="F118" s="1597"/>
      <c r="G118" s="144"/>
      <c r="H118" s="1419" t="s">
        <v>124</v>
      </c>
      <c r="I118" s="1420"/>
      <c r="J118" s="1420"/>
      <c r="K118" s="1424">
        <v>7152000</v>
      </c>
      <c r="L118" s="1465"/>
    </row>
    <row r="119" spans="1:12" ht="15.75" customHeight="1">
      <c r="A119" s="1419" t="s">
        <v>256</v>
      </c>
      <c r="B119" s="1420"/>
      <c r="C119" s="1420"/>
      <c r="D119" s="1420"/>
      <c r="E119" s="1596">
        <v>3700000</v>
      </c>
      <c r="F119" s="1597"/>
      <c r="G119" s="144"/>
      <c r="H119" s="1636"/>
      <c r="I119" s="1637"/>
      <c r="J119" s="1638"/>
      <c r="K119" s="1629"/>
      <c r="L119" s="1630"/>
    </row>
    <row r="120" spans="1:12" ht="15.75" customHeight="1">
      <c r="A120" s="1419" t="s">
        <v>255</v>
      </c>
      <c r="B120" s="1420"/>
      <c r="C120" s="1420"/>
      <c r="D120" s="1420"/>
      <c r="E120" s="1596">
        <v>607237</v>
      </c>
      <c r="F120" s="1597"/>
      <c r="G120" s="24"/>
      <c r="H120" s="1639"/>
      <c r="I120" s="1640"/>
      <c r="J120" s="1641"/>
      <c r="K120" s="1461"/>
      <c r="L120" s="1438"/>
    </row>
    <row r="121" spans="1:12" ht="18" customHeight="1" thickBot="1">
      <c r="A121" s="1422" t="s">
        <v>106</v>
      </c>
      <c r="B121" s="1423"/>
      <c r="C121" s="1423"/>
      <c r="D121" s="1423"/>
      <c r="E121" s="1415">
        <f>SUM(E115:F120)</f>
        <v>33895427.33</v>
      </c>
      <c r="F121" s="1416"/>
      <c r="G121" s="24"/>
      <c r="H121" s="1422" t="s">
        <v>107</v>
      </c>
      <c r="I121" s="1423"/>
      <c r="J121" s="1423"/>
      <c r="K121" s="1415">
        <f>SUM(K115:L120)</f>
        <v>11989180</v>
      </c>
      <c r="L121" s="1416"/>
    </row>
    <row r="122" ht="9.75" customHeight="1"/>
    <row r="123" spans="1:12" ht="12.75">
      <c r="A123" s="1523" t="s">
        <v>145</v>
      </c>
      <c r="B123" s="1524"/>
      <c r="C123" s="1524"/>
      <c r="D123" s="1524"/>
      <c r="E123" s="1524"/>
      <c r="F123" s="1524"/>
      <c r="G123" s="1524"/>
      <c r="H123" s="1524"/>
      <c r="I123" s="1524"/>
      <c r="J123" s="1524"/>
      <c r="K123" s="1524"/>
      <c r="L123" s="1525"/>
    </row>
    <row r="124" spans="1:12" ht="12.75">
      <c r="A124" s="1526"/>
      <c r="B124" s="1527"/>
      <c r="C124" s="1527"/>
      <c r="D124" s="1527"/>
      <c r="E124" s="1527"/>
      <c r="F124" s="1527"/>
      <c r="G124" s="1527"/>
      <c r="H124" s="1527"/>
      <c r="I124" s="1527"/>
      <c r="J124" s="1527"/>
      <c r="K124" s="1527"/>
      <c r="L124" s="1528"/>
    </row>
    <row r="125" spans="1:12" ht="12.75">
      <c r="A125" s="1526"/>
      <c r="B125" s="1527"/>
      <c r="C125" s="1527"/>
      <c r="D125" s="1527"/>
      <c r="E125" s="1527"/>
      <c r="F125" s="1527"/>
      <c r="G125" s="1527"/>
      <c r="H125" s="1527"/>
      <c r="I125" s="1527"/>
      <c r="J125" s="1527"/>
      <c r="K125" s="1527"/>
      <c r="L125" s="1528"/>
    </row>
    <row r="126" spans="1:12" ht="12.75">
      <c r="A126" s="1529"/>
      <c r="B126" s="1530"/>
      <c r="C126" s="1530"/>
      <c r="D126" s="1530"/>
      <c r="E126" s="1530"/>
      <c r="F126" s="1530"/>
      <c r="G126" s="1530"/>
      <c r="H126" s="1530"/>
      <c r="I126" s="1530"/>
      <c r="J126" s="1530"/>
      <c r="K126" s="1530"/>
      <c r="L126" s="1531"/>
    </row>
    <row r="129" ht="15.75">
      <c r="A129" s="16" t="s">
        <v>185</v>
      </c>
    </row>
    <row r="130" ht="13.5" thickBot="1"/>
    <row r="131" spans="1:11" ht="13.5" thickBot="1">
      <c r="A131" s="1542" t="s">
        <v>150</v>
      </c>
      <c r="B131" s="1648"/>
      <c r="C131" s="1649"/>
      <c r="D131" s="1659"/>
      <c r="E131" s="1660"/>
      <c r="F131" s="1660"/>
      <c r="G131" s="1660"/>
      <c r="H131" s="1660"/>
      <c r="I131" s="1660"/>
      <c r="J131" s="1660"/>
      <c r="K131" s="1661"/>
    </row>
    <row r="132" spans="1:11" ht="22.5" customHeight="1">
      <c r="A132" s="1545"/>
      <c r="B132" s="1445"/>
      <c r="C132" s="1650"/>
      <c r="D132" s="1247" t="s">
        <v>188</v>
      </c>
      <c r="E132" s="1668" t="s">
        <v>251</v>
      </c>
      <c r="F132" s="1669"/>
      <c r="G132" s="1670"/>
      <c r="H132" s="1256" t="s">
        <v>250</v>
      </c>
      <c r="I132" s="1552"/>
      <c r="J132" s="1553"/>
      <c r="K132" s="438" t="s">
        <v>179</v>
      </c>
    </row>
    <row r="133" spans="1:11" ht="12.75">
      <c r="A133" s="1545"/>
      <c r="B133" s="1445"/>
      <c r="C133" s="1650"/>
      <c r="D133" s="1666" t="s">
        <v>24</v>
      </c>
      <c r="E133" s="367" t="s">
        <v>180</v>
      </c>
      <c r="F133" s="368" t="s">
        <v>181</v>
      </c>
      <c r="G133" s="369" t="s">
        <v>24</v>
      </c>
      <c r="H133" s="367" t="s">
        <v>180</v>
      </c>
      <c r="I133" s="368" t="s">
        <v>181</v>
      </c>
      <c r="J133" s="369" t="s">
        <v>24</v>
      </c>
      <c r="K133" s="369" t="s">
        <v>182</v>
      </c>
    </row>
    <row r="134" spans="1:11" ht="13.5" thickBot="1">
      <c r="A134" s="1548"/>
      <c r="B134" s="1651"/>
      <c r="C134" s="1652"/>
      <c r="D134" s="1667"/>
      <c r="E134" s="370" t="s">
        <v>183</v>
      </c>
      <c r="F134" s="371" t="s">
        <v>183</v>
      </c>
      <c r="G134" s="372"/>
      <c r="H134" s="370" t="s">
        <v>183</v>
      </c>
      <c r="I134" s="371" t="s">
        <v>183</v>
      </c>
      <c r="J134" s="372"/>
      <c r="K134" s="372" t="s">
        <v>184</v>
      </c>
    </row>
    <row r="135" spans="1:11" ht="12.75">
      <c r="A135" s="1551" t="s">
        <v>151</v>
      </c>
      <c r="B135" s="1648"/>
      <c r="C135" s="1649"/>
      <c r="D135" s="439">
        <v>0</v>
      </c>
      <c r="E135" s="440"/>
      <c r="F135" s="441"/>
      <c r="G135" s="442"/>
      <c r="H135" s="440"/>
      <c r="I135" s="441"/>
      <c r="J135" s="442"/>
      <c r="K135" s="393"/>
    </row>
    <row r="136" spans="1:11" ht="12.75">
      <c r="A136" s="1522" t="s">
        <v>152</v>
      </c>
      <c r="B136" s="1653"/>
      <c r="C136" s="1654"/>
      <c r="D136" s="443">
        <v>323872</v>
      </c>
      <c r="E136" s="444">
        <v>339100</v>
      </c>
      <c r="F136" s="445">
        <v>600</v>
      </c>
      <c r="G136" s="443">
        <v>339700</v>
      </c>
      <c r="H136" s="444">
        <v>345851.26</v>
      </c>
      <c r="I136" s="445">
        <v>1555.69</v>
      </c>
      <c r="J136" s="443">
        <f>+H136+I136</f>
        <v>347406.95</v>
      </c>
      <c r="K136" s="376">
        <f>+J136/G136</f>
        <v>1.022687518398587</v>
      </c>
    </row>
    <row r="137" spans="1:11" ht="12.75">
      <c r="A137" s="1522" t="s">
        <v>153</v>
      </c>
      <c r="B137" s="1653"/>
      <c r="C137" s="1654"/>
      <c r="D137" s="443">
        <v>47094</v>
      </c>
      <c r="E137" s="444">
        <v>46000</v>
      </c>
      <c r="F137" s="445"/>
      <c r="G137" s="443">
        <v>46000</v>
      </c>
      <c r="H137" s="444">
        <v>50856.06</v>
      </c>
      <c r="I137" s="445"/>
      <c r="J137" s="443">
        <f aca="true" t="shared" si="13" ref="J137:J143">+H137+I137</f>
        <v>50856.06</v>
      </c>
      <c r="K137" s="376">
        <f aca="true" t="shared" si="14" ref="K137:K163">+J137/G137</f>
        <v>1.1055665217391304</v>
      </c>
    </row>
    <row r="138" spans="1:11" ht="12.75">
      <c r="A138" s="1522" t="s">
        <v>154</v>
      </c>
      <c r="B138" s="1653"/>
      <c r="C138" s="1654"/>
      <c r="D138" s="443">
        <v>7951</v>
      </c>
      <c r="E138" s="444">
        <v>8000</v>
      </c>
      <c r="F138" s="445"/>
      <c r="G138" s="443">
        <v>8000</v>
      </c>
      <c r="H138" s="444">
        <v>7175.61</v>
      </c>
      <c r="I138" s="445"/>
      <c r="J138" s="443">
        <f t="shared" si="13"/>
        <v>7175.61</v>
      </c>
      <c r="K138" s="376">
        <f t="shared" si="14"/>
        <v>0.89695125</v>
      </c>
    </row>
    <row r="139" spans="1:11" ht="12.75">
      <c r="A139" s="1522" t="s">
        <v>155</v>
      </c>
      <c r="B139" s="1653"/>
      <c r="C139" s="1654"/>
      <c r="D139" s="443">
        <v>12163</v>
      </c>
      <c r="E139" s="444">
        <v>4500</v>
      </c>
      <c r="F139" s="445"/>
      <c r="G139" s="443">
        <v>4500</v>
      </c>
      <c r="H139" s="444">
        <f>1188.61+283.65+1705.03+3029.57</f>
        <v>6206.860000000001</v>
      </c>
      <c r="I139" s="445">
        <v>2.92</v>
      </c>
      <c r="J139" s="443">
        <f t="shared" si="13"/>
        <v>6209.780000000001</v>
      </c>
      <c r="K139" s="376">
        <f t="shared" si="14"/>
        <v>1.3799511111111114</v>
      </c>
    </row>
    <row r="140" spans="1:11" ht="12.75">
      <c r="A140" s="1522" t="s">
        <v>156</v>
      </c>
      <c r="B140" s="1653"/>
      <c r="C140" s="1654"/>
      <c r="D140" s="443">
        <v>8819</v>
      </c>
      <c r="E140" s="444">
        <v>4000</v>
      </c>
      <c r="F140" s="445"/>
      <c r="G140" s="443">
        <v>4000</v>
      </c>
      <c r="H140" s="444">
        <v>3029.57</v>
      </c>
      <c r="I140" s="445">
        <v>2.92</v>
      </c>
      <c r="J140" s="443">
        <f t="shared" si="13"/>
        <v>3032.4900000000002</v>
      </c>
      <c r="K140" s="376">
        <f t="shared" si="14"/>
        <v>0.7581225</v>
      </c>
    </row>
    <row r="141" spans="1:11" ht="12.75">
      <c r="A141" s="1522" t="s">
        <v>157</v>
      </c>
      <c r="B141" s="1653"/>
      <c r="C141" s="1654"/>
      <c r="D141" s="443">
        <v>1096</v>
      </c>
      <c r="E141" s="444">
        <v>1800</v>
      </c>
      <c r="F141" s="445"/>
      <c r="G141" s="443">
        <v>1800</v>
      </c>
      <c r="H141" s="444">
        <v>531.05</v>
      </c>
      <c r="I141" s="445">
        <v>6.69</v>
      </c>
      <c r="J141" s="443">
        <f t="shared" si="13"/>
        <v>537.74</v>
      </c>
      <c r="K141" s="376">
        <f t="shared" si="14"/>
        <v>0.2987444444444444</v>
      </c>
    </row>
    <row r="142" spans="1:11" ht="17.25" customHeight="1">
      <c r="A142" s="1522" t="s">
        <v>158</v>
      </c>
      <c r="B142" s="1653"/>
      <c r="C142" s="1654"/>
      <c r="D142" s="443">
        <v>0</v>
      </c>
      <c r="E142" s="444">
        <v>0</v>
      </c>
      <c r="F142" s="445"/>
      <c r="G142" s="443">
        <v>0</v>
      </c>
      <c r="H142" s="444"/>
      <c r="I142" s="445"/>
      <c r="J142" s="443">
        <f t="shared" si="13"/>
        <v>0</v>
      </c>
      <c r="K142" s="376" t="e">
        <f t="shared" si="14"/>
        <v>#DIV/0!</v>
      </c>
    </row>
    <row r="143" spans="1:11" ht="13.5" thickBot="1">
      <c r="A143" s="1538" t="s">
        <v>159</v>
      </c>
      <c r="B143" s="1655"/>
      <c r="C143" s="1656"/>
      <c r="D143" s="446">
        <v>22990</v>
      </c>
      <c r="E143" s="444">
        <v>16088.625</v>
      </c>
      <c r="F143" s="445"/>
      <c r="G143" s="443">
        <v>16088.625</v>
      </c>
      <c r="H143" s="444">
        <v>33942.76</v>
      </c>
      <c r="I143" s="445"/>
      <c r="J143" s="443">
        <f t="shared" si="13"/>
        <v>33942.76</v>
      </c>
      <c r="K143" s="383">
        <f t="shared" si="14"/>
        <v>2.109736537460473</v>
      </c>
    </row>
    <row r="144" spans="1:11" ht="13.5" thickBot="1">
      <c r="A144" s="1539" t="s">
        <v>19</v>
      </c>
      <c r="B144" s="1657"/>
      <c r="C144" s="1658"/>
      <c r="D144" s="447">
        <v>415166</v>
      </c>
      <c r="E144" s="387">
        <f>+E136+E138+E139+E141+E143+E137</f>
        <v>415488.625</v>
      </c>
      <c r="F144" s="388">
        <f>+F136+F138+F139+F141+F143+F137</f>
        <v>600</v>
      </c>
      <c r="G144" s="389">
        <f>+G136+G138+G139+G141+G143+G137</f>
        <v>416088.625</v>
      </c>
      <c r="H144" s="401">
        <f>SUM(H135+H136+H137+H138+H139+H141+H143)</f>
        <v>444563.6</v>
      </c>
      <c r="I144" s="402">
        <f>SUM(I135+I136+I137+I138+I139+I141+I143)</f>
        <v>1565.3000000000002</v>
      </c>
      <c r="J144" s="431">
        <f>SUM(J135+J136+J137+J138+J139+J141+J143)</f>
        <v>446128.9</v>
      </c>
      <c r="K144" s="390">
        <f t="shared" si="14"/>
        <v>1.0721968186465083</v>
      </c>
    </row>
    <row r="145" spans="1:11" ht="12.75">
      <c r="A145" s="1522" t="s">
        <v>160</v>
      </c>
      <c r="B145" s="1653"/>
      <c r="C145" s="1654"/>
      <c r="D145" s="439">
        <v>98012</v>
      </c>
      <c r="E145" s="444">
        <v>98000</v>
      </c>
      <c r="F145" s="445"/>
      <c r="G145" s="439">
        <v>98000</v>
      </c>
      <c r="H145" s="444">
        <v>101424.82</v>
      </c>
      <c r="I145" s="445">
        <v>436.46</v>
      </c>
      <c r="J145" s="439">
        <f>+H145+I145</f>
        <v>101861.28000000001</v>
      </c>
      <c r="K145" s="393">
        <f t="shared" si="14"/>
        <v>1.0394008163265307</v>
      </c>
    </row>
    <row r="146" spans="1:11" ht="12.75">
      <c r="A146" s="1522" t="s">
        <v>161</v>
      </c>
      <c r="B146" s="1653"/>
      <c r="C146" s="1654"/>
      <c r="D146" s="443">
        <v>2778</v>
      </c>
      <c r="E146" s="444">
        <v>2500</v>
      </c>
      <c r="F146" s="445"/>
      <c r="G146" s="439">
        <v>2500</v>
      </c>
      <c r="H146" s="444">
        <v>1626</v>
      </c>
      <c r="I146" s="445"/>
      <c r="J146" s="439">
        <f aca="true" t="shared" si="15" ref="J146:J162">+H146+I146</f>
        <v>1626</v>
      </c>
      <c r="K146" s="376">
        <f t="shared" si="14"/>
        <v>0.6504</v>
      </c>
    </row>
    <row r="147" spans="1:11" ht="12.75">
      <c r="A147" s="1522" t="s">
        <v>162</v>
      </c>
      <c r="B147" s="1653"/>
      <c r="C147" s="1654"/>
      <c r="D147" s="443">
        <v>16208</v>
      </c>
      <c r="E147" s="444">
        <v>17000</v>
      </c>
      <c r="F147" s="445"/>
      <c r="G147" s="439">
        <v>17000</v>
      </c>
      <c r="H147" s="444">
        <v>18701</v>
      </c>
      <c r="I147" s="445"/>
      <c r="J147" s="439">
        <f t="shared" si="15"/>
        <v>18701</v>
      </c>
      <c r="K147" s="376">
        <f t="shared" si="14"/>
        <v>1.1000588235294118</v>
      </c>
    </row>
    <row r="148" spans="1:11" ht="12.75">
      <c r="A148" s="1522" t="s">
        <v>163</v>
      </c>
      <c r="B148" s="1653"/>
      <c r="C148" s="1654"/>
      <c r="D148" s="443">
        <v>0</v>
      </c>
      <c r="E148" s="444">
        <v>0</v>
      </c>
      <c r="F148" s="445"/>
      <c r="G148" s="439">
        <v>0</v>
      </c>
      <c r="H148" s="444">
        <v>0</v>
      </c>
      <c r="I148" s="445"/>
      <c r="J148" s="439">
        <f t="shared" si="15"/>
        <v>0</v>
      </c>
      <c r="K148" s="376"/>
    </row>
    <row r="149" spans="1:11" ht="12.75">
      <c r="A149" s="1522" t="s">
        <v>164</v>
      </c>
      <c r="B149" s="1653"/>
      <c r="C149" s="1654"/>
      <c r="D149" s="443">
        <v>39711</v>
      </c>
      <c r="E149" s="444">
        <v>38000</v>
      </c>
      <c r="F149" s="445"/>
      <c r="G149" s="439">
        <v>38000</v>
      </c>
      <c r="H149" s="444">
        <v>43138</v>
      </c>
      <c r="I149" s="445"/>
      <c r="J149" s="439">
        <f t="shared" si="15"/>
        <v>43138</v>
      </c>
      <c r="K149" s="376">
        <f t="shared" si="14"/>
        <v>1.1352105263157894</v>
      </c>
    </row>
    <row r="150" spans="1:11" ht="12.75">
      <c r="A150" s="1522" t="s">
        <v>165</v>
      </c>
      <c r="B150" s="1653"/>
      <c r="C150" s="1654"/>
      <c r="D150" s="443">
        <v>57814</v>
      </c>
      <c r="E150" s="444">
        <v>55700</v>
      </c>
      <c r="F150" s="445"/>
      <c r="G150" s="439">
        <v>55700</v>
      </c>
      <c r="H150" s="444">
        <f>6889.45+296.2+34.98+49245.75</f>
        <v>56466.38</v>
      </c>
      <c r="I150" s="445"/>
      <c r="J150" s="439">
        <f t="shared" si="15"/>
        <v>56466.38</v>
      </c>
      <c r="K150" s="376">
        <f t="shared" si="14"/>
        <v>1.013759066427289</v>
      </c>
    </row>
    <row r="151" spans="1:11" ht="12.75">
      <c r="A151" s="1522" t="s">
        <v>166</v>
      </c>
      <c r="B151" s="1653"/>
      <c r="C151" s="1654"/>
      <c r="D151" s="443">
        <v>7978</v>
      </c>
      <c r="E151" s="444">
        <v>7000</v>
      </c>
      <c r="F151" s="445"/>
      <c r="G151" s="439">
        <v>7000</v>
      </c>
      <c r="H151" s="444">
        <v>6889</v>
      </c>
      <c r="I151" s="445"/>
      <c r="J151" s="439">
        <f t="shared" si="15"/>
        <v>6889</v>
      </c>
      <c r="K151" s="376">
        <f t="shared" si="14"/>
        <v>0.9841428571428571</v>
      </c>
    </row>
    <row r="152" spans="1:11" ht="12.75">
      <c r="A152" s="1522" t="s">
        <v>167</v>
      </c>
      <c r="B152" s="1653"/>
      <c r="C152" s="1654"/>
      <c r="D152" s="443">
        <v>48455</v>
      </c>
      <c r="E152" s="444">
        <v>48300</v>
      </c>
      <c r="F152" s="445"/>
      <c r="G152" s="439">
        <v>48300</v>
      </c>
      <c r="H152" s="444">
        <v>49246</v>
      </c>
      <c r="I152" s="445"/>
      <c r="J152" s="439">
        <f t="shared" si="15"/>
        <v>49246</v>
      </c>
      <c r="K152" s="376">
        <f t="shared" si="14"/>
        <v>1.0195859213250518</v>
      </c>
    </row>
    <row r="153" spans="1:11" ht="12.75">
      <c r="A153" s="1522" t="s">
        <v>168</v>
      </c>
      <c r="B153" s="1653"/>
      <c r="C153" s="1654"/>
      <c r="D153" s="443">
        <v>200118</v>
      </c>
      <c r="E153" s="444">
        <v>219885</v>
      </c>
      <c r="F153" s="445"/>
      <c r="G153" s="439">
        <v>219885</v>
      </c>
      <c r="H153" s="444">
        <f>160987.49+56358.12+3217.47</f>
        <v>220563.08</v>
      </c>
      <c r="I153" s="445"/>
      <c r="J153" s="439">
        <f t="shared" si="15"/>
        <v>220563.08</v>
      </c>
      <c r="K153" s="376">
        <f t="shared" si="14"/>
        <v>1.003083793801305</v>
      </c>
    </row>
    <row r="154" spans="1:11" ht="12.75">
      <c r="A154" s="1522" t="s">
        <v>169</v>
      </c>
      <c r="B154" s="1653"/>
      <c r="C154" s="1654"/>
      <c r="D154" s="443">
        <v>146037</v>
      </c>
      <c r="E154" s="444">
        <v>160500</v>
      </c>
      <c r="F154" s="445"/>
      <c r="G154" s="439">
        <v>160500</v>
      </c>
      <c r="H154" s="444">
        <v>160988</v>
      </c>
      <c r="I154" s="445"/>
      <c r="J154" s="439">
        <f t="shared" si="15"/>
        <v>160988</v>
      </c>
      <c r="K154" s="376">
        <f t="shared" si="14"/>
        <v>1.0030404984423675</v>
      </c>
    </row>
    <row r="155" spans="1:11" ht="12.75">
      <c r="A155" s="1522" t="s">
        <v>170</v>
      </c>
      <c r="B155" s="1653"/>
      <c r="C155" s="1654"/>
      <c r="D155" s="443">
        <v>146000</v>
      </c>
      <c r="E155" s="444">
        <v>160400</v>
      </c>
      <c r="F155" s="445"/>
      <c r="G155" s="439">
        <v>160400</v>
      </c>
      <c r="H155" s="444">
        <v>160874</v>
      </c>
      <c r="I155" s="445"/>
      <c r="J155" s="439">
        <f t="shared" si="15"/>
        <v>160874</v>
      </c>
      <c r="K155" s="376">
        <f t="shared" si="14"/>
        <v>1.0029551122194513</v>
      </c>
    </row>
    <row r="156" spans="1:11" ht="12.75">
      <c r="A156" s="1522" t="s">
        <v>171</v>
      </c>
      <c r="B156" s="1653"/>
      <c r="C156" s="1654"/>
      <c r="D156" s="443">
        <v>37</v>
      </c>
      <c r="E156" s="444">
        <v>100</v>
      </c>
      <c r="F156" s="445"/>
      <c r="G156" s="439">
        <v>100</v>
      </c>
      <c r="H156" s="444">
        <v>114</v>
      </c>
      <c r="I156" s="445"/>
      <c r="J156" s="439">
        <f t="shared" si="15"/>
        <v>114</v>
      </c>
      <c r="K156" s="376">
        <f t="shared" si="14"/>
        <v>1.14</v>
      </c>
    </row>
    <row r="157" spans="1:11" ht="12.75">
      <c r="A157" s="1522" t="s">
        <v>172</v>
      </c>
      <c r="B157" s="1653"/>
      <c r="C157" s="1654"/>
      <c r="D157" s="443">
        <v>54081</v>
      </c>
      <c r="E157" s="444">
        <v>59385</v>
      </c>
      <c r="F157" s="445"/>
      <c r="G157" s="439">
        <v>59385</v>
      </c>
      <c r="H157" s="444">
        <v>59575</v>
      </c>
      <c r="I157" s="445"/>
      <c r="J157" s="439">
        <f t="shared" si="15"/>
        <v>59575</v>
      </c>
      <c r="K157" s="376">
        <f t="shared" si="14"/>
        <v>1.0031994611433863</v>
      </c>
    </row>
    <row r="158" spans="1:11" ht="12.75">
      <c r="A158" s="1522" t="s">
        <v>173</v>
      </c>
      <c r="B158" s="1653"/>
      <c r="C158" s="1654"/>
      <c r="D158" s="443">
        <v>17</v>
      </c>
      <c r="E158" s="444">
        <v>20</v>
      </c>
      <c r="F158" s="445"/>
      <c r="G158" s="439">
        <v>20</v>
      </c>
      <c r="H158" s="444">
        <f>40.02+0.11+1.44</f>
        <v>41.57</v>
      </c>
      <c r="I158" s="445"/>
      <c r="J158" s="439">
        <f t="shared" si="15"/>
        <v>41.57</v>
      </c>
      <c r="K158" s="376">
        <f t="shared" si="14"/>
        <v>2.0785</v>
      </c>
    </row>
    <row r="159" spans="1:11" ht="12.75">
      <c r="A159" s="1522" t="s">
        <v>174</v>
      </c>
      <c r="B159" s="1653"/>
      <c r="C159" s="1654"/>
      <c r="D159" s="443">
        <v>1794</v>
      </c>
      <c r="E159" s="444">
        <v>2200</v>
      </c>
      <c r="F159" s="445"/>
      <c r="G159" s="439">
        <v>2200</v>
      </c>
      <c r="H159" s="444">
        <f>2.2-5.23+546.34+0.54+1754.14</f>
        <v>2297.9900000000002</v>
      </c>
      <c r="I159" s="445"/>
      <c r="J159" s="439">
        <f t="shared" si="15"/>
        <v>2297.9900000000002</v>
      </c>
      <c r="K159" s="376">
        <f t="shared" si="14"/>
        <v>1.0445409090909092</v>
      </c>
    </row>
    <row r="160" spans="1:11" ht="12.75">
      <c r="A160" s="1522" t="s">
        <v>175</v>
      </c>
      <c r="B160" s="1653"/>
      <c r="C160" s="1654"/>
      <c r="D160" s="443">
        <v>1325</v>
      </c>
      <c r="E160" s="444">
        <v>2600</v>
      </c>
      <c r="F160" s="445"/>
      <c r="G160" s="439">
        <v>2600</v>
      </c>
      <c r="H160" s="444">
        <f>2346.19+527.13</f>
        <v>2873.32</v>
      </c>
      <c r="I160" s="445">
        <v>6.08</v>
      </c>
      <c r="J160" s="439">
        <f t="shared" si="15"/>
        <v>2879.4</v>
      </c>
      <c r="K160" s="376">
        <f t="shared" si="14"/>
        <v>1.1074615384615385</v>
      </c>
    </row>
    <row r="161" spans="1:11" ht="20.25" customHeight="1">
      <c r="A161" s="1522" t="s">
        <v>176</v>
      </c>
      <c r="B161" s="1653"/>
      <c r="C161" s="1654"/>
      <c r="D161" s="443">
        <v>968</v>
      </c>
      <c r="E161" s="444">
        <v>1408</v>
      </c>
      <c r="F161" s="445"/>
      <c r="G161" s="439">
        <v>1408</v>
      </c>
      <c r="H161" s="444">
        <v>2346</v>
      </c>
      <c r="I161" s="445"/>
      <c r="J161" s="439">
        <f t="shared" si="15"/>
        <v>2346</v>
      </c>
      <c r="K161" s="376">
        <f t="shared" si="14"/>
        <v>1.6661931818181819</v>
      </c>
    </row>
    <row r="162" spans="1:11" ht="13.5" thickBot="1">
      <c r="A162" s="1538" t="s">
        <v>177</v>
      </c>
      <c r="B162" s="1655"/>
      <c r="C162" s="1656"/>
      <c r="D162" s="443">
        <v>22</v>
      </c>
      <c r="E162" s="444">
        <v>0</v>
      </c>
      <c r="F162" s="445"/>
      <c r="G162" s="439">
        <v>0</v>
      </c>
      <c r="H162" s="444">
        <v>0</v>
      </c>
      <c r="I162" s="445"/>
      <c r="J162" s="439">
        <f t="shared" si="15"/>
        <v>0</v>
      </c>
      <c r="K162" s="383"/>
    </row>
    <row r="163" spans="1:11" ht="13.5" thickBot="1">
      <c r="A163" s="1532" t="s">
        <v>18</v>
      </c>
      <c r="B163" s="1662"/>
      <c r="C163" s="1663"/>
      <c r="D163" s="447">
        <v>415021</v>
      </c>
      <c r="E163" s="448">
        <f>SUM(E145+E147+E148+E149+E150+E153+E158+E159+E160+E162)</f>
        <v>433405</v>
      </c>
      <c r="F163" s="402">
        <v>0</v>
      </c>
      <c r="G163" s="403">
        <f>SUM(G145+G147+G148+G149+G150+G153+G158+G159+G160+G162)</f>
        <v>433405</v>
      </c>
      <c r="H163" s="401">
        <f>SUM(H145+H147+H148+H149+H150+H153+H158+H159+H160+H162)</f>
        <v>445506.16000000003</v>
      </c>
      <c r="I163" s="402">
        <f>SUM(I145+I147+I148+I149+I150+I153+I158+I159+I160+I162)</f>
        <v>442.53999999999996</v>
      </c>
      <c r="J163" s="449">
        <f>SUM(J145+J147+J148+J149+J150+J153+J158+J159+J160+J162)</f>
        <v>445948.7</v>
      </c>
      <c r="K163" s="423">
        <f t="shared" si="14"/>
        <v>1.028942213403168</v>
      </c>
    </row>
    <row r="164" spans="1:11" ht="13.5" thickBot="1">
      <c r="A164" s="1535" t="s">
        <v>26</v>
      </c>
      <c r="B164" s="1664"/>
      <c r="C164" s="1665"/>
      <c r="D164" s="450">
        <f>D144-D163</f>
        <v>145</v>
      </c>
      <c r="E164" s="451">
        <f>E144-E163</f>
        <v>-17916.375</v>
      </c>
      <c r="F164" s="452">
        <f>F144-F163</f>
        <v>600</v>
      </c>
      <c r="G164" s="453">
        <f>G144-G163</f>
        <v>-17316.375</v>
      </c>
      <c r="H164" s="454">
        <f>+H144-H163</f>
        <v>-942.5600000000559</v>
      </c>
      <c r="I164" s="455">
        <f>+I144-I163</f>
        <v>1122.7600000000002</v>
      </c>
      <c r="J164" s="454">
        <f>+J144-J163</f>
        <v>180.20000000001164</v>
      </c>
      <c r="K164" s="456"/>
    </row>
    <row r="166" spans="1:12" ht="12.75">
      <c r="A166" s="1523" t="s">
        <v>324</v>
      </c>
      <c r="B166" s="1524"/>
      <c r="C166" s="1524"/>
      <c r="D166" s="1524"/>
      <c r="E166" s="1524"/>
      <c r="F166" s="1524"/>
      <c r="G166" s="1524"/>
      <c r="H166" s="1524"/>
      <c r="I166" s="1524"/>
      <c r="J166" s="1524"/>
      <c r="K166" s="1524"/>
      <c r="L166" s="1525"/>
    </row>
    <row r="167" spans="1:12" ht="12.75">
      <c r="A167" s="1526"/>
      <c r="B167" s="1527"/>
      <c r="C167" s="1527"/>
      <c r="D167" s="1527"/>
      <c r="E167" s="1527"/>
      <c r="F167" s="1527"/>
      <c r="G167" s="1527"/>
      <c r="H167" s="1527"/>
      <c r="I167" s="1527"/>
      <c r="J167" s="1527"/>
      <c r="K167" s="1527"/>
      <c r="L167" s="1528"/>
    </row>
    <row r="168" spans="1:12" ht="12.75">
      <c r="A168" s="1526"/>
      <c r="B168" s="1527"/>
      <c r="C168" s="1527"/>
      <c r="D168" s="1527"/>
      <c r="E168" s="1527"/>
      <c r="F168" s="1527"/>
      <c r="G168" s="1527"/>
      <c r="H168" s="1527"/>
      <c r="I168" s="1527"/>
      <c r="J168" s="1527"/>
      <c r="K168" s="1527"/>
      <c r="L168" s="1528"/>
    </row>
    <row r="169" spans="1:12" ht="12.75">
      <c r="A169" s="1529"/>
      <c r="B169" s="1530"/>
      <c r="C169" s="1530"/>
      <c r="D169" s="1530"/>
      <c r="E169" s="1530"/>
      <c r="F169" s="1530"/>
      <c r="G169" s="1530"/>
      <c r="H169" s="1530"/>
      <c r="I169" s="1530"/>
      <c r="J169" s="1530"/>
      <c r="K169" s="1530"/>
      <c r="L169" s="1531"/>
    </row>
    <row r="171" ht="15.75">
      <c r="A171" s="16" t="s">
        <v>189</v>
      </c>
    </row>
    <row r="172" spans="1:12" ht="12.75">
      <c r="A172" s="867" t="s">
        <v>331</v>
      </c>
      <c r="B172" s="840"/>
      <c r="C172" s="840"/>
      <c r="D172" s="840"/>
      <c r="E172" s="840"/>
      <c r="F172" s="840"/>
      <c r="G172" s="868"/>
      <c r="H172" s="868"/>
      <c r="I172" s="868"/>
      <c r="J172" s="868"/>
      <c r="K172" s="868"/>
      <c r="L172" s="869"/>
    </row>
    <row r="173" spans="1:12" ht="12.75">
      <c r="A173" s="870" t="s">
        <v>332</v>
      </c>
      <c r="B173" s="841"/>
      <c r="C173" s="841"/>
      <c r="D173" s="841"/>
      <c r="E173" s="841"/>
      <c r="F173" s="841"/>
      <c r="G173" s="81"/>
      <c r="H173" s="81"/>
      <c r="I173" s="81"/>
      <c r="J173" s="81"/>
      <c r="K173" s="81"/>
      <c r="L173" s="871"/>
    </row>
    <row r="174" spans="1:12" ht="12.75">
      <c r="A174" s="870" t="s">
        <v>333</v>
      </c>
      <c r="B174" s="841"/>
      <c r="C174" s="841"/>
      <c r="D174" s="841"/>
      <c r="E174" s="841"/>
      <c r="F174" s="841"/>
      <c r="G174" s="81"/>
      <c r="H174" s="81"/>
      <c r="I174" s="81"/>
      <c r="J174" s="81"/>
      <c r="K174" s="81"/>
      <c r="L174" s="871"/>
    </row>
    <row r="175" spans="1:12" ht="12.75">
      <c r="A175" s="870" t="s">
        <v>334</v>
      </c>
      <c r="B175" s="841"/>
      <c r="C175" s="841"/>
      <c r="D175" s="841"/>
      <c r="E175" s="841"/>
      <c r="F175" s="841"/>
      <c r="G175" s="81"/>
      <c r="H175" s="81"/>
      <c r="I175" s="81"/>
      <c r="J175" s="81"/>
      <c r="K175" s="81"/>
      <c r="L175" s="871"/>
    </row>
    <row r="176" spans="1:12" ht="12.75">
      <c r="A176" s="870" t="s">
        <v>335</v>
      </c>
      <c r="B176" s="841"/>
      <c r="C176" s="841"/>
      <c r="D176" s="841"/>
      <c r="E176" s="841"/>
      <c r="F176" s="841"/>
      <c r="G176" s="81"/>
      <c r="H176" s="81"/>
      <c r="I176" s="81"/>
      <c r="J176" s="81"/>
      <c r="K176" s="81"/>
      <c r="L176" s="871"/>
    </row>
    <row r="177" spans="1:12" ht="12.75">
      <c r="A177" s="870" t="s">
        <v>336</v>
      </c>
      <c r="B177" s="841"/>
      <c r="C177" s="841"/>
      <c r="D177" s="841"/>
      <c r="E177" s="841"/>
      <c r="F177" s="841"/>
      <c r="G177" s="81"/>
      <c r="H177" s="81"/>
      <c r="I177" s="81"/>
      <c r="J177" s="81"/>
      <c r="K177" s="81"/>
      <c r="L177" s="871"/>
    </row>
    <row r="178" spans="1:12" ht="12.75">
      <c r="A178" s="870" t="s">
        <v>337</v>
      </c>
      <c r="B178" s="841"/>
      <c r="C178" s="841"/>
      <c r="D178" s="841"/>
      <c r="E178" s="841"/>
      <c r="F178" s="841"/>
      <c r="G178" s="81"/>
      <c r="H178" s="81"/>
      <c r="I178" s="81"/>
      <c r="J178" s="81"/>
      <c r="K178" s="81"/>
      <c r="L178" s="871"/>
    </row>
    <row r="179" spans="1:12" ht="12.75">
      <c r="A179" s="870" t="s">
        <v>338</v>
      </c>
      <c r="B179" s="841"/>
      <c r="C179" s="841"/>
      <c r="D179" s="841"/>
      <c r="E179" s="841"/>
      <c r="F179" s="841"/>
      <c r="G179" s="81"/>
      <c r="H179" s="81"/>
      <c r="I179" s="81"/>
      <c r="J179" s="81"/>
      <c r="K179" s="81"/>
      <c r="L179" s="871"/>
    </row>
    <row r="180" spans="1:12" ht="12.75">
      <c r="A180" s="870" t="s">
        <v>339</v>
      </c>
      <c r="B180" s="841"/>
      <c r="C180" s="841"/>
      <c r="D180" s="841"/>
      <c r="E180" s="841"/>
      <c r="F180" s="841"/>
      <c r="G180" s="81"/>
      <c r="H180" s="81"/>
      <c r="I180" s="81"/>
      <c r="J180" s="81"/>
      <c r="K180" s="81"/>
      <c r="L180" s="871"/>
    </row>
    <row r="181" spans="1:12" ht="12.75">
      <c r="A181" s="870" t="s">
        <v>340</v>
      </c>
      <c r="B181" s="841"/>
      <c r="C181" s="841"/>
      <c r="D181" s="841"/>
      <c r="E181" s="841"/>
      <c r="F181" s="841"/>
      <c r="G181" s="81"/>
      <c r="H181" s="81"/>
      <c r="I181" s="81"/>
      <c r="J181" s="81"/>
      <c r="K181" s="81"/>
      <c r="L181" s="871"/>
    </row>
    <row r="182" spans="1:12" ht="12.75">
      <c r="A182" s="872" t="s">
        <v>341</v>
      </c>
      <c r="B182" s="842"/>
      <c r="C182" s="842"/>
      <c r="D182" s="842"/>
      <c r="E182" s="842"/>
      <c r="F182" s="842"/>
      <c r="G182" s="873"/>
      <c r="H182" s="873"/>
      <c r="I182" s="873"/>
      <c r="J182" s="873"/>
      <c r="K182" s="873"/>
      <c r="L182" s="874"/>
    </row>
    <row r="183" spans="1:6" ht="12.75">
      <c r="A183" s="604"/>
      <c r="B183" s="604"/>
      <c r="C183" s="604"/>
      <c r="D183" s="604"/>
      <c r="E183" s="604"/>
      <c r="F183" s="604"/>
    </row>
    <row r="184" spans="1:6" ht="12.75">
      <c r="A184" s="604"/>
      <c r="B184" s="604"/>
      <c r="C184" s="604"/>
      <c r="D184" s="604"/>
      <c r="E184" s="604"/>
      <c r="F184" s="604"/>
    </row>
    <row r="185" spans="1:6" ht="12.75">
      <c r="A185" s="604"/>
      <c r="B185" s="604"/>
      <c r="C185" s="604"/>
      <c r="D185" s="604"/>
      <c r="E185" s="604"/>
      <c r="F185" s="604"/>
    </row>
  </sheetData>
  <mergeCells count="134">
    <mergeCell ref="H132:J132"/>
    <mergeCell ref="D131:K131"/>
    <mergeCell ref="A163:C163"/>
    <mergeCell ref="A164:C164"/>
    <mergeCell ref="D132:D134"/>
    <mergeCell ref="E132:G132"/>
    <mergeCell ref="A159:C159"/>
    <mergeCell ref="A160:C160"/>
    <mergeCell ref="A161:C161"/>
    <mergeCell ref="A162:C162"/>
    <mergeCell ref="A155:C155"/>
    <mergeCell ref="A156:C156"/>
    <mergeCell ref="A157:C157"/>
    <mergeCell ref="A158:C158"/>
    <mergeCell ref="A151:C151"/>
    <mergeCell ref="A152:C152"/>
    <mergeCell ref="A153:C153"/>
    <mergeCell ref="A154:C154"/>
    <mergeCell ref="A147:C147"/>
    <mergeCell ref="A148:C148"/>
    <mergeCell ref="A149:C149"/>
    <mergeCell ref="A150:C150"/>
    <mergeCell ref="A143:C143"/>
    <mergeCell ref="A144:C144"/>
    <mergeCell ref="A145:C145"/>
    <mergeCell ref="A146:C146"/>
    <mergeCell ref="A131:C134"/>
    <mergeCell ref="A135:C135"/>
    <mergeCell ref="A136:C136"/>
    <mergeCell ref="A166:L169"/>
    <mergeCell ref="A137:C137"/>
    <mergeCell ref="A138:C138"/>
    <mergeCell ref="A139:C139"/>
    <mergeCell ref="A140:C140"/>
    <mergeCell ref="A141:C141"/>
    <mergeCell ref="A142:C142"/>
    <mergeCell ref="F5:G5"/>
    <mergeCell ref="H5:I5"/>
    <mergeCell ref="L5:L6"/>
    <mergeCell ref="A121:D121"/>
    <mergeCell ref="H119:J120"/>
    <mergeCell ref="H121:J121"/>
    <mergeCell ref="A4:A6"/>
    <mergeCell ref="B4:C4"/>
    <mergeCell ref="D4:G4"/>
    <mergeCell ref="H4:L4"/>
    <mergeCell ref="B5:B6"/>
    <mergeCell ref="C5:C6"/>
    <mergeCell ref="D5:E5"/>
    <mergeCell ref="K119:L120"/>
    <mergeCell ref="E119:F119"/>
    <mergeCell ref="A120:D120"/>
    <mergeCell ref="A119:D119"/>
    <mergeCell ref="E120:F120"/>
    <mergeCell ref="A115:D115"/>
    <mergeCell ref="E115:F115"/>
    <mergeCell ref="A91:B91"/>
    <mergeCell ref="A84:L85"/>
    <mergeCell ref="A98:B98"/>
    <mergeCell ref="K114:L114"/>
    <mergeCell ref="A114:D114"/>
    <mergeCell ref="E114:F114"/>
    <mergeCell ref="H114:J114"/>
    <mergeCell ref="A105:B105"/>
    <mergeCell ref="A110:L111"/>
    <mergeCell ref="A108:B108"/>
    <mergeCell ref="H88:L88"/>
    <mergeCell ref="C88:G88"/>
    <mergeCell ref="A88:B89"/>
    <mergeCell ref="A81:C81"/>
    <mergeCell ref="A82:C82"/>
    <mergeCell ref="A73:C73"/>
    <mergeCell ref="A74:C74"/>
    <mergeCell ref="A75:C75"/>
    <mergeCell ref="A76:C76"/>
    <mergeCell ref="D46:D47"/>
    <mergeCell ref="A70:C71"/>
    <mergeCell ref="B46:B47"/>
    <mergeCell ref="A72:C72"/>
    <mergeCell ref="J5:K5"/>
    <mergeCell ref="L26:L27"/>
    <mergeCell ref="G70:I70"/>
    <mergeCell ref="L46:L47"/>
    <mergeCell ref="A64:L67"/>
    <mergeCell ref="E46:E47"/>
    <mergeCell ref="F46:K46"/>
    <mergeCell ref="A46:A47"/>
    <mergeCell ref="D70:F70"/>
    <mergeCell ref="C46:C47"/>
    <mergeCell ref="A116:D116"/>
    <mergeCell ref="A117:D117"/>
    <mergeCell ref="A1:K1"/>
    <mergeCell ref="A20:L23"/>
    <mergeCell ref="F26:K26"/>
    <mergeCell ref="E26:E27"/>
    <mergeCell ref="A26:A27"/>
    <mergeCell ref="C26:C27"/>
    <mergeCell ref="D26:D27"/>
    <mergeCell ref="B26:B27"/>
    <mergeCell ref="A99:B99"/>
    <mergeCell ref="A102:B102"/>
    <mergeCell ref="A107:B107"/>
    <mergeCell ref="K118:L118"/>
    <mergeCell ref="H118:J118"/>
    <mergeCell ref="H115:J115"/>
    <mergeCell ref="K115:L115"/>
    <mergeCell ref="H116:J116"/>
    <mergeCell ref="A118:D118"/>
    <mergeCell ref="E118:F118"/>
    <mergeCell ref="E117:F117"/>
    <mergeCell ref="H117:J117"/>
    <mergeCell ref="K117:L117"/>
    <mergeCell ref="K116:L116"/>
    <mergeCell ref="E116:F116"/>
    <mergeCell ref="A104:B104"/>
    <mergeCell ref="A90:B90"/>
    <mergeCell ref="A100:B100"/>
    <mergeCell ref="A101:B101"/>
    <mergeCell ref="A103:B103"/>
    <mergeCell ref="A96:B96"/>
    <mergeCell ref="A97:B97"/>
    <mergeCell ref="A92:B92"/>
    <mergeCell ref="A93:B93"/>
    <mergeCell ref="A95:B95"/>
    <mergeCell ref="J70:L70"/>
    <mergeCell ref="A123:L126"/>
    <mergeCell ref="A77:C77"/>
    <mergeCell ref="A78:C78"/>
    <mergeCell ref="A79:C79"/>
    <mergeCell ref="A80:C80"/>
    <mergeCell ref="K121:L121"/>
    <mergeCell ref="E121:F121"/>
    <mergeCell ref="A106:B106"/>
    <mergeCell ref="A94:B94"/>
  </mergeCells>
  <printOptions horizontalCentered="1"/>
  <pageMargins left="0.2" right="0.1968503937007874" top="0.3937007874015748" bottom="0.3937007874015748" header="0.2362204724409449" footer="0.2362204724409449"/>
  <pageSetup horizontalDpi="300" verticalDpi="300" orientation="portrait" paperSize="9" scale="80" r:id="rId3"/>
  <headerFooter alignWithMargins="0">
    <oddFooter>&amp;C&amp;8&amp;P / 25</oddFooter>
  </headerFooter>
  <rowBreaks count="2" manualBreakCount="2">
    <brk id="68" max="255" man="1"/>
    <brk id="128" max="255" man="1"/>
  </rowBreaks>
  <legacyDrawing r:id="rId2"/>
</worksheet>
</file>

<file path=xl/worksheets/sheet7.xml><?xml version="1.0" encoding="utf-8"?>
<worksheet xmlns="http://schemas.openxmlformats.org/spreadsheetml/2006/main" xmlns:r="http://schemas.openxmlformats.org/officeDocument/2006/relationships">
  <dimension ref="A1:M193"/>
  <sheetViews>
    <sheetView showGridLines="0" workbookViewId="0" topLeftCell="A34">
      <selection activeCell="M49" sqref="M49:M63"/>
    </sheetView>
  </sheetViews>
  <sheetFormatPr defaultColWidth="9.00390625" defaultRowHeight="12.75"/>
  <cols>
    <col min="1" max="1" width="10.625" style="0" customWidth="1"/>
    <col min="2" max="9" width="10.75390625" style="0" customWidth="1"/>
    <col min="10" max="10" width="11.125" style="0" customWidth="1"/>
    <col min="11" max="11" width="10.75390625" style="0" customWidth="1"/>
    <col min="12" max="12" width="11.625" style="0" customWidth="1"/>
  </cols>
  <sheetData>
    <row r="1" spans="1:12" s="153" customFormat="1" ht="18">
      <c r="A1" s="226" t="s">
        <v>59</v>
      </c>
      <c r="B1" s="227"/>
      <c r="C1" s="227"/>
      <c r="D1" s="227"/>
      <c r="E1" s="227"/>
      <c r="F1" s="227"/>
      <c r="G1" s="227"/>
      <c r="H1" s="227"/>
      <c r="I1" s="227"/>
      <c r="J1" s="227"/>
      <c r="K1" s="227"/>
      <c r="L1" s="227"/>
    </row>
    <row r="2" ht="15.75">
      <c r="A2" s="16"/>
    </row>
    <row r="3" spans="1:12" s="265" customFormat="1" ht="17.25" customHeight="1" thickBot="1">
      <c r="A3" s="68" t="s">
        <v>54</v>
      </c>
      <c r="L3" s="167" t="s">
        <v>116</v>
      </c>
    </row>
    <row r="4" spans="1:12" s="265" customFormat="1" ht="15" customHeight="1">
      <c r="A4" s="1247" t="s">
        <v>32</v>
      </c>
      <c r="B4" s="1256" t="s">
        <v>18</v>
      </c>
      <c r="C4" s="1712"/>
      <c r="D4" s="1591" t="s">
        <v>128</v>
      </c>
      <c r="E4" s="1645"/>
      <c r="F4" s="1646"/>
      <c r="G4" s="1647"/>
      <c r="H4" s="1591" t="s">
        <v>26</v>
      </c>
      <c r="I4" s="1646"/>
      <c r="J4" s="1646"/>
      <c r="K4" s="1646"/>
      <c r="L4" s="1647"/>
    </row>
    <row r="5" spans="1:12" s="265" customFormat="1" ht="12.75" customHeight="1">
      <c r="A5" s="1642"/>
      <c r="B5" s="1587">
        <v>2005</v>
      </c>
      <c r="C5" s="1588">
        <v>2006</v>
      </c>
      <c r="D5" s="1569">
        <v>2005</v>
      </c>
      <c r="E5" s="1634"/>
      <c r="F5" s="1570">
        <v>2006</v>
      </c>
      <c r="G5" s="1633"/>
      <c r="H5" s="1569">
        <v>2005</v>
      </c>
      <c r="I5" s="1634"/>
      <c r="J5" s="1570">
        <v>2006</v>
      </c>
      <c r="K5" s="1611" t="s">
        <v>127</v>
      </c>
      <c r="L5" s="1588" t="s">
        <v>141</v>
      </c>
    </row>
    <row r="6" spans="1:12" s="265" customFormat="1" ht="23.25" thickBot="1">
      <c r="A6" s="1643"/>
      <c r="B6" s="1626"/>
      <c r="C6" s="1635"/>
      <c r="D6" s="65" t="s">
        <v>129</v>
      </c>
      <c r="E6" s="70" t="s">
        <v>130</v>
      </c>
      <c r="F6" s="70" t="s">
        <v>129</v>
      </c>
      <c r="G6" s="66" t="s">
        <v>130</v>
      </c>
      <c r="H6" s="266" t="s">
        <v>131</v>
      </c>
      <c r="I6" s="70" t="s">
        <v>127</v>
      </c>
      <c r="J6" s="267" t="s">
        <v>131</v>
      </c>
      <c r="K6" s="58" t="s">
        <v>127</v>
      </c>
      <c r="L6" s="1635"/>
    </row>
    <row r="7" spans="1:12" s="270" customFormat="1" ht="14.25" customHeight="1">
      <c r="A7" s="37" t="s">
        <v>33</v>
      </c>
      <c r="B7" s="237">
        <v>40489</v>
      </c>
      <c r="C7" s="3">
        <f>+'Hospodaření str1-2'!F43</f>
        <v>47017.28</v>
      </c>
      <c r="D7" s="237">
        <v>42258</v>
      </c>
      <c r="E7" s="11">
        <v>129</v>
      </c>
      <c r="F7" s="2">
        <f>+'Hospodaření str1-2'!J43</f>
        <v>44449.8</v>
      </c>
      <c r="G7" s="3">
        <v>121</v>
      </c>
      <c r="H7" s="268">
        <f aca="true" t="shared" si="0" ref="H7:H18">+D7-B7</f>
        <v>1769</v>
      </c>
      <c r="I7" s="2">
        <f aca="true" t="shared" si="1" ref="I7:I18">+H7-E7</f>
        <v>1640</v>
      </c>
      <c r="J7" s="269">
        <f aca="true" t="shared" si="2" ref="J7:J18">+F7-C7</f>
        <v>-2567.479999999996</v>
      </c>
      <c r="K7" s="2">
        <f aca="true" t="shared" si="3" ref="K7:K18">+J7-G7</f>
        <v>-2688.479999999996</v>
      </c>
      <c r="L7" s="3">
        <f aca="true" t="shared" si="4" ref="L7:L18">+J7-H7</f>
        <v>-4336.479999999996</v>
      </c>
    </row>
    <row r="8" spans="1:12" s="270" customFormat="1" ht="14.25" customHeight="1">
      <c r="A8" s="39" t="s">
        <v>34</v>
      </c>
      <c r="B8" s="230">
        <v>82040</v>
      </c>
      <c r="C8" s="5">
        <f>+'Hospodaření str1-2'!F44</f>
        <v>93067.31</v>
      </c>
      <c r="D8" s="230">
        <v>84060</v>
      </c>
      <c r="E8" s="12">
        <v>258</v>
      </c>
      <c r="F8" s="4">
        <f>+'Hospodaření str1-2'!J44</f>
        <v>89382.5</v>
      </c>
      <c r="G8" s="5">
        <v>242</v>
      </c>
      <c r="H8" s="268">
        <f t="shared" si="0"/>
        <v>2020</v>
      </c>
      <c r="I8" s="2">
        <f t="shared" si="1"/>
        <v>1762</v>
      </c>
      <c r="J8" s="269">
        <f t="shared" si="2"/>
        <v>-3684.8099999999977</v>
      </c>
      <c r="K8" s="2">
        <f t="shared" si="3"/>
        <v>-3926.8099999999977</v>
      </c>
      <c r="L8" s="3">
        <f t="shared" si="4"/>
        <v>-5704.809999999998</v>
      </c>
    </row>
    <row r="9" spans="1:12" s="270" customFormat="1" ht="14.25" customHeight="1">
      <c r="A9" s="39" t="s">
        <v>35</v>
      </c>
      <c r="B9" s="230">
        <v>123851</v>
      </c>
      <c r="C9" s="5">
        <f>+'Hospodaření str1-2'!F45</f>
        <v>137950.28</v>
      </c>
      <c r="D9" s="230">
        <v>128123</v>
      </c>
      <c r="E9" s="12">
        <v>387</v>
      </c>
      <c r="F9" s="4">
        <f>+'Hospodaření str1-2'!J45</f>
        <v>138143.92</v>
      </c>
      <c r="G9" s="5">
        <v>363</v>
      </c>
      <c r="H9" s="268">
        <f t="shared" si="0"/>
        <v>4272</v>
      </c>
      <c r="I9" s="2">
        <f t="shared" si="1"/>
        <v>3885</v>
      </c>
      <c r="J9" s="269">
        <f t="shared" si="2"/>
        <v>193.64000000001397</v>
      </c>
      <c r="K9" s="2">
        <f t="shared" si="3"/>
        <v>-169.35999999998603</v>
      </c>
      <c r="L9" s="3">
        <f t="shared" si="4"/>
        <v>-4078.359999999986</v>
      </c>
    </row>
    <row r="10" spans="1:12" s="270" customFormat="1" ht="14.25" customHeight="1">
      <c r="A10" s="39" t="s">
        <v>36</v>
      </c>
      <c r="B10" s="230">
        <v>165020</v>
      </c>
      <c r="C10" s="5">
        <f>+'Hospodaření str1-2'!F46</f>
        <v>187641.12</v>
      </c>
      <c r="D10" s="230">
        <v>167842</v>
      </c>
      <c r="E10" s="12">
        <v>516</v>
      </c>
      <c r="F10" s="4">
        <f>+'Hospodaření str1-2'!J46</f>
        <v>184964.03</v>
      </c>
      <c r="G10" s="5">
        <v>484</v>
      </c>
      <c r="H10" s="268">
        <f t="shared" si="0"/>
        <v>2822</v>
      </c>
      <c r="I10" s="2">
        <f t="shared" si="1"/>
        <v>2306</v>
      </c>
      <c r="J10" s="269">
        <f t="shared" si="2"/>
        <v>-2677.0899999999965</v>
      </c>
      <c r="K10" s="2">
        <f t="shared" si="3"/>
        <v>-3161.0899999999965</v>
      </c>
      <c r="L10" s="3">
        <f t="shared" si="4"/>
        <v>-5499.0899999999965</v>
      </c>
    </row>
    <row r="11" spans="1:12" s="270" customFormat="1" ht="14.25" customHeight="1">
      <c r="A11" s="39" t="s">
        <v>37</v>
      </c>
      <c r="B11" s="230">
        <v>208574</v>
      </c>
      <c r="C11" s="5">
        <f>+'Hospodaření str1-2'!F47</f>
        <v>232755</v>
      </c>
      <c r="D11" s="230">
        <v>211626</v>
      </c>
      <c r="E11" s="12">
        <v>748</v>
      </c>
      <c r="F11" s="4">
        <f>+'Hospodaření str1-2'!J47</f>
        <v>231314</v>
      </c>
      <c r="G11" s="5">
        <v>705</v>
      </c>
      <c r="H11" s="268">
        <f t="shared" si="0"/>
        <v>3052</v>
      </c>
      <c r="I11" s="2">
        <f t="shared" si="1"/>
        <v>2304</v>
      </c>
      <c r="J11" s="269">
        <f t="shared" si="2"/>
        <v>-1441</v>
      </c>
      <c r="K11" s="2">
        <f t="shared" si="3"/>
        <v>-2146</v>
      </c>
      <c r="L11" s="3">
        <f t="shared" si="4"/>
        <v>-4493</v>
      </c>
    </row>
    <row r="12" spans="1:12" s="270" customFormat="1" ht="14.25" customHeight="1" thickBot="1">
      <c r="A12" s="182" t="s">
        <v>38</v>
      </c>
      <c r="B12" s="239">
        <v>246574</v>
      </c>
      <c r="C12" s="7">
        <f>+'Hospodaření str1-2'!F48</f>
        <v>275888</v>
      </c>
      <c r="D12" s="239">
        <v>256078</v>
      </c>
      <c r="E12" s="62">
        <v>869</v>
      </c>
      <c r="F12" s="6">
        <f>+'Hospodaření str1-2'!J48</f>
        <v>280246</v>
      </c>
      <c r="G12" s="7">
        <v>826</v>
      </c>
      <c r="H12" s="271">
        <f t="shared" si="0"/>
        <v>9504</v>
      </c>
      <c r="I12" s="116">
        <f t="shared" si="1"/>
        <v>8635</v>
      </c>
      <c r="J12" s="272">
        <f t="shared" si="2"/>
        <v>4358</v>
      </c>
      <c r="K12" s="116">
        <f t="shared" si="3"/>
        <v>3532</v>
      </c>
      <c r="L12" s="117">
        <f t="shared" si="4"/>
        <v>-5146</v>
      </c>
    </row>
    <row r="13" spans="1:12" s="265" customFormat="1" ht="12.75">
      <c r="A13" s="37" t="s">
        <v>39</v>
      </c>
      <c r="B13" s="60">
        <v>289938</v>
      </c>
      <c r="C13" s="60">
        <v>325467</v>
      </c>
      <c r="D13" s="60">
        <v>299311</v>
      </c>
      <c r="E13" s="60">
        <v>990</v>
      </c>
      <c r="F13" s="60">
        <v>330705</v>
      </c>
      <c r="G13" s="30">
        <v>847</v>
      </c>
      <c r="H13" s="268">
        <f t="shared" si="0"/>
        <v>9373</v>
      </c>
      <c r="I13" s="2">
        <f t="shared" si="1"/>
        <v>8383</v>
      </c>
      <c r="J13" s="269">
        <f t="shared" si="2"/>
        <v>5238</v>
      </c>
      <c r="K13" s="2">
        <f t="shared" si="3"/>
        <v>4391</v>
      </c>
      <c r="L13" s="3">
        <f t="shared" si="4"/>
        <v>-4135</v>
      </c>
    </row>
    <row r="14" spans="1:12" s="265" customFormat="1" ht="12.75">
      <c r="A14" s="39" t="s">
        <v>40</v>
      </c>
      <c r="B14" s="61">
        <v>331967</v>
      </c>
      <c r="C14" s="61">
        <v>372543</v>
      </c>
      <c r="D14" s="61">
        <v>342465</v>
      </c>
      <c r="E14" s="61">
        <v>1111</v>
      </c>
      <c r="F14" s="61">
        <v>378597</v>
      </c>
      <c r="G14" s="28">
        <v>1068</v>
      </c>
      <c r="H14" s="268">
        <f t="shared" si="0"/>
        <v>10498</v>
      </c>
      <c r="I14" s="2">
        <f t="shared" si="1"/>
        <v>9387</v>
      </c>
      <c r="J14" s="269">
        <f t="shared" si="2"/>
        <v>6054</v>
      </c>
      <c r="K14" s="2">
        <f t="shared" si="3"/>
        <v>4986</v>
      </c>
      <c r="L14" s="3">
        <f t="shared" si="4"/>
        <v>-4444</v>
      </c>
    </row>
    <row r="15" spans="1:12" s="265" customFormat="1" ht="12.75">
      <c r="A15" s="39" t="s">
        <v>41</v>
      </c>
      <c r="B15" s="61">
        <v>381726</v>
      </c>
      <c r="C15" s="61">
        <v>418998</v>
      </c>
      <c r="D15" s="61">
        <v>383990</v>
      </c>
      <c r="E15" s="61">
        <v>1355</v>
      </c>
      <c r="F15" s="61">
        <v>424659</v>
      </c>
      <c r="G15" s="28">
        <v>1189</v>
      </c>
      <c r="H15" s="268">
        <f t="shared" si="0"/>
        <v>2264</v>
      </c>
      <c r="I15" s="2">
        <f t="shared" si="1"/>
        <v>909</v>
      </c>
      <c r="J15" s="269">
        <f t="shared" si="2"/>
        <v>5661</v>
      </c>
      <c r="K15" s="2">
        <f t="shared" si="3"/>
        <v>4472</v>
      </c>
      <c r="L15" s="3">
        <f t="shared" si="4"/>
        <v>3397</v>
      </c>
    </row>
    <row r="16" spans="1:12" s="265" customFormat="1" ht="12.75">
      <c r="A16" s="41" t="s">
        <v>42</v>
      </c>
      <c r="B16" s="61">
        <v>430828</v>
      </c>
      <c r="C16" s="61">
        <v>469489</v>
      </c>
      <c r="D16" s="61">
        <v>427657</v>
      </c>
      <c r="E16" s="61">
        <v>1476</v>
      </c>
      <c r="F16" s="61">
        <v>470601</v>
      </c>
      <c r="G16" s="28">
        <v>1310</v>
      </c>
      <c r="H16" s="268">
        <f t="shared" si="0"/>
        <v>-3171</v>
      </c>
      <c r="I16" s="2">
        <f t="shared" si="1"/>
        <v>-4647</v>
      </c>
      <c r="J16" s="269">
        <f t="shared" si="2"/>
        <v>1112</v>
      </c>
      <c r="K16" s="2">
        <f t="shared" si="3"/>
        <v>-198</v>
      </c>
      <c r="L16" s="3">
        <f t="shared" si="4"/>
        <v>4283</v>
      </c>
    </row>
    <row r="17" spans="1:12" s="265" customFormat="1" ht="12.75">
      <c r="A17" s="39" t="s">
        <v>43</v>
      </c>
      <c r="B17" s="61">
        <v>475219</v>
      </c>
      <c r="C17" s="61">
        <v>517769</v>
      </c>
      <c r="D17" s="61">
        <v>478398</v>
      </c>
      <c r="E17" s="61">
        <v>1597</v>
      </c>
      <c r="F17" s="61">
        <v>520292</v>
      </c>
      <c r="G17" s="28">
        <v>1431</v>
      </c>
      <c r="H17" s="268">
        <f t="shared" si="0"/>
        <v>3179</v>
      </c>
      <c r="I17" s="2">
        <f t="shared" si="1"/>
        <v>1582</v>
      </c>
      <c r="J17" s="269">
        <f t="shared" si="2"/>
        <v>2523</v>
      </c>
      <c r="K17" s="2">
        <f t="shared" si="3"/>
        <v>1092</v>
      </c>
      <c r="L17" s="3">
        <f t="shared" si="4"/>
        <v>-656</v>
      </c>
    </row>
    <row r="18" spans="1:12" s="265" customFormat="1" ht="13.5" thickBot="1">
      <c r="A18" s="43" t="s">
        <v>44</v>
      </c>
      <c r="B18" s="62">
        <v>526005</v>
      </c>
      <c r="C18" s="62">
        <v>569937.76</v>
      </c>
      <c r="D18" s="62">
        <v>526009</v>
      </c>
      <c r="E18" s="62">
        <v>1723</v>
      </c>
      <c r="F18" s="62">
        <v>569939.37</v>
      </c>
      <c r="G18" s="7">
        <v>1982</v>
      </c>
      <c r="H18" s="271">
        <f t="shared" si="0"/>
        <v>4</v>
      </c>
      <c r="I18" s="116">
        <f t="shared" si="1"/>
        <v>-1719</v>
      </c>
      <c r="J18" s="272">
        <f t="shared" si="2"/>
        <v>1.6099999999860302</v>
      </c>
      <c r="K18" s="116">
        <f t="shared" si="3"/>
        <v>-1980.390000000014</v>
      </c>
      <c r="L18" s="117">
        <f t="shared" si="4"/>
        <v>-2.39000000001397</v>
      </c>
    </row>
    <row r="19" s="265" customFormat="1" ht="5.25" customHeight="1"/>
    <row r="20" spans="1:12" s="265" customFormat="1" ht="15.75" customHeight="1">
      <c r="A20" s="1681" t="s">
        <v>301</v>
      </c>
      <c r="B20" s="1682"/>
      <c r="C20" s="1682"/>
      <c r="D20" s="1682"/>
      <c r="E20" s="1682"/>
      <c r="F20" s="1682"/>
      <c r="G20" s="1682"/>
      <c r="H20" s="1682"/>
      <c r="I20" s="1682"/>
      <c r="J20" s="1682"/>
      <c r="K20" s="1682"/>
      <c r="L20" s="1683"/>
    </row>
    <row r="21" spans="1:12" s="265" customFormat="1" ht="15.75" customHeight="1">
      <c r="A21" s="1684"/>
      <c r="B21" s="1685"/>
      <c r="C21" s="1685"/>
      <c r="D21" s="1685"/>
      <c r="E21" s="1685"/>
      <c r="F21" s="1685"/>
      <c r="G21" s="1685"/>
      <c r="H21" s="1685"/>
      <c r="I21" s="1685"/>
      <c r="J21" s="1685"/>
      <c r="K21" s="1685"/>
      <c r="L21" s="1686"/>
    </row>
    <row r="22" spans="1:12" s="265" customFormat="1" ht="15.75" customHeight="1">
      <c r="A22" s="1684"/>
      <c r="B22" s="1685"/>
      <c r="C22" s="1685"/>
      <c r="D22" s="1685"/>
      <c r="E22" s="1685"/>
      <c r="F22" s="1685"/>
      <c r="G22" s="1685"/>
      <c r="H22" s="1685"/>
      <c r="I22" s="1685"/>
      <c r="J22" s="1685"/>
      <c r="K22" s="1685"/>
      <c r="L22" s="1686"/>
    </row>
    <row r="23" spans="1:12" s="265" customFormat="1" ht="15.75" customHeight="1">
      <c r="A23" s="1684"/>
      <c r="B23" s="1685"/>
      <c r="C23" s="1685"/>
      <c r="D23" s="1685"/>
      <c r="E23" s="1685"/>
      <c r="F23" s="1685"/>
      <c r="G23" s="1685"/>
      <c r="H23" s="1685"/>
      <c r="I23" s="1685"/>
      <c r="J23" s="1685"/>
      <c r="K23" s="1685"/>
      <c r="L23" s="1686"/>
    </row>
    <row r="24" spans="1:12" s="265" customFormat="1" ht="15.75" customHeight="1">
      <c r="A24" s="1684"/>
      <c r="B24" s="1685"/>
      <c r="C24" s="1685"/>
      <c r="D24" s="1685"/>
      <c r="E24" s="1685"/>
      <c r="F24" s="1685"/>
      <c r="G24" s="1685"/>
      <c r="H24" s="1685"/>
      <c r="I24" s="1685"/>
      <c r="J24" s="1685"/>
      <c r="K24" s="1685"/>
      <c r="L24" s="1686"/>
    </row>
    <row r="25" spans="1:12" s="265" customFormat="1" ht="6.75" customHeight="1">
      <c r="A25" s="1687"/>
      <c r="B25" s="1688"/>
      <c r="C25" s="1688"/>
      <c r="D25" s="1688"/>
      <c r="E25" s="1688"/>
      <c r="F25" s="1688"/>
      <c r="G25" s="1688"/>
      <c r="H25" s="1688"/>
      <c r="I25" s="1688"/>
      <c r="J25" s="1688"/>
      <c r="K25" s="1688"/>
      <c r="L25" s="1689"/>
    </row>
    <row r="26" spans="1:11" s="265" customFormat="1" ht="12.75">
      <c r="A26" s="274"/>
      <c r="B26" s="274"/>
      <c r="C26" s="274"/>
      <c r="D26" s="274"/>
      <c r="E26" s="274"/>
      <c r="F26" s="274"/>
      <c r="G26" s="274"/>
      <c r="H26" s="274"/>
      <c r="I26" s="274"/>
      <c r="J26" s="274"/>
      <c r="K26" s="274"/>
    </row>
    <row r="27" spans="1:12" s="265" customFormat="1" ht="16.5" thickBot="1">
      <c r="A27" s="16" t="s">
        <v>9</v>
      </c>
      <c r="L27" s="167" t="s">
        <v>116</v>
      </c>
    </row>
    <row r="28" spans="1:12" s="265" customFormat="1" ht="24.75" customHeight="1">
      <c r="A28" s="1558" t="s">
        <v>28</v>
      </c>
      <c r="B28" s="1560" t="s">
        <v>29</v>
      </c>
      <c r="C28" s="1562" t="s">
        <v>30</v>
      </c>
      <c r="D28" s="1562" t="s">
        <v>31</v>
      </c>
      <c r="E28" s="1592" t="s">
        <v>24</v>
      </c>
      <c r="F28" s="1606" t="s">
        <v>45</v>
      </c>
      <c r="G28" s="1257"/>
      <c r="H28" s="1257"/>
      <c r="I28" s="1257"/>
      <c r="J28" s="1257"/>
      <c r="K28" s="1607"/>
      <c r="L28" s="1247" t="s">
        <v>12</v>
      </c>
    </row>
    <row r="29" spans="1:12" s="270" customFormat="1" ht="13.5" thickBot="1">
      <c r="A29" s="1559"/>
      <c r="B29" s="1610"/>
      <c r="C29" s="1609" t="s">
        <v>30</v>
      </c>
      <c r="D29" s="1609" t="s">
        <v>31</v>
      </c>
      <c r="E29" s="1608" t="s">
        <v>24</v>
      </c>
      <c r="F29" s="70" t="s">
        <v>46</v>
      </c>
      <c r="G29" s="70" t="s">
        <v>47</v>
      </c>
      <c r="H29" s="70" t="s">
        <v>48</v>
      </c>
      <c r="I29" s="70" t="s">
        <v>49</v>
      </c>
      <c r="J29" s="70" t="s">
        <v>50</v>
      </c>
      <c r="K29" s="66" t="s">
        <v>24</v>
      </c>
      <c r="L29" s="1594"/>
    </row>
    <row r="30" spans="1:12" ht="15.75" customHeight="1">
      <c r="A30" s="187">
        <v>37986</v>
      </c>
      <c r="B30" s="188">
        <v>74581</v>
      </c>
      <c r="C30" s="189">
        <v>0</v>
      </c>
      <c r="D30" s="189">
        <v>144</v>
      </c>
      <c r="E30" s="190">
        <v>74725</v>
      </c>
      <c r="F30" s="188">
        <v>12103</v>
      </c>
      <c r="G30" s="189">
        <v>17759</v>
      </c>
      <c r="H30" s="189">
        <v>24198</v>
      </c>
      <c r="I30" s="189">
        <v>10473</v>
      </c>
      <c r="J30" s="189">
        <v>23</v>
      </c>
      <c r="K30" s="192">
        <v>64556</v>
      </c>
      <c r="L30" s="193">
        <v>4495</v>
      </c>
    </row>
    <row r="31" spans="1:12" ht="15.75" customHeight="1">
      <c r="A31" s="316">
        <v>38352</v>
      </c>
      <c r="B31" s="319">
        <v>63581</v>
      </c>
      <c r="C31" s="318">
        <v>0</v>
      </c>
      <c r="D31" s="318">
        <v>0</v>
      </c>
      <c r="E31" s="304">
        <v>63581</v>
      </c>
      <c r="F31" s="319">
        <v>10403</v>
      </c>
      <c r="G31" s="318">
        <v>15082</v>
      </c>
      <c r="H31" s="318">
        <v>9479</v>
      </c>
      <c r="I31" s="318">
        <v>0</v>
      </c>
      <c r="J31" s="318">
        <v>0</v>
      </c>
      <c r="K31" s="320">
        <v>34964</v>
      </c>
      <c r="L31" s="308">
        <v>9917</v>
      </c>
    </row>
    <row r="32" spans="1:12" ht="13.5" thickBot="1">
      <c r="A32" s="325">
        <v>38717</v>
      </c>
      <c r="B32" s="315">
        <v>88109</v>
      </c>
      <c r="C32" s="313">
        <v>0</v>
      </c>
      <c r="D32" s="313">
        <v>4</v>
      </c>
      <c r="E32" s="314">
        <v>88113</v>
      </c>
      <c r="F32" s="315">
        <v>14644.687</v>
      </c>
      <c r="G32" s="313">
        <v>21112.106</v>
      </c>
      <c r="H32" s="313">
        <v>22416.339</v>
      </c>
      <c r="I32" s="313">
        <v>4091.47</v>
      </c>
      <c r="J32" s="313">
        <v>0</v>
      </c>
      <c r="K32" s="310">
        <v>62264.602</v>
      </c>
      <c r="L32" s="324">
        <v>3385.237</v>
      </c>
    </row>
    <row r="33" spans="1:12" ht="13.5" customHeight="1">
      <c r="A33" s="47">
        <v>38748</v>
      </c>
      <c r="B33" s="50">
        <v>92720</v>
      </c>
      <c r="C33" s="33">
        <v>110</v>
      </c>
      <c r="D33" s="33">
        <v>4</v>
      </c>
      <c r="E33" s="71">
        <v>92834</v>
      </c>
      <c r="F33" s="50">
        <v>13178</v>
      </c>
      <c r="G33" s="33">
        <v>21009</v>
      </c>
      <c r="H33" s="33">
        <v>19076</v>
      </c>
      <c r="I33" s="33">
        <v>2119</v>
      </c>
      <c r="J33" s="33">
        <v>0</v>
      </c>
      <c r="K33" s="73">
        <v>55382</v>
      </c>
      <c r="L33" s="216">
        <v>3385</v>
      </c>
    </row>
    <row r="34" spans="1:12" ht="13.5" customHeight="1">
      <c r="A34" s="48">
        <v>38776</v>
      </c>
      <c r="B34" s="46">
        <v>96298</v>
      </c>
      <c r="C34" s="34">
        <v>64</v>
      </c>
      <c r="D34" s="34">
        <v>4</v>
      </c>
      <c r="E34" s="71">
        <v>96366</v>
      </c>
      <c r="F34" s="46">
        <v>16238</v>
      </c>
      <c r="G34" s="34">
        <v>20866</v>
      </c>
      <c r="H34" s="34">
        <v>18827</v>
      </c>
      <c r="I34" s="34">
        <v>2951</v>
      </c>
      <c r="J34" s="34"/>
      <c r="K34" s="74">
        <v>58882</v>
      </c>
      <c r="L34" s="217">
        <v>3385</v>
      </c>
    </row>
    <row r="35" spans="1:12" ht="13.5" customHeight="1">
      <c r="A35" s="48">
        <v>38807</v>
      </c>
      <c r="B35" s="46">
        <v>79279.17</v>
      </c>
      <c r="C35" s="34">
        <v>171.58</v>
      </c>
      <c r="D35" s="34">
        <v>4.18</v>
      </c>
      <c r="E35" s="71">
        <v>79454.93</v>
      </c>
      <c r="F35" s="46">
        <v>9332.328</v>
      </c>
      <c r="G35" s="34">
        <v>15548.476</v>
      </c>
      <c r="H35" s="34">
        <v>13819.001</v>
      </c>
      <c r="I35" s="34">
        <v>0</v>
      </c>
      <c r="J35" s="34">
        <v>0</v>
      </c>
      <c r="K35" s="74">
        <v>38699.805</v>
      </c>
      <c r="L35" s="82">
        <v>3385.24</v>
      </c>
    </row>
    <row r="36" spans="1:12" ht="13.5" customHeight="1">
      <c r="A36" s="48">
        <v>38837</v>
      </c>
      <c r="B36" s="46">
        <v>83264.87</v>
      </c>
      <c r="C36" s="34">
        <v>125.51</v>
      </c>
      <c r="D36" s="34">
        <v>3</v>
      </c>
      <c r="E36" s="71">
        <v>83393.38</v>
      </c>
      <c r="F36" s="46">
        <v>12460.43</v>
      </c>
      <c r="G36" s="34">
        <v>14630.673</v>
      </c>
      <c r="H36" s="34">
        <v>15147.172</v>
      </c>
      <c r="I36" s="34">
        <v>2053.862</v>
      </c>
      <c r="J36" s="34">
        <v>0</v>
      </c>
      <c r="K36" s="74">
        <v>44292.137</v>
      </c>
      <c r="L36" s="217">
        <v>3385.24</v>
      </c>
    </row>
    <row r="37" spans="1:12" ht="13.5" customHeight="1">
      <c r="A37" s="48">
        <v>38868</v>
      </c>
      <c r="B37" s="46">
        <v>73077</v>
      </c>
      <c r="C37" s="34">
        <v>135</v>
      </c>
      <c r="D37" s="34">
        <v>3</v>
      </c>
      <c r="E37" s="71">
        <v>73215</v>
      </c>
      <c r="F37" s="46">
        <v>11278.306</v>
      </c>
      <c r="G37" s="34">
        <v>14654.748</v>
      </c>
      <c r="H37" s="34">
        <v>11337.498</v>
      </c>
      <c r="I37" s="34">
        <v>0</v>
      </c>
      <c r="J37" s="34">
        <v>0</v>
      </c>
      <c r="K37" s="74">
        <v>37270.551999999996</v>
      </c>
      <c r="L37" s="217">
        <v>3385.237</v>
      </c>
    </row>
    <row r="38" spans="1:12" ht="13.5" customHeight="1" thickBot="1">
      <c r="A38" s="183">
        <v>38898</v>
      </c>
      <c r="B38" s="184">
        <v>66996</v>
      </c>
      <c r="C38" s="185">
        <v>230</v>
      </c>
      <c r="D38" s="185">
        <v>77</v>
      </c>
      <c r="E38" s="72">
        <v>67303</v>
      </c>
      <c r="F38" s="184">
        <v>9685</v>
      </c>
      <c r="G38" s="185">
        <v>10577</v>
      </c>
      <c r="H38" s="185">
        <v>8519</v>
      </c>
      <c r="I38" s="185">
        <v>1094</v>
      </c>
      <c r="J38" s="185">
        <v>0</v>
      </c>
      <c r="K38" s="75">
        <v>29875</v>
      </c>
      <c r="L38" s="85">
        <v>3385</v>
      </c>
    </row>
    <row r="39" spans="1:12" ht="12.75">
      <c r="A39" s="37">
        <v>38929</v>
      </c>
      <c r="B39" s="46">
        <v>65514.811</v>
      </c>
      <c r="C39" s="34">
        <v>175.01</v>
      </c>
      <c r="D39" s="34">
        <v>4.466</v>
      </c>
      <c r="E39" s="71">
        <v>65694.287</v>
      </c>
      <c r="F39" s="46">
        <v>7171.388</v>
      </c>
      <c r="G39" s="34">
        <v>11158.761</v>
      </c>
      <c r="H39" s="34">
        <v>5590.587</v>
      </c>
      <c r="I39" s="34">
        <v>0</v>
      </c>
      <c r="J39" s="34">
        <v>0</v>
      </c>
      <c r="K39" s="74">
        <v>23920.736</v>
      </c>
      <c r="L39" s="275">
        <v>3385</v>
      </c>
    </row>
    <row r="40" spans="1:12" ht="12.75">
      <c r="A40" s="39">
        <v>38960</v>
      </c>
      <c r="B40" s="46">
        <v>60500.53</v>
      </c>
      <c r="C40" s="34">
        <v>287.894</v>
      </c>
      <c r="D40" s="34">
        <v>14.941</v>
      </c>
      <c r="E40" s="71">
        <v>60803.365</v>
      </c>
      <c r="F40" s="46">
        <v>7796.368</v>
      </c>
      <c r="G40" s="34">
        <v>9721.851</v>
      </c>
      <c r="H40" s="34">
        <v>2534.964</v>
      </c>
      <c r="I40" s="34">
        <v>22.981</v>
      </c>
      <c r="J40" s="34">
        <v>0</v>
      </c>
      <c r="K40" s="74">
        <v>20076.164</v>
      </c>
      <c r="L40" s="275">
        <v>3385</v>
      </c>
    </row>
    <row r="41" spans="1:12" ht="12.75">
      <c r="A41" s="37">
        <v>38990</v>
      </c>
      <c r="B41" s="46">
        <v>70556.047</v>
      </c>
      <c r="C41" s="34">
        <v>294.845</v>
      </c>
      <c r="D41" s="34">
        <v>5.995</v>
      </c>
      <c r="E41" s="71">
        <v>70856.887</v>
      </c>
      <c r="F41" s="46">
        <v>7180.746</v>
      </c>
      <c r="G41" s="34">
        <v>11262.757</v>
      </c>
      <c r="H41" s="34">
        <v>3768.227</v>
      </c>
      <c r="I41" s="34">
        <v>0</v>
      </c>
      <c r="J41" s="34">
        <v>0</v>
      </c>
      <c r="K41" s="74">
        <v>22211.73</v>
      </c>
      <c r="L41" s="275">
        <v>3385</v>
      </c>
    </row>
    <row r="42" spans="1:12" ht="12.75">
      <c r="A42" s="39">
        <v>39021</v>
      </c>
      <c r="B42" s="46">
        <v>74211.284</v>
      </c>
      <c r="C42" s="34">
        <v>229.977</v>
      </c>
      <c r="D42" s="34">
        <v>2.718</v>
      </c>
      <c r="E42" s="71">
        <v>74443.97899999999</v>
      </c>
      <c r="F42" s="46">
        <v>7937.254</v>
      </c>
      <c r="G42" s="34">
        <v>11045.976</v>
      </c>
      <c r="H42" s="34">
        <v>4343.3240000000005</v>
      </c>
      <c r="I42" s="34">
        <v>0</v>
      </c>
      <c r="J42" s="34">
        <v>0</v>
      </c>
      <c r="K42" s="74">
        <v>23326.554</v>
      </c>
      <c r="L42" s="275">
        <v>3324</v>
      </c>
    </row>
    <row r="43" spans="1:12" ht="12.75">
      <c r="A43" s="37">
        <v>39051</v>
      </c>
      <c r="B43" s="46">
        <v>70709.73</v>
      </c>
      <c r="C43" s="34">
        <v>245.927</v>
      </c>
      <c r="D43" s="34">
        <v>-0.01814</v>
      </c>
      <c r="E43" s="235">
        <v>70955.63885999999</v>
      </c>
      <c r="F43" s="46">
        <v>8108.833</v>
      </c>
      <c r="G43" s="34">
        <v>10836.018</v>
      </c>
      <c r="H43" s="34">
        <v>2448.258</v>
      </c>
      <c r="I43" s="34">
        <v>0</v>
      </c>
      <c r="J43" s="34">
        <v>0</v>
      </c>
      <c r="K43" s="74">
        <v>21393.108999999997</v>
      </c>
      <c r="L43" s="275">
        <v>3324</v>
      </c>
    </row>
    <row r="44" spans="1:12" ht="13.5" thickBot="1">
      <c r="A44" s="182">
        <v>39082</v>
      </c>
      <c r="B44" s="184">
        <v>56992.328</v>
      </c>
      <c r="C44" s="185">
        <v>0</v>
      </c>
      <c r="D44" s="185">
        <v>3.768</v>
      </c>
      <c r="E44" s="72">
        <v>56996.096</v>
      </c>
      <c r="F44" s="184">
        <v>7218.784</v>
      </c>
      <c r="G44" s="185">
        <v>13003.503</v>
      </c>
      <c r="H44" s="185">
        <v>2295.792</v>
      </c>
      <c r="I44" s="185">
        <v>0</v>
      </c>
      <c r="J44" s="185">
        <v>0</v>
      </c>
      <c r="K44" s="75">
        <v>22518.079</v>
      </c>
      <c r="L44" s="276">
        <v>3324</v>
      </c>
    </row>
    <row r="45" spans="1:12" ht="12.75">
      <c r="A45" s="83"/>
      <c r="B45" s="56"/>
      <c r="C45" s="56"/>
      <c r="D45" s="56"/>
      <c r="E45" s="79"/>
      <c r="F45" s="56"/>
      <c r="G45" s="56"/>
      <c r="H45" s="56"/>
      <c r="I45" s="56"/>
      <c r="J45" s="56"/>
      <c r="K45" s="80"/>
      <c r="L45" s="81"/>
    </row>
    <row r="46" spans="1:12" ht="16.5" thickBot="1">
      <c r="A46" s="16" t="s">
        <v>56</v>
      </c>
      <c r="L46" s="167" t="s">
        <v>116</v>
      </c>
    </row>
    <row r="47" spans="1:12" ht="22.5" customHeight="1">
      <c r="A47" s="1713" t="s">
        <v>28</v>
      </c>
      <c r="B47" s="1715" t="s">
        <v>51</v>
      </c>
      <c r="C47" s="1562" t="s">
        <v>52</v>
      </c>
      <c r="D47" s="1562" t="s">
        <v>53</v>
      </c>
      <c r="E47" s="1592" t="s">
        <v>24</v>
      </c>
      <c r="F47" s="1256" t="s">
        <v>45</v>
      </c>
      <c r="G47" s="1257"/>
      <c r="H47" s="1257"/>
      <c r="I47" s="1257"/>
      <c r="J47" s="1257"/>
      <c r="K47" s="1257"/>
      <c r="L47" s="1280" t="s">
        <v>139</v>
      </c>
    </row>
    <row r="48" spans="1:12" ht="34.5" customHeight="1" thickBot="1">
      <c r="A48" s="1714"/>
      <c r="B48" s="1716"/>
      <c r="C48" s="1563" t="s">
        <v>30</v>
      </c>
      <c r="D48" s="1563" t="s">
        <v>31</v>
      </c>
      <c r="E48" s="1593" t="s">
        <v>24</v>
      </c>
      <c r="F48" s="65" t="s">
        <v>46</v>
      </c>
      <c r="G48" s="70" t="s">
        <v>47</v>
      </c>
      <c r="H48" s="70" t="s">
        <v>48</v>
      </c>
      <c r="I48" s="70" t="s">
        <v>49</v>
      </c>
      <c r="J48" s="70" t="s">
        <v>50</v>
      </c>
      <c r="K48" s="58" t="s">
        <v>24</v>
      </c>
      <c r="L48" s="1281"/>
    </row>
    <row r="49" spans="1:13" ht="15" customHeight="1">
      <c r="A49" s="187">
        <v>37986</v>
      </c>
      <c r="B49" s="322">
        <v>48576</v>
      </c>
      <c r="C49" s="205">
        <v>1667</v>
      </c>
      <c r="D49" s="205">
        <v>0</v>
      </c>
      <c r="E49" s="190">
        <v>50243</v>
      </c>
      <c r="F49" s="209">
        <v>5467</v>
      </c>
      <c r="G49" s="191">
        <v>632</v>
      </c>
      <c r="H49" s="191">
        <v>410</v>
      </c>
      <c r="I49" s="191">
        <v>506</v>
      </c>
      <c r="J49" s="191">
        <v>630</v>
      </c>
      <c r="K49" s="207">
        <v>7645</v>
      </c>
      <c r="L49" s="193">
        <v>-28977</v>
      </c>
      <c r="M49" s="559"/>
    </row>
    <row r="50" spans="1:13" ht="15" customHeight="1">
      <c r="A50" s="316">
        <v>38352</v>
      </c>
      <c r="B50" s="323">
        <v>69990</v>
      </c>
      <c r="C50" s="303">
        <v>271</v>
      </c>
      <c r="D50" s="303">
        <v>0</v>
      </c>
      <c r="E50" s="304">
        <v>70261</v>
      </c>
      <c r="F50" s="326">
        <v>4746.308</v>
      </c>
      <c r="G50" s="306">
        <v>654.145</v>
      </c>
      <c r="H50" s="306">
        <v>125.499</v>
      </c>
      <c r="I50" s="306">
        <v>77.78753999999999</v>
      </c>
      <c r="J50" s="306">
        <v>477.2</v>
      </c>
      <c r="K50" s="307">
        <v>6080.939539999999</v>
      </c>
      <c r="L50" s="308">
        <v>-3237</v>
      </c>
      <c r="M50" s="559"/>
    </row>
    <row r="51" spans="1:13" ht="13.5" thickBot="1">
      <c r="A51" s="325">
        <v>38717</v>
      </c>
      <c r="B51" s="315">
        <v>73405</v>
      </c>
      <c r="C51" s="313">
        <v>396</v>
      </c>
      <c r="D51" s="313">
        <v>0</v>
      </c>
      <c r="E51" s="314">
        <v>73801</v>
      </c>
      <c r="F51" s="315">
        <v>6076.3589999999995</v>
      </c>
      <c r="G51" s="313">
        <v>3354.758</v>
      </c>
      <c r="H51" s="313">
        <v>110.96900000000001</v>
      </c>
      <c r="I51" s="313">
        <v>302.994</v>
      </c>
      <c r="J51" s="313">
        <v>584.3919999999999</v>
      </c>
      <c r="K51" s="327">
        <v>10429.471999999998</v>
      </c>
      <c r="L51" s="324">
        <v>-17697.237</v>
      </c>
      <c r="M51" s="559"/>
    </row>
    <row r="52" spans="1:13" ht="15" customHeight="1">
      <c r="A52" s="48">
        <v>38748</v>
      </c>
      <c r="B52" s="50">
        <v>95423</v>
      </c>
      <c r="C52" s="33">
        <v>2763</v>
      </c>
      <c r="D52" s="33">
        <v>0</v>
      </c>
      <c r="E52" s="71">
        <v>98186</v>
      </c>
      <c r="F52" s="50">
        <v>29216</v>
      </c>
      <c r="G52" s="33">
        <v>741</v>
      </c>
      <c r="H52" s="33">
        <v>150</v>
      </c>
      <c r="I52" s="33">
        <v>157</v>
      </c>
      <c r="J52" s="33">
        <v>616</v>
      </c>
      <c r="K52" s="76">
        <v>30880</v>
      </c>
      <c r="L52" s="216">
        <v>1967</v>
      </c>
      <c r="M52" s="559"/>
    </row>
    <row r="53" spans="1:13" ht="15" customHeight="1">
      <c r="A53" s="48">
        <v>38776</v>
      </c>
      <c r="B53" s="46">
        <v>88306</v>
      </c>
      <c r="C53" s="34">
        <v>2526</v>
      </c>
      <c r="D53" s="34">
        <v>0</v>
      </c>
      <c r="E53" s="71">
        <v>90832</v>
      </c>
      <c r="F53" s="46">
        <v>18400</v>
      </c>
      <c r="G53" s="34">
        <v>3010</v>
      </c>
      <c r="H53" s="34">
        <v>239</v>
      </c>
      <c r="I53" s="34">
        <v>194</v>
      </c>
      <c r="J53" s="34">
        <v>672</v>
      </c>
      <c r="K53" s="77">
        <v>22515</v>
      </c>
      <c r="L53" s="217">
        <v>-8919</v>
      </c>
      <c r="M53" s="559"/>
    </row>
    <row r="54" spans="1:13" ht="15" customHeight="1">
      <c r="A54" s="48">
        <v>38807</v>
      </c>
      <c r="B54" s="46">
        <v>72916.29</v>
      </c>
      <c r="C54" s="34">
        <v>2432.73</v>
      </c>
      <c r="D54" s="34">
        <v>0</v>
      </c>
      <c r="E54" s="71">
        <v>75349.02</v>
      </c>
      <c r="F54" s="46">
        <v>7697.253</v>
      </c>
      <c r="G54" s="34">
        <v>2838.177</v>
      </c>
      <c r="H54" s="34">
        <v>260.973</v>
      </c>
      <c r="I54" s="34">
        <v>178.786</v>
      </c>
      <c r="J54" s="34">
        <v>397.033</v>
      </c>
      <c r="K54" s="77">
        <v>11372.222</v>
      </c>
      <c r="L54" s="82">
        <v>-7491.15</v>
      </c>
      <c r="M54" s="559"/>
    </row>
    <row r="55" spans="1:13" ht="15" customHeight="1">
      <c r="A55" s="48">
        <v>38837</v>
      </c>
      <c r="B55" s="46">
        <v>84667.66</v>
      </c>
      <c r="C55" s="34">
        <v>1506.72</v>
      </c>
      <c r="D55" s="34">
        <v>2.13</v>
      </c>
      <c r="E55" s="71">
        <v>86176.51</v>
      </c>
      <c r="F55" s="46">
        <v>17146.456</v>
      </c>
      <c r="G55" s="34">
        <v>320.379</v>
      </c>
      <c r="H55" s="34">
        <v>2900.567</v>
      </c>
      <c r="I55" s="34">
        <v>213.101</v>
      </c>
      <c r="J55" s="34">
        <v>466.007</v>
      </c>
      <c r="K55" s="77">
        <v>21046.51</v>
      </c>
      <c r="L55" s="217">
        <v>-602.1099999999806</v>
      </c>
      <c r="M55" s="559"/>
    </row>
    <row r="56" spans="1:13" ht="15" customHeight="1">
      <c r="A56" s="48">
        <v>38868</v>
      </c>
      <c r="B56" s="46">
        <v>73929</v>
      </c>
      <c r="C56" s="34">
        <v>1187</v>
      </c>
      <c r="D56" s="34">
        <v>16</v>
      </c>
      <c r="E56" s="71">
        <v>75132</v>
      </c>
      <c r="F56" s="46">
        <v>6583.134</v>
      </c>
      <c r="G56" s="34">
        <v>684.709</v>
      </c>
      <c r="H56" s="34">
        <v>2903.658</v>
      </c>
      <c r="I56" s="34">
        <v>270.202</v>
      </c>
      <c r="J56" s="34">
        <v>442.191</v>
      </c>
      <c r="K56" s="77">
        <v>10883.894</v>
      </c>
      <c r="L56" s="217">
        <v>-1468.237</v>
      </c>
      <c r="M56" s="559"/>
    </row>
    <row r="57" spans="1:13" ht="15" customHeight="1" thickBot="1">
      <c r="A57" s="183">
        <v>38898</v>
      </c>
      <c r="B57" s="184">
        <v>76696</v>
      </c>
      <c r="C57" s="185">
        <v>1553</v>
      </c>
      <c r="D57" s="185">
        <v>0</v>
      </c>
      <c r="E57" s="194">
        <v>78249</v>
      </c>
      <c r="F57" s="184">
        <v>6875</v>
      </c>
      <c r="G57" s="185">
        <v>1660</v>
      </c>
      <c r="H57" s="185">
        <v>2817</v>
      </c>
      <c r="I57" s="185">
        <v>328</v>
      </c>
      <c r="J57" s="185">
        <v>541</v>
      </c>
      <c r="K57" s="78">
        <v>12221</v>
      </c>
      <c r="L57" s="85">
        <v>7561</v>
      </c>
      <c r="M57" s="559"/>
    </row>
    <row r="58" spans="1:13" ht="12.75">
      <c r="A58" s="37">
        <v>38929</v>
      </c>
      <c r="B58" s="42">
        <v>78800.073</v>
      </c>
      <c r="C58" s="35">
        <v>1007.317</v>
      </c>
      <c r="D58" s="35">
        <v>0</v>
      </c>
      <c r="E58" s="71">
        <v>79807.39</v>
      </c>
      <c r="F58" s="52">
        <v>1125.258</v>
      </c>
      <c r="G58" s="35">
        <v>1213.461</v>
      </c>
      <c r="H58" s="35">
        <v>353.159</v>
      </c>
      <c r="I58" s="35">
        <v>2973.703</v>
      </c>
      <c r="J58" s="35">
        <v>577.634</v>
      </c>
      <c r="K58" s="77">
        <v>6243.215</v>
      </c>
      <c r="L58" s="275">
        <v>10728.103000000003</v>
      </c>
      <c r="M58" s="559"/>
    </row>
    <row r="59" spans="1:13" ht="12.75">
      <c r="A59" s="39">
        <v>38960</v>
      </c>
      <c r="B59" s="42">
        <v>72289.915</v>
      </c>
      <c r="C59" s="35">
        <v>1251.053</v>
      </c>
      <c r="D59" s="35">
        <v>0</v>
      </c>
      <c r="E59" s="71">
        <v>73540.968</v>
      </c>
      <c r="F59" s="52">
        <v>4618.298</v>
      </c>
      <c r="G59" s="35">
        <v>389.912</v>
      </c>
      <c r="H59" s="35">
        <v>1319.275</v>
      </c>
      <c r="I59" s="35">
        <v>2905.062</v>
      </c>
      <c r="J59" s="35">
        <v>581.844</v>
      </c>
      <c r="K59" s="77">
        <v>9814.391</v>
      </c>
      <c r="L59" s="275">
        <v>9352.602999999996</v>
      </c>
      <c r="M59" s="559"/>
    </row>
    <row r="60" spans="1:13" ht="12.75">
      <c r="A60" s="37">
        <v>38990</v>
      </c>
      <c r="B60" s="42">
        <v>73835.873</v>
      </c>
      <c r="C60" s="35">
        <v>1127.681</v>
      </c>
      <c r="D60" s="35">
        <v>0</v>
      </c>
      <c r="E60" s="71">
        <v>74963.554</v>
      </c>
      <c r="F60" s="52">
        <v>5900.803</v>
      </c>
      <c r="G60" s="35">
        <v>841.591</v>
      </c>
      <c r="H60" s="35">
        <v>1390.734</v>
      </c>
      <c r="I60" s="35">
        <v>2901.215</v>
      </c>
      <c r="J60" s="35">
        <v>592.177</v>
      </c>
      <c r="K60" s="77">
        <v>11626.52</v>
      </c>
      <c r="L60" s="275">
        <v>721.6670000000013</v>
      </c>
      <c r="M60" s="559"/>
    </row>
    <row r="61" spans="1:13" ht="12.75">
      <c r="A61" s="39">
        <v>39021</v>
      </c>
      <c r="B61" s="42">
        <v>73613.289</v>
      </c>
      <c r="C61" s="35">
        <v>1724.513</v>
      </c>
      <c r="D61" s="35">
        <v>0</v>
      </c>
      <c r="E61" s="71">
        <v>75337.80200000001</v>
      </c>
      <c r="F61" s="52">
        <v>3498.776</v>
      </c>
      <c r="G61" s="35">
        <v>854.478</v>
      </c>
      <c r="H61" s="35">
        <v>436.007</v>
      </c>
      <c r="I61" s="35">
        <v>3092.448</v>
      </c>
      <c r="J61" s="35">
        <v>612.247</v>
      </c>
      <c r="K61" s="77">
        <v>8493.955999999998</v>
      </c>
      <c r="L61" s="275">
        <v>-2430.1769999999815</v>
      </c>
      <c r="M61" s="559"/>
    </row>
    <row r="62" spans="1:13" ht="12.75">
      <c r="A62" s="37">
        <v>39051</v>
      </c>
      <c r="B62" s="42">
        <v>70917.796</v>
      </c>
      <c r="C62" s="35">
        <v>2537.289</v>
      </c>
      <c r="D62" s="35">
        <v>46.291</v>
      </c>
      <c r="E62" s="71">
        <v>73501.376</v>
      </c>
      <c r="F62" s="52">
        <v>5533.911</v>
      </c>
      <c r="G62" s="35">
        <v>289.43</v>
      </c>
      <c r="H62" s="35">
        <v>182.444</v>
      </c>
      <c r="I62" s="35">
        <v>2941.88</v>
      </c>
      <c r="J62" s="35">
        <v>678.529</v>
      </c>
      <c r="K62" s="77">
        <v>9626.194000000001</v>
      </c>
      <c r="L62" s="275">
        <v>-778.262859999988</v>
      </c>
      <c r="M62" s="559"/>
    </row>
    <row r="63" spans="1:13" ht="13.5" thickBot="1">
      <c r="A63" s="182">
        <v>39082</v>
      </c>
      <c r="B63" s="186">
        <v>72622.155</v>
      </c>
      <c r="C63" s="185">
        <v>383.564</v>
      </c>
      <c r="D63" s="185">
        <v>0</v>
      </c>
      <c r="E63" s="194">
        <v>73005.719</v>
      </c>
      <c r="F63" s="184">
        <v>3615.245</v>
      </c>
      <c r="G63" s="185">
        <v>409.118</v>
      </c>
      <c r="H63" s="185">
        <v>165.727</v>
      </c>
      <c r="I63" s="185">
        <v>2983.076</v>
      </c>
      <c r="J63" s="185">
        <v>453.43</v>
      </c>
      <c r="K63" s="78">
        <v>7626.5960000000005</v>
      </c>
      <c r="L63" s="276">
        <v>12685.623</v>
      </c>
      <c r="M63" s="559"/>
    </row>
    <row r="64" spans="1:12" ht="12.75">
      <c r="A64" s="339"/>
      <c r="B64" s="340"/>
      <c r="C64" s="340"/>
      <c r="D64" s="340"/>
      <c r="E64" s="341"/>
      <c r="F64" s="340"/>
      <c r="G64" s="340"/>
      <c r="H64" s="340"/>
      <c r="I64" s="340"/>
      <c r="J64" s="340"/>
      <c r="K64" s="342"/>
      <c r="L64" s="343"/>
    </row>
    <row r="65" spans="1:12" ht="11.25" customHeight="1">
      <c r="A65" s="1681" t="s">
        <v>302</v>
      </c>
      <c r="B65" s="1682"/>
      <c r="C65" s="1682"/>
      <c r="D65" s="1682"/>
      <c r="E65" s="1682"/>
      <c r="F65" s="1682"/>
      <c r="G65" s="1682"/>
      <c r="H65" s="1682"/>
      <c r="I65" s="1682"/>
      <c r="J65" s="1682"/>
      <c r="K65" s="1682"/>
      <c r="L65" s="1683"/>
    </row>
    <row r="66" spans="1:12" s="81" customFormat="1" ht="12.75" customHeight="1">
      <c r="A66" s="1684"/>
      <c r="B66" s="1685"/>
      <c r="C66" s="1685"/>
      <c r="D66" s="1685"/>
      <c r="E66" s="1685"/>
      <c r="F66" s="1685"/>
      <c r="G66" s="1685"/>
      <c r="H66" s="1685"/>
      <c r="I66" s="1685"/>
      <c r="J66" s="1685"/>
      <c r="K66" s="1685"/>
      <c r="L66" s="1686"/>
    </row>
    <row r="67" spans="1:12" s="81" customFormat="1" ht="12.75">
      <c r="A67" s="1684"/>
      <c r="B67" s="1685"/>
      <c r="C67" s="1685"/>
      <c r="D67" s="1685"/>
      <c r="E67" s="1685"/>
      <c r="F67" s="1685"/>
      <c r="G67" s="1685"/>
      <c r="H67" s="1685"/>
      <c r="I67" s="1685"/>
      <c r="J67" s="1685"/>
      <c r="K67" s="1685"/>
      <c r="L67" s="1686"/>
    </row>
    <row r="68" spans="1:12" s="81" customFormat="1" ht="12.75">
      <c r="A68" s="1687"/>
      <c r="B68" s="1688"/>
      <c r="C68" s="1688"/>
      <c r="D68" s="1688"/>
      <c r="E68" s="1688"/>
      <c r="F68" s="1688"/>
      <c r="G68" s="1688"/>
      <c r="H68" s="1688"/>
      <c r="I68" s="1688"/>
      <c r="J68" s="1688"/>
      <c r="K68" s="1688"/>
      <c r="L68" s="1689"/>
    </row>
    <row r="69" spans="1:12" s="81" customFormat="1" ht="12.75">
      <c r="A69" s="273"/>
      <c r="B69" s="273"/>
      <c r="C69" s="273"/>
      <c r="D69" s="273"/>
      <c r="E69" s="273"/>
      <c r="F69" s="273"/>
      <c r="G69" s="273"/>
      <c r="H69" s="273"/>
      <c r="I69" s="273"/>
      <c r="J69" s="273"/>
      <c r="K69" s="273"/>
      <c r="L69" s="277"/>
    </row>
    <row r="70" spans="1:12" s="265" customFormat="1" ht="16.5" thickBot="1">
      <c r="A70" s="16" t="s">
        <v>68</v>
      </c>
      <c r="L70" s="167" t="s">
        <v>15</v>
      </c>
    </row>
    <row r="71" spans="1:12" s="265" customFormat="1" ht="13.5" customHeight="1">
      <c r="A71" s="1427" t="s">
        <v>13</v>
      </c>
      <c r="B71" s="1428"/>
      <c r="C71" s="1429"/>
      <c r="D71" s="1386" t="s">
        <v>27</v>
      </c>
      <c r="E71" s="1386"/>
      <c r="F71" s="1387"/>
      <c r="G71" s="1386" t="s">
        <v>137</v>
      </c>
      <c r="H71" s="1386"/>
      <c r="I71" s="1387"/>
      <c r="J71" s="1386" t="s">
        <v>248</v>
      </c>
      <c r="K71" s="1386"/>
      <c r="L71" s="1387"/>
    </row>
    <row r="72" spans="1:12" s="265" customFormat="1" ht="28.5" customHeight="1" thickBot="1">
      <c r="A72" s="1430"/>
      <c r="B72" s="1431"/>
      <c r="C72" s="1266"/>
      <c r="D72" s="87" t="s">
        <v>65</v>
      </c>
      <c r="E72" s="87" t="s">
        <v>66</v>
      </c>
      <c r="F72" s="88" t="s">
        <v>67</v>
      </c>
      <c r="G72" s="87" t="s">
        <v>65</v>
      </c>
      <c r="H72" s="87" t="s">
        <v>66</v>
      </c>
      <c r="I72" s="88" t="s">
        <v>67</v>
      </c>
      <c r="J72" s="87" t="s">
        <v>65</v>
      </c>
      <c r="K72" s="87" t="s">
        <v>66</v>
      </c>
      <c r="L72" s="88" t="s">
        <v>67</v>
      </c>
    </row>
    <row r="73" spans="1:12" s="265" customFormat="1" ht="20.25" customHeight="1">
      <c r="A73" s="1450" t="s">
        <v>62</v>
      </c>
      <c r="B73" s="1336"/>
      <c r="C73" s="1440"/>
      <c r="D73" s="196">
        <v>121.23</v>
      </c>
      <c r="E73" s="130">
        <v>53467097</v>
      </c>
      <c r="F73" s="89">
        <f aca="true" t="shared" si="5" ref="F73:F83">+IF(D73&gt;0,E73/D73/12,"")</f>
        <v>36753.20808930683</v>
      </c>
      <c r="G73" s="196">
        <v>119.2</v>
      </c>
      <c r="H73" s="130">
        <v>54706758</v>
      </c>
      <c r="I73" s="89">
        <f aca="true" t="shared" si="6" ref="I73:I83">+IF(G73&gt;0,H73/G73/12,"")</f>
        <v>38245.77600671141</v>
      </c>
      <c r="J73" s="833">
        <v>121.39</v>
      </c>
      <c r="K73" s="130">
        <v>60078082</v>
      </c>
      <c r="L73" s="89">
        <f aca="true" t="shared" si="7" ref="L73:L82">+IF(J73&gt;0,K73/J73/12,"")</f>
        <v>41243.1570420408</v>
      </c>
    </row>
    <row r="74" spans="1:12" s="265" customFormat="1" ht="20.25" customHeight="1">
      <c r="A74" s="1451" t="s">
        <v>63</v>
      </c>
      <c r="B74" s="1333"/>
      <c r="C74" s="1264"/>
      <c r="D74" s="197">
        <v>4.39</v>
      </c>
      <c r="E74" s="35">
        <v>1742169</v>
      </c>
      <c r="F74" s="51">
        <f t="shared" si="5"/>
        <v>33070.78587699317</v>
      </c>
      <c r="G74" s="197">
        <v>3.62</v>
      </c>
      <c r="H74" s="35">
        <v>1674494</v>
      </c>
      <c r="I74" s="51">
        <f t="shared" si="6"/>
        <v>38547.28360957643</v>
      </c>
      <c r="J74" s="834">
        <v>3.83</v>
      </c>
      <c r="K74" s="35">
        <v>1800643</v>
      </c>
      <c r="L74" s="51">
        <f t="shared" si="7"/>
        <v>39178.48128807659</v>
      </c>
    </row>
    <row r="75" spans="1:12" s="265" customFormat="1" ht="20.25" customHeight="1">
      <c r="A75" s="1451" t="s">
        <v>93</v>
      </c>
      <c r="B75" s="1333"/>
      <c r="C75" s="1264"/>
      <c r="D75" s="197">
        <v>430.78</v>
      </c>
      <c r="E75" s="35">
        <v>84231304</v>
      </c>
      <c r="F75" s="51">
        <f t="shared" si="5"/>
        <v>16294.338951050035</v>
      </c>
      <c r="G75" s="197">
        <v>430.03</v>
      </c>
      <c r="H75" s="35">
        <v>86442324</v>
      </c>
      <c r="I75" s="51">
        <f t="shared" si="6"/>
        <v>16751.219682347746</v>
      </c>
      <c r="J75" s="834">
        <v>427.47</v>
      </c>
      <c r="K75" s="35">
        <v>100126795</v>
      </c>
      <c r="L75" s="51">
        <f t="shared" si="7"/>
        <v>19519.263535062888</v>
      </c>
    </row>
    <row r="76" spans="1:12" s="265" customFormat="1" ht="20.25" customHeight="1">
      <c r="A76" s="1451" t="s">
        <v>92</v>
      </c>
      <c r="B76" s="1333"/>
      <c r="C76" s="1264"/>
      <c r="D76" s="197">
        <v>50.99</v>
      </c>
      <c r="E76" s="35">
        <v>10719487</v>
      </c>
      <c r="F76" s="51">
        <f t="shared" si="5"/>
        <v>17518.936719618225</v>
      </c>
      <c r="G76" s="197">
        <v>46.83</v>
      </c>
      <c r="H76" s="35">
        <v>10811826</v>
      </c>
      <c r="I76" s="51">
        <f t="shared" si="6"/>
        <v>19239.493914157592</v>
      </c>
      <c r="J76" s="834">
        <v>45.57</v>
      </c>
      <c r="K76" s="35">
        <v>12263995</v>
      </c>
      <c r="L76" s="51">
        <f t="shared" si="7"/>
        <v>22427.026186818814</v>
      </c>
    </row>
    <row r="77" spans="1:12" s="265" customFormat="1" ht="20.25" customHeight="1">
      <c r="A77" s="1451" t="s">
        <v>94</v>
      </c>
      <c r="B77" s="1333"/>
      <c r="C77" s="1264"/>
      <c r="D77" s="197">
        <v>13.29</v>
      </c>
      <c r="E77" s="35">
        <v>2396532</v>
      </c>
      <c r="F77" s="51">
        <f t="shared" si="5"/>
        <v>15027.163280662155</v>
      </c>
      <c r="G77" s="197">
        <v>13.78</v>
      </c>
      <c r="H77" s="35">
        <v>2739699</v>
      </c>
      <c r="I77" s="51">
        <f t="shared" si="6"/>
        <v>16568.087808417997</v>
      </c>
      <c r="J77" s="834">
        <v>15.44</v>
      </c>
      <c r="K77" s="35">
        <v>3825395</v>
      </c>
      <c r="L77" s="51">
        <f t="shared" si="7"/>
        <v>20646.56196027634</v>
      </c>
    </row>
    <row r="78" spans="1:12" s="265" customFormat="1" ht="20.25" customHeight="1">
      <c r="A78" s="1451" t="s">
        <v>95</v>
      </c>
      <c r="B78" s="1333"/>
      <c r="C78" s="1264"/>
      <c r="D78" s="197">
        <v>110.97</v>
      </c>
      <c r="E78" s="35">
        <v>13547918</v>
      </c>
      <c r="F78" s="51">
        <f t="shared" si="5"/>
        <v>10173.859301312668</v>
      </c>
      <c r="G78" s="197">
        <v>121.06</v>
      </c>
      <c r="H78" s="35">
        <v>15297000</v>
      </c>
      <c r="I78" s="51">
        <f t="shared" si="6"/>
        <v>10529.90252767223</v>
      </c>
      <c r="J78" s="834">
        <v>114.59</v>
      </c>
      <c r="K78" s="35">
        <v>16214604</v>
      </c>
      <c r="L78" s="51">
        <f t="shared" si="7"/>
        <v>11791.753207086133</v>
      </c>
    </row>
    <row r="79" spans="1:12" s="265" customFormat="1" ht="20.25" customHeight="1">
      <c r="A79" s="1451" t="s">
        <v>96</v>
      </c>
      <c r="B79" s="1333"/>
      <c r="C79" s="1264"/>
      <c r="D79" s="197">
        <v>15.2</v>
      </c>
      <c r="E79" s="35">
        <v>2940578</v>
      </c>
      <c r="F79" s="51">
        <f t="shared" si="5"/>
        <v>16121.589912280702</v>
      </c>
      <c r="G79" s="197">
        <v>11.82</v>
      </c>
      <c r="H79" s="35">
        <v>2353301</v>
      </c>
      <c r="I79" s="51">
        <f t="shared" si="6"/>
        <v>16591.23660462493</v>
      </c>
      <c r="J79" s="834">
        <v>11.32</v>
      </c>
      <c r="K79" s="35">
        <v>2499964</v>
      </c>
      <c r="L79" s="51">
        <f t="shared" si="7"/>
        <v>18403.73969375736</v>
      </c>
    </row>
    <row r="80" spans="1:12" s="265" customFormat="1" ht="20.25" customHeight="1">
      <c r="A80" s="1451" t="s">
        <v>97</v>
      </c>
      <c r="B80" s="1333"/>
      <c r="C80" s="1264"/>
      <c r="D80" s="197">
        <v>0.08</v>
      </c>
      <c r="E80" s="35">
        <v>23151</v>
      </c>
      <c r="F80" s="51">
        <f t="shared" si="5"/>
        <v>24115.625</v>
      </c>
      <c r="G80" s="197">
        <v>0.12</v>
      </c>
      <c r="H80" s="35">
        <v>27231</v>
      </c>
      <c r="I80" s="51">
        <f t="shared" si="6"/>
        <v>18910.416666666668</v>
      </c>
      <c r="J80" s="834">
        <v>0</v>
      </c>
      <c r="K80" s="35">
        <v>0</v>
      </c>
      <c r="L80" s="51">
        <f t="shared" si="7"/>
      </c>
    </row>
    <row r="81" spans="1:12" s="265" customFormat="1" ht="20.25" customHeight="1">
      <c r="A81" s="1451" t="s">
        <v>64</v>
      </c>
      <c r="B81" s="1333"/>
      <c r="C81" s="1264"/>
      <c r="D81" s="198">
        <v>60.36</v>
      </c>
      <c r="E81" s="34">
        <v>12421848</v>
      </c>
      <c r="F81" s="51">
        <f t="shared" si="5"/>
        <v>17149.668654738238</v>
      </c>
      <c r="G81" s="198">
        <v>58.04</v>
      </c>
      <c r="H81" s="34">
        <v>13717580</v>
      </c>
      <c r="I81" s="51">
        <f t="shared" si="6"/>
        <v>19695.583505628303</v>
      </c>
      <c r="J81" s="835">
        <v>60.86</v>
      </c>
      <c r="K81" s="34">
        <v>14112400</v>
      </c>
      <c r="L81" s="51">
        <f t="shared" si="7"/>
        <v>19323.584182276263</v>
      </c>
    </row>
    <row r="82" spans="1:12" s="265" customFormat="1" ht="21.75" customHeight="1" thickBot="1">
      <c r="A82" s="1481" t="s">
        <v>98</v>
      </c>
      <c r="B82" s="1482"/>
      <c r="C82" s="1483"/>
      <c r="D82" s="196">
        <v>70.07</v>
      </c>
      <c r="E82" s="130">
        <v>8966609</v>
      </c>
      <c r="F82" s="89">
        <f t="shared" si="5"/>
        <v>10663.870653156368</v>
      </c>
      <c r="G82" s="196">
        <v>68.38</v>
      </c>
      <c r="H82" s="130">
        <v>9438239</v>
      </c>
      <c r="I82" s="51">
        <f t="shared" si="6"/>
        <v>11502.192405186703</v>
      </c>
      <c r="J82" s="833">
        <v>80.42</v>
      </c>
      <c r="K82" s="130">
        <v>10897394</v>
      </c>
      <c r="L82" s="51">
        <f t="shared" si="7"/>
        <v>11292.168200281854</v>
      </c>
    </row>
    <row r="83" spans="1:12" s="270" customFormat="1" ht="22.5" customHeight="1" thickBot="1">
      <c r="A83" s="1484" t="s">
        <v>24</v>
      </c>
      <c r="B83" s="1485"/>
      <c r="C83" s="1486"/>
      <c r="D83" s="199">
        <f>SUM(D73:D82)</f>
        <v>877.3600000000001</v>
      </c>
      <c r="E83" s="36">
        <f>SUM(E73:E82)</f>
        <v>190456693</v>
      </c>
      <c r="F83" s="86">
        <f t="shared" si="5"/>
        <v>18089.94151013647</v>
      </c>
      <c r="G83" s="199">
        <f>SUM(G73:G82)</f>
        <v>872.88</v>
      </c>
      <c r="H83" s="36">
        <f>SUM(H73:H82)</f>
        <v>197208452</v>
      </c>
      <c r="I83" s="86">
        <f t="shared" si="6"/>
        <v>18827.37336938258</v>
      </c>
      <c r="J83" s="199">
        <f>SUM(J73:J82)</f>
        <v>880.8900000000002</v>
      </c>
      <c r="K83" s="36">
        <f>SUM(K73:K82)</f>
        <v>221819272</v>
      </c>
      <c r="L83" s="86">
        <f>+IF(J83&gt;0,K83/J83/12,"")</f>
        <v>20984.390029780483</v>
      </c>
    </row>
    <row r="84" s="265" customFormat="1" ht="4.5" customHeight="1"/>
    <row r="85" spans="1:12" s="265" customFormat="1" ht="12" customHeight="1">
      <c r="A85" s="1523" t="s">
        <v>303</v>
      </c>
      <c r="B85" s="1524"/>
      <c r="C85" s="1524"/>
      <c r="D85" s="1524"/>
      <c r="E85" s="1524"/>
      <c r="F85" s="1524"/>
      <c r="G85" s="1524"/>
      <c r="H85" s="1524"/>
      <c r="I85" s="1524"/>
      <c r="J85" s="1524"/>
      <c r="K85" s="1524"/>
      <c r="L85" s="1573"/>
    </row>
    <row r="86" spans="1:12" s="278" customFormat="1" ht="15.75" customHeight="1">
      <c r="A86" s="1526"/>
      <c r="B86" s="1527"/>
      <c r="C86" s="1527"/>
      <c r="D86" s="1527"/>
      <c r="E86" s="1527"/>
      <c r="F86" s="1527"/>
      <c r="G86" s="1527"/>
      <c r="H86" s="1527"/>
      <c r="I86" s="1527"/>
      <c r="J86" s="1527"/>
      <c r="K86" s="1527"/>
      <c r="L86" s="1574"/>
    </row>
    <row r="87" spans="1:12" s="278" customFormat="1" ht="15.75" customHeight="1">
      <c r="A87" s="1526"/>
      <c r="B87" s="1527"/>
      <c r="C87" s="1527"/>
      <c r="D87" s="1527"/>
      <c r="E87" s="1527"/>
      <c r="F87" s="1527"/>
      <c r="G87" s="1527"/>
      <c r="H87" s="1527"/>
      <c r="I87" s="1527"/>
      <c r="J87" s="1527"/>
      <c r="K87" s="1527"/>
      <c r="L87" s="1574"/>
    </row>
    <row r="88" spans="1:12" s="278" customFormat="1" ht="19.5" customHeight="1">
      <c r="A88" s="1529"/>
      <c r="B88" s="1530"/>
      <c r="C88" s="1530"/>
      <c r="D88" s="1530"/>
      <c r="E88" s="1530"/>
      <c r="F88" s="1530"/>
      <c r="G88" s="1530"/>
      <c r="H88" s="1530"/>
      <c r="I88" s="1530"/>
      <c r="J88" s="1530"/>
      <c r="K88" s="1530"/>
      <c r="L88" s="1575"/>
    </row>
    <row r="89" s="278" customFormat="1" ht="8.25" customHeight="1"/>
    <row r="90" spans="1:9" s="265" customFormat="1" ht="16.5" thickBot="1">
      <c r="A90" s="16" t="s">
        <v>91</v>
      </c>
      <c r="B90" s="90"/>
      <c r="C90" s="90"/>
      <c r="D90" s="90"/>
      <c r="E90" s="90"/>
      <c r="F90" s="90"/>
      <c r="G90" s="90"/>
      <c r="H90" s="90"/>
      <c r="I90" s="90"/>
    </row>
    <row r="91" spans="1:12" s="265" customFormat="1" ht="13.5" thickBot="1">
      <c r="A91" s="1622" t="s">
        <v>69</v>
      </c>
      <c r="B91" s="1707"/>
      <c r="C91" s="1580" t="s">
        <v>70</v>
      </c>
      <c r="D91" s="1710"/>
      <c r="E91" s="1710"/>
      <c r="F91" s="1710"/>
      <c r="G91" s="1711"/>
      <c r="H91" s="1580" t="s">
        <v>71</v>
      </c>
      <c r="I91" s="1710"/>
      <c r="J91" s="1710"/>
      <c r="K91" s="1710"/>
      <c r="L91" s="1711"/>
    </row>
    <row r="92" spans="1:12" s="265" customFormat="1" ht="13.5" thickBot="1">
      <c r="A92" s="1708"/>
      <c r="B92" s="1709"/>
      <c r="C92" s="155">
        <v>2003</v>
      </c>
      <c r="D92" s="10">
        <v>2004</v>
      </c>
      <c r="E92" s="10">
        <v>2005</v>
      </c>
      <c r="F92" s="10">
        <v>2006</v>
      </c>
      <c r="G92" s="109" t="s">
        <v>72</v>
      </c>
      <c r="H92" s="91">
        <v>2003</v>
      </c>
      <c r="I92" s="10">
        <v>2004</v>
      </c>
      <c r="J92" s="158">
        <v>2005</v>
      </c>
      <c r="K92" s="158">
        <v>2006</v>
      </c>
      <c r="L92" s="156" t="s">
        <v>72</v>
      </c>
    </row>
    <row r="93" spans="1:12" s="265" customFormat="1" ht="12.75">
      <c r="A93" s="1705" t="s">
        <v>73</v>
      </c>
      <c r="B93" s="1706"/>
      <c r="C93" s="224">
        <v>100</v>
      </c>
      <c r="D93" s="95">
        <v>100</v>
      </c>
      <c r="E93" s="95">
        <v>100</v>
      </c>
      <c r="F93" s="95">
        <v>100</v>
      </c>
      <c r="G93" s="223">
        <f>+F93-E93</f>
        <v>0</v>
      </c>
      <c r="H93" s="123">
        <v>84.3</v>
      </c>
      <c r="I93" s="124">
        <v>79.9</v>
      </c>
      <c r="J93" s="279">
        <v>76.1</v>
      </c>
      <c r="K93" s="279">
        <v>78.08</v>
      </c>
      <c r="L93" s="110">
        <f>+K93-J93</f>
        <v>1.980000000000004</v>
      </c>
    </row>
    <row r="94" spans="1:12" s="265" customFormat="1" ht="12.75">
      <c r="A94" s="1564" t="s">
        <v>74</v>
      </c>
      <c r="B94" s="1611"/>
      <c r="C94" s="225">
        <v>28</v>
      </c>
      <c r="D94" s="100">
        <v>28</v>
      </c>
      <c r="E94" s="100">
        <v>28</v>
      </c>
      <c r="F94" s="100">
        <v>28</v>
      </c>
      <c r="G94" s="223">
        <f>+F94-E94</f>
        <v>0</v>
      </c>
      <c r="H94" s="125">
        <v>69.8</v>
      </c>
      <c r="I94" s="126">
        <v>64.31</v>
      </c>
      <c r="J94" s="280">
        <v>62.671232876712324</v>
      </c>
      <c r="K94" s="280">
        <v>64.2</v>
      </c>
      <c r="L94" s="110">
        <f>+K94-J94</f>
        <v>1.528767123287679</v>
      </c>
    </row>
    <row r="95" spans="1:12" s="265" customFormat="1" ht="12.75">
      <c r="A95" s="1564" t="s">
        <v>75</v>
      </c>
      <c r="B95" s="1611"/>
      <c r="C95" s="225">
        <v>24</v>
      </c>
      <c r="D95" s="100">
        <v>24</v>
      </c>
      <c r="E95" s="100">
        <v>24</v>
      </c>
      <c r="F95" s="100">
        <v>24</v>
      </c>
      <c r="G95" s="223">
        <f aca="true" t="shared" si="8" ref="G95:G110">+F95-E95</f>
        <v>0</v>
      </c>
      <c r="H95" s="125">
        <v>74.8</v>
      </c>
      <c r="I95" s="126">
        <v>77.96</v>
      </c>
      <c r="J95" s="280">
        <v>75.94805791772006</v>
      </c>
      <c r="K95" s="280">
        <v>79.63</v>
      </c>
      <c r="L95" s="110">
        <f aca="true" t="shared" si="9" ref="L95:L110">+K95-J95</f>
        <v>3.6819420822799316</v>
      </c>
    </row>
    <row r="96" spans="1:12" s="265" customFormat="1" ht="12.75">
      <c r="A96" s="1564" t="s">
        <v>76</v>
      </c>
      <c r="B96" s="1611"/>
      <c r="C96" s="225">
        <v>30</v>
      </c>
      <c r="D96" s="100">
        <v>30</v>
      </c>
      <c r="E96" s="100">
        <v>30</v>
      </c>
      <c r="F96" s="100">
        <v>30</v>
      </c>
      <c r="G96" s="223">
        <f t="shared" si="8"/>
        <v>0</v>
      </c>
      <c r="H96" s="125">
        <v>78.9</v>
      </c>
      <c r="I96" s="126">
        <v>78.65</v>
      </c>
      <c r="J96" s="280">
        <v>78.9295516925892</v>
      </c>
      <c r="K96" s="280">
        <v>76.92</v>
      </c>
      <c r="L96" s="110">
        <f t="shared" si="9"/>
        <v>-2.0095516925891985</v>
      </c>
    </row>
    <row r="97" spans="1:12" s="265" customFormat="1" ht="12.75">
      <c r="A97" s="1564" t="s">
        <v>77</v>
      </c>
      <c r="B97" s="1611"/>
      <c r="C97" s="225">
        <v>60</v>
      </c>
      <c r="D97" s="100">
        <v>50</v>
      </c>
      <c r="E97" s="100">
        <v>0</v>
      </c>
      <c r="F97" s="100"/>
      <c r="G97" s="223">
        <f t="shared" si="8"/>
        <v>0</v>
      </c>
      <c r="H97" s="125">
        <v>76.9</v>
      </c>
      <c r="I97" s="126">
        <v>91.01</v>
      </c>
      <c r="J97" s="280"/>
      <c r="K97" s="280"/>
      <c r="L97" s="110">
        <f t="shared" si="9"/>
        <v>0</v>
      </c>
    </row>
    <row r="98" spans="1:12" s="265" customFormat="1" ht="12.75">
      <c r="A98" s="1564" t="s">
        <v>78</v>
      </c>
      <c r="B98" s="1611"/>
      <c r="C98" s="225">
        <v>52</v>
      </c>
      <c r="D98" s="100">
        <v>52</v>
      </c>
      <c r="E98" s="100">
        <v>52</v>
      </c>
      <c r="F98" s="100">
        <v>52</v>
      </c>
      <c r="G98" s="223">
        <f t="shared" si="8"/>
        <v>0</v>
      </c>
      <c r="H98" s="125">
        <v>63.6</v>
      </c>
      <c r="I98" s="126">
        <v>59.12</v>
      </c>
      <c r="J98" s="280">
        <v>65.52988047808765</v>
      </c>
      <c r="K98" s="280">
        <v>68.83</v>
      </c>
      <c r="L98" s="110">
        <f t="shared" si="9"/>
        <v>3.3001195219123503</v>
      </c>
    </row>
    <row r="99" spans="1:12" s="265" customFormat="1" ht="12.75">
      <c r="A99" s="1564" t="s">
        <v>79</v>
      </c>
      <c r="B99" s="1611"/>
      <c r="C99" s="225">
        <v>84</v>
      </c>
      <c r="D99" s="100">
        <v>63</v>
      </c>
      <c r="E99" s="100">
        <v>56</v>
      </c>
      <c r="F99" s="100">
        <v>56</v>
      </c>
      <c r="G99" s="223">
        <f t="shared" si="8"/>
        <v>0</v>
      </c>
      <c r="H99" s="125">
        <v>49.9</v>
      </c>
      <c r="I99" s="126">
        <v>66.42</v>
      </c>
      <c r="J99" s="280">
        <v>75.58204258540458</v>
      </c>
      <c r="K99" s="280">
        <v>72.78</v>
      </c>
      <c r="L99" s="110">
        <f t="shared" si="9"/>
        <v>-2.8020425854045783</v>
      </c>
    </row>
    <row r="100" spans="1:12" s="265" customFormat="1" ht="12.75">
      <c r="A100" s="1564" t="s">
        <v>80</v>
      </c>
      <c r="B100" s="1611"/>
      <c r="C100" s="225">
        <v>102</v>
      </c>
      <c r="D100" s="100">
        <v>102</v>
      </c>
      <c r="E100" s="100">
        <v>102</v>
      </c>
      <c r="F100" s="100">
        <v>102</v>
      </c>
      <c r="G100" s="223">
        <f t="shared" si="8"/>
        <v>0</v>
      </c>
      <c r="H100" s="125">
        <v>78.8</v>
      </c>
      <c r="I100" s="126">
        <v>76.67</v>
      </c>
      <c r="J100" s="280">
        <v>77.57801019967154</v>
      </c>
      <c r="K100" s="280">
        <v>76.39</v>
      </c>
      <c r="L100" s="110">
        <f t="shared" si="9"/>
        <v>-1.1880101996715382</v>
      </c>
    </row>
    <row r="101" spans="1:12" s="265" customFormat="1" ht="12.75">
      <c r="A101" s="1564" t="s">
        <v>81</v>
      </c>
      <c r="B101" s="1611"/>
      <c r="C101" s="225">
        <v>5</v>
      </c>
      <c r="D101" s="100">
        <v>5</v>
      </c>
      <c r="E101" s="100">
        <v>5</v>
      </c>
      <c r="F101" s="100">
        <v>5</v>
      </c>
      <c r="G101" s="223">
        <f t="shared" si="8"/>
        <v>0</v>
      </c>
      <c r="H101" s="125">
        <v>65.5</v>
      </c>
      <c r="I101" s="126">
        <v>56.66</v>
      </c>
      <c r="J101" s="280">
        <v>77.9306549257017</v>
      </c>
      <c r="K101" s="280">
        <v>73.46</v>
      </c>
      <c r="L101" s="110">
        <f t="shared" si="9"/>
        <v>-4.470654925701709</v>
      </c>
    </row>
    <row r="102" spans="1:12" s="265" customFormat="1" ht="12.75">
      <c r="A102" s="1564" t="s">
        <v>82</v>
      </c>
      <c r="B102" s="1611"/>
      <c r="C102" s="225">
        <v>42</v>
      </c>
      <c r="D102" s="100">
        <v>42</v>
      </c>
      <c r="E102" s="100">
        <v>42</v>
      </c>
      <c r="F102" s="100">
        <v>42</v>
      </c>
      <c r="G102" s="223">
        <f t="shared" si="8"/>
        <v>0</v>
      </c>
      <c r="H102" s="125">
        <v>89.5</v>
      </c>
      <c r="I102" s="126">
        <v>91.64</v>
      </c>
      <c r="J102" s="280">
        <v>93.39074114962833</v>
      </c>
      <c r="K102" s="280">
        <v>92.62</v>
      </c>
      <c r="L102" s="110">
        <f t="shared" si="9"/>
        <v>-0.7707411496283214</v>
      </c>
    </row>
    <row r="103" spans="1:12" s="265" customFormat="1" ht="12.75">
      <c r="A103" s="1564" t="s">
        <v>83</v>
      </c>
      <c r="B103" s="1611"/>
      <c r="C103" s="225">
        <v>32</v>
      </c>
      <c r="D103" s="100">
        <v>32</v>
      </c>
      <c r="E103" s="100">
        <v>24</v>
      </c>
      <c r="F103" s="100">
        <v>24</v>
      </c>
      <c r="G103" s="223">
        <f t="shared" si="8"/>
        <v>0</v>
      </c>
      <c r="H103" s="125">
        <v>75.1</v>
      </c>
      <c r="I103" s="126">
        <v>72.95</v>
      </c>
      <c r="J103" s="280">
        <v>80.63251523636963</v>
      </c>
      <c r="K103" s="280">
        <v>79.56</v>
      </c>
      <c r="L103" s="110">
        <f t="shared" si="9"/>
        <v>-1.0725152363696253</v>
      </c>
    </row>
    <row r="104" spans="1:12" s="265" customFormat="1" ht="12.75">
      <c r="A104" s="1564" t="s">
        <v>84</v>
      </c>
      <c r="B104" s="1611"/>
      <c r="C104" s="225">
        <v>15</v>
      </c>
      <c r="D104" s="100">
        <v>15</v>
      </c>
      <c r="E104" s="100">
        <v>15</v>
      </c>
      <c r="F104" s="100">
        <v>15</v>
      </c>
      <c r="G104" s="223">
        <f t="shared" si="8"/>
        <v>0</v>
      </c>
      <c r="H104" s="125">
        <v>80.5</v>
      </c>
      <c r="I104" s="126">
        <v>78.87</v>
      </c>
      <c r="J104" s="280">
        <v>95.69090532421795</v>
      </c>
      <c r="K104" s="280">
        <v>76.83</v>
      </c>
      <c r="L104" s="110">
        <f t="shared" si="9"/>
        <v>-18.860905324217953</v>
      </c>
    </row>
    <row r="105" spans="1:12" s="265" customFormat="1" ht="12.75">
      <c r="A105" s="1564" t="s">
        <v>85</v>
      </c>
      <c r="B105" s="1611"/>
      <c r="C105" s="225">
        <v>18</v>
      </c>
      <c r="D105" s="100">
        <v>18</v>
      </c>
      <c r="E105" s="100">
        <v>18</v>
      </c>
      <c r="F105" s="100">
        <v>18</v>
      </c>
      <c r="G105" s="223">
        <f t="shared" si="8"/>
        <v>0</v>
      </c>
      <c r="H105" s="125">
        <v>69</v>
      </c>
      <c r="I105" s="126">
        <v>74.49</v>
      </c>
      <c r="J105" s="280">
        <v>74.84974572353214</v>
      </c>
      <c r="K105" s="280">
        <v>80.82</v>
      </c>
      <c r="L105" s="110">
        <f t="shared" si="9"/>
        <v>5.9702542764678554</v>
      </c>
    </row>
    <row r="106" spans="1:12" s="265" customFormat="1" ht="12.75">
      <c r="A106" s="1564" t="s">
        <v>86</v>
      </c>
      <c r="B106" s="1611"/>
      <c r="C106" s="225">
        <v>20</v>
      </c>
      <c r="D106" s="100">
        <v>20</v>
      </c>
      <c r="E106" s="100">
        <v>24</v>
      </c>
      <c r="F106" s="100">
        <v>24</v>
      </c>
      <c r="G106" s="223">
        <f t="shared" si="8"/>
        <v>0</v>
      </c>
      <c r="H106" s="125">
        <v>85.2</v>
      </c>
      <c r="I106" s="126">
        <v>89.73</v>
      </c>
      <c r="J106" s="280">
        <v>86.99245921235011</v>
      </c>
      <c r="K106" s="280">
        <v>80.8</v>
      </c>
      <c r="L106" s="110">
        <f t="shared" si="9"/>
        <v>-6.192459212350116</v>
      </c>
    </row>
    <row r="107" spans="1:12" s="265" customFormat="1" ht="12.75">
      <c r="A107" s="1564" t="s">
        <v>87</v>
      </c>
      <c r="B107" s="1611"/>
      <c r="C107" s="225"/>
      <c r="D107" s="100"/>
      <c r="E107" s="100"/>
      <c r="F107" s="100"/>
      <c r="G107" s="223">
        <f t="shared" si="8"/>
        <v>0</v>
      </c>
      <c r="H107" s="125"/>
      <c r="I107" s="126"/>
      <c r="J107" s="280">
        <v>0</v>
      </c>
      <c r="K107" s="280"/>
      <c r="L107" s="110">
        <f t="shared" si="9"/>
        <v>0</v>
      </c>
    </row>
    <row r="108" spans="1:12" s="265" customFormat="1" ht="12.75">
      <c r="A108" s="1564" t="s">
        <v>88</v>
      </c>
      <c r="B108" s="1611"/>
      <c r="C108" s="225">
        <v>15</v>
      </c>
      <c r="D108" s="100">
        <v>21</v>
      </c>
      <c r="E108" s="100">
        <v>23</v>
      </c>
      <c r="F108" s="100">
        <v>23</v>
      </c>
      <c r="G108" s="223">
        <f t="shared" si="8"/>
        <v>0</v>
      </c>
      <c r="H108" s="125">
        <v>87.9</v>
      </c>
      <c r="I108" s="126">
        <v>80.95</v>
      </c>
      <c r="J108" s="280">
        <v>87.11930829017429</v>
      </c>
      <c r="K108" s="280">
        <v>87.06</v>
      </c>
      <c r="L108" s="110">
        <f t="shared" si="9"/>
        <v>-0.05930829017428607</v>
      </c>
    </row>
    <row r="109" spans="1:12" s="265" customFormat="1" ht="12.75">
      <c r="A109" s="1694" t="s">
        <v>132</v>
      </c>
      <c r="B109" s="1611"/>
      <c r="C109" s="225">
        <v>20</v>
      </c>
      <c r="D109" s="100">
        <v>41</v>
      </c>
      <c r="E109" s="100">
        <v>41</v>
      </c>
      <c r="F109" s="100">
        <v>55</v>
      </c>
      <c r="G109" s="223">
        <f t="shared" si="8"/>
        <v>14</v>
      </c>
      <c r="H109" s="125">
        <v>94.1</v>
      </c>
      <c r="I109" s="126">
        <v>99.25</v>
      </c>
      <c r="J109" s="280">
        <v>102.9496547563183</v>
      </c>
      <c r="K109" s="280">
        <v>94.73</v>
      </c>
      <c r="L109" s="110">
        <f t="shared" si="9"/>
        <v>-8.219654756318292</v>
      </c>
    </row>
    <row r="110" spans="1:12" s="265" customFormat="1" ht="13.5" thickBot="1">
      <c r="A110" s="1565" t="s">
        <v>90</v>
      </c>
      <c r="B110" s="1695"/>
      <c r="C110" s="557"/>
      <c r="D110" s="104"/>
      <c r="E110" s="104"/>
      <c r="F110" s="104"/>
      <c r="G110" s="223">
        <f t="shared" si="8"/>
        <v>0</v>
      </c>
      <c r="H110" s="127"/>
      <c r="I110" s="128"/>
      <c r="J110" s="281"/>
      <c r="K110" s="281"/>
      <c r="L110" s="110">
        <f t="shared" si="9"/>
        <v>0</v>
      </c>
    </row>
    <row r="111" spans="1:12" s="265" customFormat="1" ht="13.5" thickBot="1">
      <c r="A111" s="1696" t="s">
        <v>24</v>
      </c>
      <c r="B111" s="1697"/>
      <c r="C111" s="356">
        <f>SUM(C93:C110)</f>
        <v>647</v>
      </c>
      <c r="D111" s="357">
        <f>SUM(D93:D110)</f>
        <v>643</v>
      </c>
      <c r="E111" s="358">
        <f>SUM(E93:E110)</f>
        <v>584</v>
      </c>
      <c r="F111" s="358">
        <f>SUM(F93:F110)</f>
        <v>598</v>
      </c>
      <c r="G111" s="359">
        <f>SUM(G93:G110)</f>
        <v>14</v>
      </c>
      <c r="H111" s="129">
        <v>75</v>
      </c>
      <c r="I111" s="208">
        <v>77.82</v>
      </c>
      <c r="J111" s="222">
        <v>79.34088666319172</v>
      </c>
      <c r="K111" s="222">
        <v>78.74</v>
      </c>
      <c r="L111" s="113">
        <f>+K111-J111</f>
        <v>-0.60088666319173</v>
      </c>
    </row>
    <row r="112" spans="1:7" s="265" customFormat="1" ht="19.5" customHeight="1" thickBot="1">
      <c r="A112" s="1703" t="s">
        <v>147</v>
      </c>
      <c r="B112" s="1704"/>
      <c r="C112" s="1700" t="s">
        <v>148</v>
      </c>
      <c r="D112" s="1701"/>
      <c r="E112" s="1701"/>
      <c r="F112" s="1701"/>
      <c r="G112" s="1702"/>
    </row>
    <row r="113" spans="3:7" s="265" customFormat="1" ht="12.75">
      <c r="C113" s="1698"/>
      <c r="D113" s="1699"/>
      <c r="E113" s="1699"/>
      <c r="F113" s="1699"/>
      <c r="G113" s="1699"/>
    </row>
    <row r="114" spans="3:7" s="265" customFormat="1" ht="12.75">
      <c r="C114" s="1698"/>
      <c r="D114" s="1699"/>
      <c r="E114" s="1699"/>
      <c r="F114" s="1699"/>
      <c r="G114" s="1699"/>
    </row>
    <row r="115" s="265" customFormat="1" ht="2.25" customHeight="1"/>
    <row r="116" spans="1:12" s="282" customFormat="1" ht="12.75" customHeight="1">
      <c r="A116" s="1523" t="s">
        <v>304</v>
      </c>
      <c r="B116" s="1717"/>
      <c r="C116" s="1717"/>
      <c r="D116" s="1717"/>
      <c r="E116" s="1717"/>
      <c r="F116" s="1717"/>
      <c r="G116" s="1717"/>
      <c r="H116" s="1717"/>
      <c r="I116" s="1717"/>
      <c r="J116" s="1717"/>
      <c r="K116" s="1717"/>
      <c r="L116" s="1718"/>
    </row>
    <row r="117" spans="1:12" s="282" customFormat="1" ht="12.75">
      <c r="A117" s="1719"/>
      <c r="B117" s="1720"/>
      <c r="C117" s="1720"/>
      <c r="D117" s="1720"/>
      <c r="E117" s="1720"/>
      <c r="F117" s="1720"/>
      <c r="G117" s="1720"/>
      <c r="H117" s="1720"/>
      <c r="I117" s="1720"/>
      <c r="J117" s="1720"/>
      <c r="K117" s="1720"/>
      <c r="L117" s="1721"/>
    </row>
    <row r="118" spans="1:12" s="265" customFormat="1" ht="6" customHeight="1">
      <c r="A118" s="274"/>
      <c r="B118" s="274"/>
      <c r="C118" s="274"/>
      <c r="D118" s="274"/>
      <c r="E118" s="274"/>
      <c r="F118" s="274"/>
      <c r="G118" s="274"/>
      <c r="H118" s="274"/>
      <c r="I118" s="274"/>
      <c r="J118" s="274"/>
      <c r="K118" s="274"/>
      <c r="L118" s="278"/>
    </row>
    <row r="119" spans="1:12" s="265" customFormat="1" ht="16.5" thickBot="1">
      <c r="A119" s="16" t="s">
        <v>109</v>
      </c>
      <c r="L119" s="167" t="s">
        <v>15</v>
      </c>
    </row>
    <row r="120" spans="1:12" s="270" customFormat="1" ht="21" customHeight="1" thickBot="1">
      <c r="A120" s="1365" t="s">
        <v>114</v>
      </c>
      <c r="B120" s="1691"/>
      <c r="C120" s="1691"/>
      <c r="D120" s="1691"/>
      <c r="E120" s="1435" t="s">
        <v>100</v>
      </c>
      <c r="F120" s="1690"/>
      <c r="H120" s="1365" t="s">
        <v>115</v>
      </c>
      <c r="I120" s="1691"/>
      <c r="J120" s="1691"/>
      <c r="K120" s="1435" t="s">
        <v>100</v>
      </c>
      <c r="L120" s="1690"/>
    </row>
    <row r="121" spans="1:12" s="270" customFormat="1" ht="21" customHeight="1">
      <c r="A121" s="1417" t="s">
        <v>133</v>
      </c>
      <c r="B121" s="1418"/>
      <c r="C121" s="1418"/>
      <c r="D121" s="1418"/>
      <c r="E121" s="1568">
        <v>1981700</v>
      </c>
      <c r="F121" s="1647"/>
      <c r="G121" s="144"/>
      <c r="H121" s="1417" t="s">
        <v>102</v>
      </c>
      <c r="I121" s="1418"/>
      <c r="J121" s="1418"/>
      <c r="K121" s="1692">
        <v>24400000</v>
      </c>
      <c r="L121" s="1693"/>
    </row>
    <row r="122" spans="1:12" s="270" customFormat="1" ht="16.5" customHeight="1">
      <c r="A122" s="1419" t="s">
        <v>102</v>
      </c>
      <c r="B122" s="1420"/>
      <c r="C122" s="1420"/>
      <c r="D122" s="1420"/>
      <c r="E122" s="1421"/>
      <c r="F122" s="1633"/>
      <c r="G122" s="144"/>
      <c r="H122" s="1419" t="s">
        <v>103</v>
      </c>
      <c r="I122" s="1420"/>
      <c r="J122" s="1420"/>
      <c r="K122" s="1679">
        <v>894800.15</v>
      </c>
      <c r="L122" s="1680"/>
    </row>
    <row r="123" spans="1:12" s="270" customFormat="1" ht="16.5" customHeight="1">
      <c r="A123" s="1419" t="s">
        <v>103</v>
      </c>
      <c r="B123" s="1420"/>
      <c r="C123" s="1420"/>
      <c r="D123" s="1420"/>
      <c r="E123" s="1421"/>
      <c r="F123" s="1633"/>
      <c r="G123" s="144"/>
      <c r="H123" s="1419" t="s">
        <v>257</v>
      </c>
      <c r="I123" s="1420"/>
      <c r="J123" s="1420"/>
      <c r="K123" s="1679">
        <v>7533000</v>
      </c>
      <c r="L123" s="1680"/>
    </row>
    <row r="124" spans="1:12" s="270" customFormat="1" ht="16.5" customHeight="1">
      <c r="A124" s="1419" t="s">
        <v>104</v>
      </c>
      <c r="B124" s="1420"/>
      <c r="C124" s="1420"/>
      <c r="D124" s="1420"/>
      <c r="E124" s="1421"/>
      <c r="F124" s="1633"/>
      <c r="G124" s="144"/>
      <c r="H124" s="1419" t="s">
        <v>252</v>
      </c>
      <c r="I124" s="1420"/>
      <c r="J124" s="1420"/>
      <c r="K124" s="1679">
        <v>6000000</v>
      </c>
      <c r="L124" s="1680"/>
    </row>
    <row r="125" spans="1:12" s="270" customFormat="1" ht="16.5" customHeight="1">
      <c r="A125" s="1419" t="s">
        <v>105</v>
      </c>
      <c r="B125" s="1420"/>
      <c r="C125" s="1420"/>
      <c r="D125" s="1420"/>
      <c r="E125" s="1421"/>
      <c r="F125" s="1633"/>
      <c r="G125" s="144"/>
      <c r="H125" s="1419" t="s">
        <v>138</v>
      </c>
      <c r="I125" s="1420"/>
      <c r="J125" s="1420"/>
      <c r="K125" s="1679">
        <v>60773</v>
      </c>
      <c r="L125" s="1680"/>
    </row>
    <row r="126" spans="1:12" s="24" customFormat="1" ht="16.5" customHeight="1">
      <c r="A126" s="1419" t="s">
        <v>10</v>
      </c>
      <c r="B126" s="1420"/>
      <c r="C126" s="1420"/>
      <c r="D126" s="1420"/>
      <c r="E126" s="1421"/>
      <c r="F126" s="1264"/>
      <c r="H126" s="1419" t="s">
        <v>258</v>
      </c>
      <c r="I126" s="1420"/>
      <c r="J126" s="1420"/>
      <c r="K126" s="1679">
        <v>2122000</v>
      </c>
      <c r="L126" s="1680"/>
    </row>
    <row r="127" spans="1:12" ht="16.5" customHeight="1" thickBot="1">
      <c r="A127" s="1422" t="s">
        <v>106</v>
      </c>
      <c r="B127" s="1423"/>
      <c r="C127" s="1423"/>
      <c r="D127" s="1423"/>
      <c r="E127" s="1677">
        <f>SUM(E121:F126)</f>
        <v>1981700</v>
      </c>
      <c r="F127" s="1678"/>
      <c r="G127" s="24"/>
      <c r="H127" s="1422" t="s">
        <v>107</v>
      </c>
      <c r="I127" s="1423"/>
      <c r="J127" s="1423"/>
      <c r="K127" s="1677">
        <f>SUM(K121:L126)</f>
        <v>41010573.15</v>
      </c>
      <c r="L127" s="1678"/>
    </row>
    <row r="128" ht="18.75" customHeight="1"/>
    <row r="129" spans="1:12" ht="12.75">
      <c r="A129" s="1523" t="s">
        <v>305</v>
      </c>
      <c r="B129" s="1524"/>
      <c r="C129" s="1524"/>
      <c r="D129" s="1524"/>
      <c r="E129" s="1524"/>
      <c r="F129" s="1524"/>
      <c r="G129" s="1524"/>
      <c r="H129" s="1524"/>
      <c r="I129" s="1524"/>
      <c r="J129" s="1524"/>
      <c r="K129" s="1524"/>
      <c r="L129" s="1525"/>
    </row>
    <row r="130" spans="1:12" ht="12.75">
      <c r="A130" s="1526"/>
      <c r="B130" s="1527"/>
      <c r="C130" s="1527"/>
      <c r="D130" s="1527"/>
      <c r="E130" s="1527"/>
      <c r="F130" s="1527"/>
      <c r="G130" s="1527"/>
      <c r="H130" s="1527"/>
      <c r="I130" s="1527"/>
      <c r="J130" s="1527"/>
      <c r="K130" s="1527"/>
      <c r="L130" s="1528"/>
    </row>
    <row r="131" spans="1:12" ht="12.75">
      <c r="A131" s="1526"/>
      <c r="B131" s="1527"/>
      <c r="C131" s="1527"/>
      <c r="D131" s="1527"/>
      <c r="E131" s="1527"/>
      <c r="F131" s="1527"/>
      <c r="G131" s="1527"/>
      <c r="H131" s="1527"/>
      <c r="I131" s="1527"/>
      <c r="J131" s="1527"/>
      <c r="K131" s="1527"/>
      <c r="L131" s="1528"/>
    </row>
    <row r="132" spans="1:12" ht="12.75">
      <c r="A132" s="1529"/>
      <c r="B132" s="1530"/>
      <c r="C132" s="1530"/>
      <c r="D132" s="1530"/>
      <c r="E132" s="1530"/>
      <c r="F132" s="1530"/>
      <c r="G132" s="1530"/>
      <c r="H132" s="1530"/>
      <c r="I132" s="1530"/>
      <c r="J132" s="1530"/>
      <c r="K132" s="1530"/>
      <c r="L132" s="1531"/>
    </row>
    <row r="135" ht="16.5" thickBot="1">
      <c r="A135" s="16" t="s">
        <v>185</v>
      </c>
    </row>
    <row r="136" spans="1:11" ht="13.5" thickBot="1">
      <c r="A136" s="1542" t="s">
        <v>150</v>
      </c>
      <c r="B136" s="1648"/>
      <c r="C136" s="1649"/>
      <c r="D136" s="1671"/>
      <c r="E136" s="1672"/>
      <c r="F136" s="1672"/>
      <c r="G136" s="1672"/>
      <c r="H136" s="1672"/>
      <c r="I136" s="1672"/>
      <c r="J136" s="1672"/>
      <c r="K136" s="1673"/>
    </row>
    <row r="137" spans="1:11" ht="17.25" customHeight="1">
      <c r="A137" s="1545"/>
      <c r="B137" s="1445"/>
      <c r="C137" s="1650"/>
      <c r="D137" s="1554" t="s">
        <v>178</v>
      </c>
      <c r="E137" s="1668" t="s">
        <v>251</v>
      </c>
      <c r="F137" s="1669"/>
      <c r="G137" s="1670"/>
      <c r="H137" s="1256" t="s">
        <v>250</v>
      </c>
      <c r="I137" s="1552"/>
      <c r="J137" s="1553"/>
      <c r="K137" s="406" t="s">
        <v>179</v>
      </c>
    </row>
    <row r="138" spans="1:11" ht="12.75">
      <c r="A138" s="1545"/>
      <c r="B138" s="1445"/>
      <c r="C138" s="1650"/>
      <c r="D138" s="1666"/>
      <c r="E138" s="367" t="s">
        <v>180</v>
      </c>
      <c r="F138" s="368" t="s">
        <v>181</v>
      </c>
      <c r="G138" s="369" t="s">
        <v>24</v>
      </c>
      <c r="H138" s="367" t="s">
        <v>180</v>
      </c>
      <c r="I138" s="368" t="s">
        <v>181</v>
      </c>
      <c r="J138" s="369" t="s">
        <v>24</v>
      </c>
      <c r="K138" s="369" t="s">
        <v>182</v>
      </c>
    </row>
    <row r="139" spans="1:11" ht="13.5" thickBot="1">
      <c r="A139" s="1548"/>
      <c r="B139" s="1651"/>
      <c r="C139" s="1652"/>
      <c r="D139" s="1667"/>
      <c r="E139" s="370" t="s">
        <v>183</v>
      </c>
      <c r="F139" s="371" t="s">
        <v>183</v>
      </c>
      <c r="G139" s="372"/>
      <c r="H139" s="370" t="s">
        <v>183</v>
      </c>
      <c r="I139" s="371" t="s">
        <v>183</v>
      </c>
      <c r="J139" s="372"/>
      <c r="K139" s="372" t="s">
        <v>184</v>
      </c>
    </row>
    <row r="140" spans="1:11" ht="12.75">
      <c r="A140" s="1551" t="s">
        <v>151</v>
      </c>
      <c r="B140" s="1648"/>
      <c r="C140" s="1649"/>
      <c r="D140" s="373">
        <v>854</v>
      </c>
      <c r="E140" s="374">
        <v>829.7005714285715</v>
      </c>
      <c r="F140" s="375">
        <v>0</v>
      </c>
      <c r="G140" s="373">
        <f aca="true" t="shared" si="10" ref="G140:G148">E140+F140</f>
        <v>829.7005714285715</v>
      </c>
      <c r="H140" s="374">
        <v>810</v>
      </c>
      <c r="I140" s="375">
        <v>0</v>
      </c>
      <c r="J140" s="373">
        <f aca="true" t="shared" si="11" ref="J140:J148">+H140+I140</f>
        <v>810</v>
      </c>
      <c r="K140" s="376">
        <f aca="true" t="shared" si="12" ref="K140:K168">+J140/G140</f>
        <v>0.9762558058810888</v>
      </c>
    </row>
    <row r="141" spans="1:11" ht="12.75">
      <c r="A141" s="1522" t="s">
        <v>152</v>
      </c>
      <c r="B141" s="1653"/>
      <c r="C141" s="1654"/>
      <c r="D141" s="377">
        <v>480381</v>
      </c>
      <c r="E141" s="378">
        <v>509154.21285714285</v>
      </c>
      <c r="F141" s="379">
        <v>1055.5354285714286</v>
      </c>
      <c r="G141" s="377">
        <f t="shared" si="10"/>
        <v>510209.7482857143</v>
      </c>
      <c r="H141" s="378">
        <v>517731</v>
      </c>
      <c r="I141" s="379">
        <v>1419</v>
      </c>
      <c r="J141" s="373">
        <f t="shared" si="11"/>
        <v>519150</v>
      </c>
      <c r="K141" s="376">
        <f t="shared" si="12"/>
        <v>1.0175226987416932</v>
      </c>
    </row>
    <row r="142" spans="1:11" ht="12.75">
      <c r="A142" s="1522" t="s">
        <v>153</v>
      </c>
      <c r="B142" s="1653"/>
      <c r="C142" s="1654"/>
      <c r="D142" s="377">
        <v>39297</v>
      </c>
      <c r="E142" s="378">
        <v>41021.142857142855</v>
      </c>
      <c r="F142" s="379">
        <v>1538.773</v>
      </c>
      <c r="G142" s="377">
        <f t="shared" si="10"/>
        <v>42559.915857142856</v>
      </c>
      <c r="H142" s="378">
        <v>39665</v>
      </c>
      <c r="I142" s="379">
        <v>1733</v>
      </c>
      <c r="J142" s="373">
        <f t="shared" si="11"/>
        <v>41398</v>
      </c>
      <c r="K142" s="376">
        <f t="shared" si="12"/>
        <v>0.972699291487254</v>
      </c>
    </row>
    <row r="143" spans="1:11" ht="12.75">
      <c r="A143" s="1522" t="s">
        <v>154</v>
      </c>
      <c r="B143" s="1653"/>
      <c r="C143" s="1654"/>
      <c r="D143" s="377">
        <v>151</v>
      </c>
      <c r="E143" s="378">
        <v>354.52457142857145</v>
      </c>
      <c r="F143" s="379">
        <v>89.62457142857143</v>
      </c>
      <c r="G143" s="377">
        <f t="shared" si="10"/>
        <v>444.14914285714286</v>
      </c>
      <c r="H143" s="378">
        <v>368</v>
      </c>
      <c r="I143" s="379">
        <v>101</v>
      </c>
      <c r="J143" s="373">
        <f t="shared" si="11"/>
        <v>469</v>
      </c>
      <c r="K143" s="376">
        <f t="shared" si="12"/>
        <v>1.0559516044160198</v>
      </c>
    </row>
    <row r="144" spans="1:11" ht="12.75">
      <c r="A144" s="1522" t="s">
        <v>155</v>
      </c>
      <c r="B144" s="1653"/>
      <c r="C144" s="1654"/>
      <c r="D144" s="377">
        <v>3603</v>
      </c>
      <c r="E144" s="378">
        <v>5187.596</v>
      </c>
      <c r="F144" s="379">
        <v>6.629142857142856</v>
      </c>
      <c r="G144" s="377">
        <f t="shared" si="10"/>
        <v>5194.225142857143</v>
      </c>
      <c r="H144" s="378">
        <v>6101</v>
      </c>
      <c r="I144" s="379">
        <v>29</v>
      </c>
      <c r="J144" s="373">
        <f t="shared" si="11"/>
        <v>6130</v>
      </c>
      <c r="K144" s="376">
        <f t="shared" si="12"/>
        <v>1.1801567763056424</v>
      </c>
    </row>
    <row r="145" spans="1:11" ht="12.75">
      <c r="A145" s="1522" t="s">
        <v>156</v>
      </c>
      <c r="B145" s="1653"/>
      <c r="C145" s="1654"/>
      <c r="D145" s="377">
        <v>526</v>
      </c>
      <c r="E145" s="378">
        <v>2640.1679999999997</v>
      </c>
      <c r="F145" s="379">
        <v>0</v>
      </c>
      <c r="G145" s="377">
        <f t="shared" si="10"/>
        <v>2640.1679999999997</v>
      </c>
      <c r="H145" s="378">
        <v>3730</v>
      </c>
      <c r="I145" s="379">
        <v>19</v>
      </c>
      <c r="J145" s="373">
        <f t="shared" si="11"/>
        <v>3749</v>
      </c>
      <c r="K145" s="376">
        <f t="shared" si="12"/>
        <v>1.4199853948688115</v>
      </c>
    </row>
    <row r="146" spans="1:11" ht="12.75">
      <c r="A146" s="1522" t="s">
        <v>157</v>
      </c>
      <c r="B146" s="1653"/>
      <c r="C146" s="1654"/>
      <c r="D146" s="377">
        <v>0</v>
      </c>
      <c r="E146" s="378">
        <v>0</v>
      </c>
      <c r="F146" s="379">
        <v>0</v>
      </c>
      <c r="G146" s="377">
        <f t="shared" si="10"/>
        <v>0</v>
      </c>
      <c r="H146" s="378">
        <v>0</v>
      </c>
      <c r="I146" s="379">
        <v>0</v>
      </c>
      <c r="J146" s="373">
        <f t="shared" si="11"/>
        <v>0</v>
      </c>
      <c r="K146" s="376"/>
    </row>
    <row r="147" spans="1:11" ht="18" customHeight="1">
      <c r="A147" s="1522" t="s">
        <v>158</v>
      </c>
      <c r="B147" s="1653"/>
      <c r="C147" s="1654"/>
      <c r="D147" s="377">
        <f>B147+C147</f>
        <v>0</v>
      </c>
      <c r="E147" s="378">
        <v>0</v>
      </c>
      <c r="F147" s="379">
        <v>0</v>
      </c>
      <c r="G147" s="377">
        <f t="shared" si="10"/>
        <v>0</v>
      </c>
      <c r="H147" s="378">
        <v>0</v>
      </c>
      <c r="I147" s="379">
        <v>0</v>
      </c>
      <c r="J147" s="373">
        <f t="shared" si="11"/>
        <v>0</v>
      </c>
      <c r="K147" s="376"/>
    </row>
    <row r="148" spans="1:11" ht="13.5" thickBot="1">
      <c r="A148" s="1538" t="s">
        <v>159</v>
      </c>
      <c r="B148" s="1655"/>
      <c r="C148" s="1656"/>
      <c r="D148" s="380">
        <v>1723</v>
      </c>
      <c r="E148" s="381">
        <v>1981.7</v>
      </c>
      <c r="F148" s="382">
        <v>0</v>
      </c>
      <c r="G148" s="380">
        <f t="shared" si="10"/>
        <v>1981.7</v>
      </c>
      <c r="H148" s="381">
        <v>1982</v>
      </c>
      <c r="I148" s="382">
        <v>0</v>
      </c>
      <c r="J148" s="373">
        <f t="shared" si="11"/>
        <v>1982</v>
      </c>
      <c r="K148" s="383">
        <f t="shared" si="12"/>
        <v>1.0001513851743453</v>
      </c>
    </row>
    <row r="149" spans="1:11" ht="13.5" thickBot="1">
      <c r="A149" s="1539" t="s">
        <v>19</v>
      </c>
      <c r="B149" s="1657"/>
      <c r="C149" s="1658"/>
      <c r="D149" s="384">
        <f aca="true" t="shared" si="13" ref="D149:I149">SUM(D140+D141+D142+D143+D144+D146+D148)</f>
        <v>526009</v>
      </c>
      <c r="E149" s="385">
        <f t="shared" si="13"/>
        <v>558528.8768571428</v>
      </c>
      <c r="F149" s="386">
        <f t="shared" si="13"/>
        <v>2690.562142857143</v>
      </c>
      <c r="G149" s="384">
        <f t="shared" si="13"/>
        <v>561219.439</v>
      </c>
      <c r="H149" s="387">
        <f t="shared" si="13"/>
        <v>566657</v>
      </c>
      <c r="I149" s="388">
        <f t="shared" si="13"/>
        <v>3282</v>
      </c>
      <c r="J149" s="389">
        <v>569939.37</v>
      </c>
      <c r="K149" s="390">
        <f t="shared" si="12"/>
        <v>1.015537471431028</v>
      </c>
    </row>
    <row r="150" spans="1:11" ht="12.75">
      <c r="A150" s="1522" t="s">
        <v>160</v>
      </c>
      <c r="B150" s="1653"/>
      <c r="C150" s="1654"/>
      <c r="D150" s="373">
        <v>117329</v>
      </c>
      <c r="E150" s="391">
        <v>115721.314</v>
      </c>
      <c r="F150" s="392">
        <v>288.811</v>
      </c>
      <c r="G150" s="373">
        <f aca="true" t="shared" si="14" ref="G150:G167">E150+F150</f>
        <v>116010.125</v>
      </c>
      <c r="H150" s="391">
        <v>119374</v>
      </c>
      <c r="I150" s="392">
        <v>271</v>
      </c>
      <c r="J150" s="373">
        <f aca="true" t="shared" si="15" ref="J150:J166">+H150+I150</f>
        <v>119645</v>
      </c>
      <c r="K150" s="393">
        <f t="shared" si="12"/>
        <v>1.0313323944784991</v>
      </c>
    </row>
    <row r="151" spans="1:11" ht="20.25" customHeight="1">
      <c r="A151" s="1522" t="s">
        <v>161</v>
      </c>
      <c r="B151" s="1653"/>
      <c r="C151" s="1654"/>
      <c r="D151" s="373">
        <v>9716</v>
      </c>
      <c r="E151" s="378">
        <v>2721.286</v>
      </c>
      <c r="F151" s="379">
        <v>140.441</v>
      </c>
      <c r="G151" s="373">
        <f t="shared" si="14"/>
        <v>2861.727</v>
      </c>
      <c r="H151" s="378">
        <v>2336</v>
      </c>
      <c r="I151" s="379">
        <v>90</v>
      </c>
      <c r="J151" s="373">
        <f t="shared" si="15"/>
        <v>2426</v>
      </c>
      <c r="K151" s="376">
        <f t="shared" si="12"/>
        <v>0.8477398438076029</v>
      </c>
    </row>
    <row r="152" spans="1:11" ht="12.75">
      <c r="A152" s="1522" t="s">
        <v>162</v>
      </c>
      <c r="B152" s="1653"/>
      <c r="C152" s="1654"/>
      <c r="D152" s="373">
        <v>19337</v>
      </c>
      <c r="E152" s="378">
        <v>25066.847</v>
      </c>
      <c r="F152" s="379">
        <v>15</v>
      </c>
      <c r="G152" s="373">
        <f t="shared" si="14"/>
        <v>25081.847</v>
      </c>
      <c r="H152" s="378">
        <v>24234</v>
      </c>
      <c r="I152" s="379">
        <v>16</v>
      </c>
      <c r="J152" s="373">
        <f t="shared" si="15"/>
        <v>24250</v>
      </c>
      <c r="K152" s="376">
        <f t="shared" si="12"/>
        <v>0.9668346992149341</v>
      </c>
    </row>
    <row r="153" spans="1:11" ht="12.75">
      <c r="A153" s="1522" t="s">
        <v>163</v>
      </c>
      <c r="B153" s="1653"/>
      <c r="C153" s="1654"/>
      <c r="D153" s="373">
        <v>0</v>
      </c>
      <c r="E153" s="378">
        <v>0</v>
      </c>
      <c r="F153" s="379">
        <v>0</v>
      </c>
      <c r="G153" s="373">
        <f t="shared" si="14"/>
        <v>0</v>
      </c>
      <c r="H153" s="378">
        <v>0</v>
      </c>
      <c r="I153" s="379">
        <v>0</v>
      </c>
      <c r="J153" s="373">
        <f t="shared" si="15"/>
        <v>0</v>
      </c>
      <c r="K153" s="376"/>
    </row>
    <row r="154" spans="1:11" ht="12.75">
      <c r="A154" s="1522" t="s">
        <v>164</v>
      </c>
      <c r="B154" s="1653"/>
      <c r="C154" s="1654"/>
      <c r="D154" s="373">
        <v>33065</v>
      </c>
      <c r="E154" s="378">
        <v>34065.259</v>
      </c>
      <c r="F154" s="379">
        <v>1286.838</v>
      </c>
      <c r="G154" s="373">
        <f t="shared" si="14"/>
        <v>35352.097</v>
      </c>
      <c r="H154" s="378">
        <v>33523</v>
      </c>
      <c r="I154" s="379">
        <v>1461</v>
      </c>
      <c r="J154" s="373">
        <f t="shared" si="15"/>
        <v>34984</v>
      </c>
      <c r="K154" s="376">
        <f t="shared" si="12"/>
        <v>0.9895876898052186</v>
      </c>
    </row>
    <row r="155" spans="1:11" ht="12.75">
      <c r="A155" s="1522" t="s">
        <v>165</v>
      </c>
      <c r="B155" s="1653"/>
      <c r="C155" s="1654"/>
      <c r="D155" s="373">
        <f>526005-447237</f>
        <v>78768</v>
      </c>
      <c r="E155" s="378">
        <v>80340.20900000002</v>
      </c>
      <c r="F155" s="379">
        <v>137.046</v>
      </c>
      <c r="G155" s="373">
        <f t="shared" si="14"/>
        <v>80477.25500000002</v>
      </c>
      <c r="H155" s="378">
        <v>78623</v>
      </c>
      <c r="I155" s="379">
        <v>480</v>
      </c>
      <c r="J155" s="373">
        <f t="shared" si="15"/>
        <v>79103</v>
      </c>
      <c r="K155" s="376">
        <f t="shared" si="12"/>
        <v>0.98292368446215</v>
      </c>
    </row>
    <row r="156" spans="1:11" ht="12.75">
      <c r="A156" s="1522" t="s">
        <v>166</v>
      </c>
      <c r="B156" s="1653"/>
      <c r="C156" s="1654"/>
      <c r="D156" s="373">
        <v>12060</v>
      </c>
      <c r="E156" s="394">
        <v>14840</v>
      </c>
      <c r="F156" s="379">
        <v>9.475</v>
      </c>
      <c r="G156" s="373">
        <f t="shared" si="14"/>
        <v>14849.475</v>
      </c>
      <c r="H156" s="394">
        <v>13527</v>
      </c>
      <c r="I156" s="379">
        <v>116</v>
      </c>
      <c r="J156" s="373">
        <f t="shared" si="15"/>
        <v>13643</v>
      </c>
      <c r="K156" s="376">
        <f t="shared" si="12"/>
        <v>0.9187530198879085</v>
      </c>
    </row>
    <row r="157" spans="1:11" ht="12.75">
      <c r="A157" s="1522" t="s">
        <v>167</v>
      </c>
      <c r="B157" s="1653"/>
      <c r="C157" s="1654"/>
      <c r="D157" s="373">
        <v>66188</v>
      </c>
      <c r="E157" s="394">
        <v>64871.202000000005</v>
      </c>
      <c r="F157" s="379">
        <v>127.571</v>
      </c>
      <c r="G157" s="373">
        <f t="shared" si="14"/>
        <v>64998.77300000001</v>
      </c>
      <c r="H157" s="394">
        <v>64467</v>
      </c>
      <c r="I157" s="379">
        <v>364</v>
      </c>
      <c r="J157" s="373">
        <f t="shared" si="15"/>
        <v>64831</v>
      </c>
      <c r="K157" s="376">
        <f t="shared" si="12"/>
        <v>0.9974188281984953</v>
      </c>
    </row>
    <row r="158" spans="1:11" ht="12.75">
      <c r="A158" s="1522" t="s">
        <v>168</v>
      </c>
      <c r="B158" s="1653"/>
      <c r="C158" s="1654"/>
      <c r="D158" s="373">
        <v>272417</v>
      </c>
      <c r="E158" s="378">
        <v>308583.33337</v>
      </c>
      <c r="F158" s="379">
        <v>137.56363636363636</v>
      </c>
      <c r="G158" s="373">
        <f t="shared" si="14"/>
        <v>308720.89700636367</v>
      </c>
      <c r="H158" s="378">
        <v>306590</v>
      </c>
      <c r="I158" s="379">
        <v>426</v>
      </c>
      <c r="J158" s="373">
        <f t="shared" si="15"/>
        <v>307016</v>
      </c>
      <c r="K158" s="376">
        <f t="shared" si="12"/>
        <v>0.9944775458257089</v>
      </c>
    </row>
    <row r="159" spans="1:11" ht="12.75">
      <c r="A159" s="1522" t="s">
        <v>169</v>
      </c>
      <c r="B159" s="1653"/>
      <c r="C159" s="1654"/>
      <c r="D159" s="373">
        <v>198624</v>
      </c>
      <c r="E159" s="394">
        <v>224605.66</v>
      </c>
      <c r="F159" s="395">
        <v>100.35927272727272</v>
      </c>
      <c r="G159" s="373">
        <f t="shared" si="14"/>
        <v>224706.01927272728</v>
      </c>
      <c r="H159" s="394">
        <v>224224</v>
      </c>
      <c r="I159" s="395">
        <v>311</v>
      </c>
      <c r="J159" s="373">
        <f t="shared" si="15"/>
        <v>224535</v>
      </c>
      <c r="K159" s="376">
        <f t="shared" si="12"/>
        <v>0.9992389199306686</v>
      </c>
    </row>
    <row r="160" spans="1:11" ht="12.75">
      <c r="A160" s="1522" t="s">
        <v>170</v>
      </c>
      <c r="B160" s="1653"/>
      <c r="C160" s="1654"/>
      <c r="D160" s="373">
        <v>197075</v>
      </c>
      <c r="E160" s="378">
        <v>223050.23799999998</v>
      </c>
      <c r="F160" s="379">
        <v>100.35927272727272</v>
      </c>
      <c r="G160" s="373">
        <f t="shared" si="14"/>
        <v>223150.59727272726</v>
      </c>
      <c r="H160" s="378">
        <v>222145</v>
      </c>
      <c r="I160" s="379">
        <v>311</v>
      </c>
      <c r="J160" s="373">
        <f t="shared" si="15"/>
        <v>222456</v>
      </c>
      <c r="K160" s="376">
        <f t="shared" si="12"/>
        <v>0.99688731609408</v>
      </c>
    </row>
    <row r="161" spans="1:11" ht="12.75" hidden="1">
      <c r="A161" s="1522" t="s">
        <v>171</v>
      </c>
      <c r="B161" s="1653"/>
      <c r="C161" s="1654"/>
      <c r="D161" s="373">
        <v>1549</v>
      </c>
      <c r="E161" s="378">
        <v>1555.422</v>
      </c>
      <c r="F161" s="379">
        <v>0</v>
      </c>
      <c r="G161" s="373">
        <f t="shared" si="14"/>
        <v>1555.422</v>
      </c>
      <c r="H161" s="378"/>
      <c r="I161" s="379"/>
      <c r="J161" s="373">
        <f t="shared" si="15"/>
        <v>0</v>
      </c>
      <c r="K161" s="376">
        <f t="shared" si="12"/>
        <v>0</v>
      </c>
    </row>
    <row r="162" spans="1:11" ht="12.75">
      <c r="A162" s="1522" t="s">
        <v>172</v>
      </c>
      <c r="B162" s="1653"/>
      <c r="C162" s="1654"/>
      <c r="D162" s="373">
        <f>+D158-D159</f>
        <v>73793</v>
      </c>
      <c r="E162" s="378">
        <v>83977.67337000002</v>
      </c>
      <c r="F162" s="379">
        <v>37.20436363636364</v>
      </c>
      <c r="G162" s="373">
        <f t="shared" si="14"/>
        <v>84014.87773363639</v>
      </c>
      <c r="H162" s="378">
        <v>82365</v>
      </c>
      <c r="I162" s="379">
        <v>115</v>
      </c>
      <c r="J162" s="373">
        <f t="shared" si="15"/>
        <v>82480</v>
      </c>
      <c r="K162" s="376">
        <f t="shared" si="12"/>
        <v>0.9817308817790271</v>
      </c>
    </row>
    <row r="163" spans="1:11" ht="12.75">
      <c r="A163" s="1522" t="s">
        <v>173</v>
      </c>
      <c r="B163" s="1653"/>
      <c r="C163" s="1654"/>
      <c r="D163" s="373">
        <v>1</v>
      </c>
      <c r="E163" s="378">
        <v>26</v>
      </c>
      <c r="F163" s="379">
        <v>0</v>
      </c>
      <c r="G163" s="373">
        <f t="shared" si="14"/>
        <v>26</v>
      </c>
      <c r="H163" s="378">
        <v>48</v>
      </c>
      <c r="I163" s="379">
        <v>0</v>
      </c>
      <c r="J163" s="373">
        <f t="shared" si="15"/>
        <v>48</v>
      </c>
      <c r="K163" s="376">
        <f t="shared" si="12"/>
        <v>1.8461538461538463</v>
      </c>
    </row>
    <row r="164" spans="1:11" ht="12.75">
      <c r="A164" s="1522" t="s">
        <v>174</v>
      </c>
      <c r="B164" s="1653"/>
      <c r="C164" s="1654"/>
      <c r="D164" s="373">
        <v>2273</v>
      </c>
      <c r="E164" s="378">
        <v>2769.264</v>
      </c>
      <c r="F164" s="379">
        <v>11.773</v>
      </c>
      <c r="G164" s="373">
        <f t="shared" si="14"/>
        <v>2781.0370000000003</v>
      </c>
      <c r="H164" s="378">
        <v>2934</v>
      </c>
      <c r="I164" s="379">
        <v>13</v>
      </c>
      <c r="J164" s="373">
        <f t="shared" si="15"/>
        <v>2947</v>
      </c>
      <c r="K164" s="376">
        <f t="shared" si="12"/>
        <v>1.0596766601810763</v>
      </c>
    </row>
    <row r="165" spans="1:11" ht="12.75">
      <c r="A165" s="1522" t="s">
        <v>175</v>
      </c>
      <c r="B165" s="1653"/>
      <c r="C165" s="1654"/>
      <c r="D165" s="373">
        <v>2304</v>
      </c>
      <c r="E165" s="394">
        <v>451</v>
      </c>
      <c r="F165" s="379">
        <v>0</v>
      </c>
      <c r="G165" s="373">
        <f t="shared" si="14"/>
        <v>451</v>
      </c>
      <c r="H165" s="394">
        <v>451</v>
      </c>
      <c r="I165" s="379">
        <v>0</v>
      </c>
      <c r="J165" s="373">
        <f t="shared" si="15"/>
        <v>451</v>
      </c>
      <c r="K165" s="376">
        <f t="shared" si="12"/>
        <v>1</v>
      </c>
    </row>
    <row r="166" spans="1:11" ht="15.75" customHeight="1">
      <c r="A166" s="1522" t="s">
        <v>176</v>
      </c>
      <c r="B166" s="1653"/>
      <c r="C166" s="1654"/>
      <c r="D166" s="373">
        <v>2304</v>
      </c>
      <c r="E166" s="394">
        <v>451</v>
      </c>
      <c r="F166" s="379">
        <v>0</v>
      </c>
      <c r="G166" s="373">
        <f t="shared" si="14"/>
        <v>451</v>
      </c>
      <c r="H166" s="394">
        <v>451</v>
      </c>
      <c r="I166" s="379">
        <v>0</v>
      </c>
      <c r="J166" s="373">
        <f t="shared" si="15"/>
        <v>451</v>
      </c>
      <c r="K166" s="376">
        <f t="shared" si="12"/>
        <v>1</v>
      </c>
    </row>
    <row r="167" spans="1:11" ht="13.5" thickBot="1">
      <c r="A167" s="1538" t="s">
        <v>177</v>
      </c>
      <c r="B167" s="1655"/>
      <c r="C167" s="1656"/>
      <c r="D167" s="396">
        <v>511</v>
      </c>
      <c r="E167" s="397">
        <v>0</v>
      </c>
      <c r="F167" s="382">
        <v>0</v>
      </c>
      <c r="G167" s="396">
        <f t="shared" si="14"/>
        <v>0</v>
      </c>
      <c r="H167" s="397">
        <v>1494</v>
      </c>
      <c r="I167" s="382">
        <v>0</v>
      </c>
      <c r="J167" s="373">
        <f>+H167+I167</f>
        <v>1494</v>
      </c>
      <c r="K167" s="376"/>
    </row>
    <row r="168" spans="1:11" ht="13.5" thickBot="1">
      <c r="A168" s="1532" t="s">
        <v>18</v>
      </c>
      <c r="B168" s="1662"/>
      <c r="C168" s="1663"/>
      <c r="D168" s="398">
        <f aca="true" t="shared" si="16" ref="D168:I168">SUM(D150+D152+D153+D154+D155+D158+D163+D164+D165+D167)</f>
        <v>526005</v>
      </c>
      <c r="E168" s="399">
        <f t="shared" si="16"/>
        <v>567023.22637</v>
      </c>
      <c r="F168" s="400">
        <f t="shared" si="16"/>
        <v>1877.0316363636362</v>
      </c>
      <c r="G168" s="398">
        <f t="shared" si="16"/>
        <v>568900.2580063636</v>
      </c>
      <c r="H168" s="401">
        <f t="shared" si="16"/>
        <v>567271</v>
      </c>
      <c r="I168" s="402">
        <f t="shared" si="16"/>
        <v>2667</v>
      </c>
      <c r="J168" s="403">
        <v>569937.76</v>
      </c>
      <c r="K168" s="390">
        <f t="shared" si="12"/>
        <v>1.001823697527001</v>
      </c>
    </row>
    <row r="169" spans="1:11" ht="13.5" thickBot="1">
      <c r="A169" s="1535" t="s">
        <v>26</v>
      </c>
      <c r="B169" s="1664"/>
      <c r="C169" s="1665"/>
      <c r="D169" s="404">
        <f>SUM(D149-D168)</f>
        <v>4</v>
      </c>
      <c r="E169" s="1674">
        <f>+G149-G168</f>
        <v>-7680.819006363628</v>
      </c>
      <c r="F169" s="1675">
        <v>647.8363636363636</v>
      </c>
      <c r="G169" s="1676">
        <v>-9900.402006363729</v>
      </c>
      <c r="H169" s="1674">
        <f>+J149-J168</f>
        <v>1.6099999999860302</v>
      </c>
      <c r="I169" s="1675"/>
      <c r="J169" s="1676"/>
      <c r="K169" s="405"/>
    </row>
    <row r="171" spans="1:12" ht="12.75">
      <c r="A171" s="1523" t="s">
        <v>306</v>
      </c>
      <c r="B171" s="1524"/>
      <c r="C171" s="1524"/>
      <c r="D171" s="1524"/>
      <c r="E171" s="1524"/>
      <c r="F171" s="1524"/>
      <c r="G171" s="1524"/>
      <c r="H171" s="1524"/>
      <c r="I171" s="1524"/>
      <c r="J171" s="1524"/>
      <c r="K171" s="1524"/>
      <c r="L171" s="1525"/>
    </row>
    <row r="172" spans="1:12" ht="12.75">
      <c r="A172" s="1526"/>
      <c r="B172" s="1527"/>
      <c r="C172" s="1527"/>
      <c r="D172" s="1527"/>
      <c r="E172" s="1527"/>
      <c r="F172" s="1527"/>
      <c r="G172" s="1527"/>
      <c r="H172" s="1527"/>
      <c r="I172" s="1527"/>
      <c r="J172" s="1527"/>
      <c r="K172" s="1527"/>
      <c r="L172" s="1528"/>
    </row>
    <row r="173" spans="1:12" ht="12.75">
      <c r="A173" s="1526"/>
      <c r="B173" s="1527"/>
      <c r="C173" s="1527"/>
      <c r="D173" s="1527"/>
      <c r="E173" s="1527"/>
      <c r="F173" s="1527"/>
      <c r="G173" s="1527"/>
      <c r="H173" s="1527"/>
      <c r="I173" s="1527"/>
      <c r="J173" s="1527"/>
      <c r="K173" s="1527"/>
      <c r="L173" s="1528"/>
    </row>
    <row r="174" spans="1:12" ht="12.75">
      <c r="A174" s="1526"/>
      <c r="B174" s="1527"/>
      <c r="C174" s="1527"/>
      <c r="D174" s="1527"/>
      <c r="E174" s="1527"/>
      <c r="F174" s="1527"/>
      <c r="G174" s="1527"/>
      <c r="H174" s="1527"/>
      <c r="I174" s="1527"/>
      <c r="J174" s="1527"/>
      <c r="K174" s="1527"/>
      <c r="L174" s="1528"/>
    </row>
    <row r="175" spans="1:12" ht="12.75">
      <c r="A175" s="1526"/>
      <c r="B175" s="1527"/>
      <c r="C175" s="1527"/>
      <c r="D175" s="1527"/>
      <c r="E175" s="1527"/>
      <c r="F175" s="1527"/>
      <c r="G175" s="1527"/>
      <c r="H175" s="1527"/>
      <c r="I175" s="1527"/>
      <c r="J175" s="1527"/>
      <c r="K175" s="1527"/>
      <c r="L175" s="1528"/>
    </row>
    <row r="176" spans="1:12" ht="12.75">
      <c r="A176" s="1526"/>
      <c r="B176" s="1527"/>
      <c r="C176" s="1527"/>
      <c r="D176" s="1527"/>
      <c r="E176" s="1527"/>
      <c r="F176" s="1527"/>
      <c r="G176" s="1527"/>
      <c r="H176" s="1527"/>
      <c r="I176" s="1527"/>
      <c r="J176" s="1527"/>
      <c r="K176" s="1527"/>
      <c r="L176" s="1528"/>
    </row>
    <row r="177" spans="1:12" ht="12.75">
      <c r="A177" s="1526"/>
      <c r="B177" s="1527"/>
      <c r="C177" s="1527"/>
      <c r="D177" s="1527"/>
      <c r="E177" s="1527"/>
      <c r="F177" s="1527"/>
      <c r="G177" s="1527"/>
      <c r="H177" s="1527"/>
      <c r="I177" s="1527"/>
      <c r="J177" s="1527"/>
      <c r="K177" s="1527"/>
      <c r="L177" s="1528"/>
    </row>
    <row r="178" spans="1:12" ht="12.75">
      <c r="A178" s="1529"/>
      <c r="B178" s="1530"/>
      <c r="C178" s="1530"/>
      <c r="D178" s="1530"/>
      <c r="E178" s="1530"/>
      <c r="F178" s="1530"/>
      <c r="G178" s="1530"/>
      <c r="H178" s="1530"/>
      <c r="I178" s="1530"/>
      <c r="J178" s="1530"/>
      <c r="K178" s="1530"/>
      <c r="L178" s="1531"/>
    </row>
    <row r="180" s="604" customFormat="1" ht="15.75">
      <c r="A180" s="16" t="s">
        <v>189</v>
      </c>
    </row>
    <row r="181" spans="1:12" s="859" customFormat="1" ht="12.75" customHeight="1">
      <c r="A181" s="864" t="s">
        <v>307</v>
      </c>
      <c r="B181" s="857"/>
      <c r="C181" s="857"/>
      <c r="D181" s="857"/>
      <c r="E181" s="857"/>
      <c r="F181" s="857"/>
      <c r="G181" s="857"/>
      <c r="H181" s="857"/>
      <c r="I181" s="857"/>
      <c r="J181" s="857"/>
      <c r="K181" s="857"/>
      <c r="L181" s="858"/>
    </row>
    <row r="182" spans="1:12" s="859" customFormat="1" ht="12.75">
      <c r="A182" s="865" t="s">
        <v>308</v>
      </c>
      <c r="B182" s="860"/>
      <c r="C182" s="860"/>
      <c r="D182" s="860"/>
      <c r="E182" s="860"/>
      <c r="F182" s="860"/>
      <c r="G182" s="860"/>
      <c r="H182" s="860"/>
      <c r="I182" s="860"/>
      <c r="J182" s="860"/>
      <c r="K182" s="860"/>
      <c r="L182" s="861"/>
    </row>
    <row r="183" spans="1:12" s="859" customFormat="1" ht="12.75">
      <c r="A183" s="865" t="s">
        <v>309</v>
      </c>
      <c r="B183" s="860"/>
      <c r="C183" s="860"/>
      <c r="D183" s="860"/>
      <c r="E183" s="860"/>
      <c r="F183" s="860"/>
      <c r="G183" s="860"/>
      <c r="H183" s="860"/>
      <c r="I183" s="860"/>
      <c r="J183" s="860"/>
      <c r="K183" s="860"/>
      <c r="L183" s="861"/>
    </row>
    <row r="184" spans="1:12" s="859" customFormat="1" ht="12.75">
      <c r="A184" s="865" t="s">
        <v>310</v>
      </c>
      <c r="B184" s="860"/>
      <c r="C184" s="860"/>
      <c r="D184" s="860"/>
      <c r="E184" s="860"/>
      <c r="F184" s="860"/>
      <c r="G184" s="860"/>
      <c r="H184" s="860"/>
      <c r="I184" s="860"/>
      <c r="J184" s="860"/>
      <c r="K184" s="860"/>
      <c r="L184" s="861"/>
    </row>
    <row r="185" spans="1:12" s="859" customFormat="1" ht="12.75">
      <c r="A185" s="865" t="s">
        <v>311</v>
      </c>
      <c r="B185" s="860"/>
      <c r="C185" s="860"/>
      <c r="D185" s="860"/>
      <c r="E185" s="860"/>
      <c r="F185" s="860"/>
      <c r="G185" s="860"/>
      <c r="H185" s="860"/>
      <c r="I185" s="860"/>
      <c r="J185" s="860"/>
      <c r="K185" s="860"/>
      <c r="L185" s="861"/>
    </row>
    <row r="186" spans="1:12" s="859" customFormat="1" ht="12.75">
      <c r="A186" s="865" t="s">
        <v>312</v>
      </c>
      <c r="B186" s="860"/>
      <c r="C186" s="860"/>
      <c r="D186" s="860"/>
      <c r="E186" s="860"/>
      <c r="F186" s="860"/>
      <c r="G186" s="860"/>
      <c r="H186" s="860"/>
      <c r="I186" s="860"/>
      <c r="J186" s="860"/>
      <c r="K186" s="860"/>
      <c r="L186" s="861"/>
    </row>
    <row r="187" spans="1:12" s="859" customFormat="1" ht="12.75">
      <c r="A187" s="865" t="s">
        <v>313</v>
      </c>
      <c r="B187" s="860"/>
      <c r="C187" s="860"/>
      <c r="D187" s="860"/>
      <c r="E187" s="860"/>
      <c r="F187" s="860"/>
      <c r="G187" s="860"/>
      <c r="H187" s="860"/>
      <c r="I187" s="860"/>
      <c r="J187" s="860"/>
      <c r="K187" s="860"/>
      <c r="L187" s="861"/>
    </row>
    <row r="188" spans="1:12" s="859" customFormat="1" ht="12.75">
      <c r="A188" s="865" t="s">
        <v>314</v>
      </c>
      <c r="B188" s="860"/>
      <c r="C188" s="860"/>
      <c r="D188" s="860"/>
      <c r="E188" s="860"/>
      <c r="F188" s="860"/>
      <c r="G188" s="860"/>
      <c r="H188" s="860"/>
      <c r="I188" s="860"/>
      <c r="J188" s="860"/>
      <c r="K188" s="860"/>
      <c r="L188" s="861"/>
    </row>
    <row r="189" spans="1:12" s="859" customFormat="1" ht="12.75">
      <c r="A189" s="865" t="s">
        <v>315</v>
      </c>
      <c r="B189" s="860"/>
      <c r="C189" s="860"/>
      <c r="D189" s="860"/>
      <c r="E189" s="860"/>
      <c r="F189" s="860"/>
      <c r="G189" s="860"/>
      <c r="H189" s="860"/>
      <c r="I189" s="860"/>
      <c r="J189" s="860"/>
      <c r="K189" s="860"/>
      <c r="L189" s="861"/>
    </row>
    <row r="190" spans="1:12" s="859" customFormat="1" ht="12.75">
      <c r="A190" s="865" t="s">
        <v>316</v>
      </c>
      <c r="B190" s="860"/>
      <c r="C190" s="860"/>
      <c r="D190" s="860"/>
      <c r="E190" s="860"/>
      <c r="F190" s="860"/>
      <c r="G190" s="860"/>
      <c r="H190" s="860"/>
      <c r="I190" s="860"/>
      <c r="J190" s="860"/>
      <c r="K190" s="860"/>
      <c r="L190" s="861"/>
    </row>
    <row r="191" spans="1:12" s="859" customFormat="1" ht="12.75">
      <c r="A191" s="865" t="s">
        <v>317</v>
      </c>
      <c r="B191" s="860"/>
      <c r="C191" s="860"/>
      <c r="D191" s="860"/>
      <c r="E191" s="860"/>
      <c r="F191" s="860"/>
      <c r="G191" s="860"/>
      <c r="H191" s="860"/>
      <c r="I191" s="860"/>
      <c r="J191" s="860"/>
      <c r="K191" s="860"/>
      <c r="L191" s="861"/>
    </row>
    <row r="192" spans="1:12" s="859" customFormat="1" ht="12.75">
      <c r="A192" s="865" t="s">
        <v>318</v>
      </c>
      <c r="B192" s="860"/>
      <c r="C192" s="860"/>
      <c r="D192" s="860"/>
      <c r="E192" s="860"/>
      <c r="F192" s="860"/>
      <c r="G192" s="860"/>
      <c r="H192" s="860"/>
      <c r="I192" s="860"/>
      <c r="J192" s="860"/>
      <c r="K192" s="860"/>
      <c r="L192" s="861"/>
    </row>
    <row r="193" spans="1:12" s="859" customFormat="1" ht="12.75">
      <c r="A193" s="866" t="s">
        <v>319</v>
      </c>
      <c r="B193" s="862"/>
      <c r="C193" s="862"/>
      <c r="D193" s="862"/>
      <c r="E193" s="862"/>
      <c r="F193" s="862"/>
      <c r="G193" s="862"/>
      <c r="H193" s="862"/>
      <c r="I193" s="862"/>
      <c r="J193" s="862"/>
      <c r="K193" s="862"/>
      <c r="L193" s="863"/>
    </row>
  </sheetData>
  <mergeCells count="141">
    <mergeCell ref="A116:L117"/>
    <mergeCell ref="L28:L29"/>
    <mergeCell ref="L47:L48"/>
    <mergeCell ref="D47:D48"/>
    <mergeCell ref="E47:E48"/>
    <mergeCell ref="F47:K47"/>
    <mergeCell ref="D71:F71"/>
    <mergeCell ref="G71:I71"/>
    <mergeCell ref="D28:D29"/>
    <mergeCell ref="J71:L71"/>
    <mergeCell ref="H5:I5"/>
    <mergeCell ref="A47:A48"/>
    <mergeCell ref="A20:L25"/>
    <mergeCell ref="A28:A29"/>
    <mergeCell ref="B28:B29"/>
    <mergeCell ref="C28:C29"/>
    <mergeCell ref="B47:B48"/>
    <mergeCell ref="C47:C48"/>
    <mergeCell ref="E28:E29"/>
    <mergeCell ref="F28:K28"/>
    <mergeCell ref="H4:L4"/>
    <mergeCell ref="A4:A6"/>
    <mergeCell ref="B4:C4"/>
    <mergeCell ref="D4:G4"/>
    <mergeCell ref="B5:B6"/>
    <mergeCell ref="C5:C6"/>
    <mergeCell ref="L5:L6"/>
    <mergeCell ref="D5:E5"/>
    <mergeCell ref="J5:K5"/>
    <mergeCell ref="F5:G5"/>
    <mergeCell ref="A80:C80"/>
    <mergeCell ref="A71:C72"/>
    <mergeCell ref="A73:C73"/>
    <mergeCell ref="A74:C74"/>
    <mergeCell ref="A75:C75"/>
    <mergeCell ref="A78:C78"/>
    <mergeCell ref="A79:C79"/>
    <mergeCell ref="A91:B92"/>
    <mergeCell ref="C91:G91"/>
    <mergeCell ref="H91:L91"/>
    <mergeCell ref="A81:C81"/>
    <mergeCell ref="A82:C82"/>
    <mergeCell ref="A83:C83"/>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C114:G114"/>
    <mergeCell ref="C112:G112"/>
    <mergeCell ref="C113:G113"/>
    <mergeCell ref="A112:B112"/>
    <mergeCell ref="E120:F120"/>
    <mergeCell ref="H120:J120"/>
    <mergeCell ref="K120:L120"/>
    <mergeCell ref="A121:D121"/>
    <mergeCell ref="E121:F121"/>
    <mergeCell ref="H121:J121"/>
    <mergeCell ref="K121:L121"/>
    <mergeCell ref="A120:D120"/>
    <mergeCell ref="K122:L122"/>
    <mergeCell ref="K125:L125"/>
    <mergeCell ref="H124:J124"/>
    <mergeCell ref="K124:L124"/>
    <mergeCell ref="H123:J123"/>
    <mergeCell ref="K123:L123"/>
    <mergeCell ref="A126:D126"/>
    <mergeCell ref="E126:F126"/>
    <mergeCell ref="E122:F122"/>
    <mergeCell ref="H122:J122"/>
    <mergeCell ref="A123:D123"/>
    <mergeCell ref="E123:F123"/>
    <mergeCell ref="E125:F125"/>
    <mergeCell ref="A122:D122"/>
    <mergeCell ref="K126:L126"/>
    <mergeCell ref="H125:J125"/>
    <mergeCell ref="H126:J126"/>
    <mergeCell ref="A65:L68"/>
    <mergeCell ref="A85:L88"/>
    <mergeCell ref="A124:D124"/>
    <mergeCell ref="E124:F124"/>
    <mergeCell ref="A125:D125"/>
    <mergeCell ref="A76:C76"/>
    <mergeCell ref="A77:C77"/>
    <mergeCell ref="A129:L132"/>
    <mergeCell ref="A127:D127"/>
    <mergeCell ref="E127:F127"/>
    <mergeCell ref="H127:J127"/>
    <mergeCell ref="K127:L127"/>
    <mergeCell ref="A136: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D136:K136"/>
    <mergeCell ref="A171:L178"/>
    <mergeCell ref="E137:G137"/>
    <mergeCell ref="H137:J137"/>
    <mergeCell ref="E169:G169"/>
    <mergeCell ref="H169:J169"/>
    <mergeCell ref="A167:C167"/>
    <mergeCell ref="A168:C168"/>
    <mergeCell ref="A169:C169"/>
    <mergeCell ref="D137:D139"/>
  </mergeCells>
  <printOptions horizontalCentered="1"/>
  <pageMargins left="0.17" right="0.1968503937007874" top="0.31" bottom="0.35" header="0.2" footer="0.19"/>
  <pageSetup horizontalDpi="600" verticalDpi="600" orientation="portrait" paperSize="9" scale="75" r:id="rId1"/>
  <rowBreaks count="2" manualBreakCount="2">
    <brk id="69" max="255" man="1"/>
    <brk id="133" max="255" man="1"/>
  </rowBreaks>
</worksheet>
</file>

<file path=xl/worksheets/sheet8.xml><?xml version="1.0" encoding="utf-8"?>
<worksheet xmlns="http://schemas.openxmlformats.org/spreadsheetml/2006/main" xmlns:r="http://schemas.openxmlformats.org/officeDocument/2006/relationships">
  <dimension ref="A1:L169"/>
  <sheetViews>
    <sheetView workbookViewId="0" topLeftCell="A32">
      <selection activeCell="L56" sqref="L56"/>
    </sheetView>
  </sheetViews>
  <sheetFormatPr defaultColWidth="9.00390625" defaultRowHeight="12.75"/>
  <cols>
    <col min="1" max="1" width="9.625" style="0" customWidth="1"/>
    <col min="2" max="8" width="10.75390625" style="0" customWidth="1"/>
    <col min="9" max="9" width="11.125" style="0" customWidth="1"/>
    <col min="10" max="11" width="10.75390625" style="0" customWidth="1"/>
    <col min="12" max="12" width="10.625" style="0" customWidth="1"/>
  </cols>
  <sheetData>
    <row r="1" spans="1:12" ht="18">
      <c r="A1" s="1399" t="s">
        <v>60</v>
      </c>
      <c r="B1" s="1400"/>
      <c r="C1" s="1400"/>
      <c r="D1" s="1400"/>
      <c r="E1" s="1400"/>
      <c r="F1" s="1400"/>
      <c r="G1" s="1400"/>
      <c r="H1" s="1400"/>
      <c r="I1" s="1400"/>
      <c r="J1" s="1400"/>
      <c r="K1" s="1400"/>
      <c r="L1" s="1401"/>
    </row>
    <row r="2" ht="9.75" customHeight="1">
      <c r="A2" s="16"/>
    </row>
    <row r="3" spans="1:12" ht="17.25" customHeight="1" thickBot="1">
      <c r="A3" s="68" t="s">
        <v>54</v>
      </c>
      <c r="L3" s="167" t="s">
        <v>116</v>
      </c>
    </row>
    <row r="4" spans="1:12" s="265" customFormat="1" ht="15" customHeight="1">
      <c r="A4" s="1247" t="s">
        <v>32</v>
      </c>
      <c r="B4" s="1256" t="s">
        <v>18</v>
      </c>
      <c r="C4" s="1712"/>
      <c r="D4" s="1591" t="s">
        <v>128</v>
      </c>
      <c r="E4" s="1645"/>
      <c r="F4" s="1646"/>
      <c r="G4" s="1647"/>
      <c r="H4" s="1591" t="s">
        <v>26</v>
      </c>
      <c r="I4" s="1646"/>
      <c r="J4" s="1646"/>
      <c r="K4" s="1646"/>
      <c r="L4" s="1647"/>
    </row>
    <row r="5" spans="1:12" s="265" customFormat="1" ht="12.75" customHeight="1">
      <c r="A5" s="1642"/>
      <c r="B5" s="1587">
        <v>2005</v>
      </c>
      <c r="C5" s="1588">
        <v>2006</v>
      </c>
      <c r="D5" s="1569">
        <v>2005</v>
      </c>
      <c r="E5" s="1634"/>
      <c r="F5" s="1570">
        <v>2006</v>
      </c>
      <c r="G5" s="1633"/>
      <c r="H5" s="1569">
        <v>2005</v>
      </c>
      <c r="I5" s="1634"/>
      <c r="J5" s="1570">
        <v>2006</v>
      </c>
      <c r="K5" s="1611" t="s">
        <v>127</v>
      </c>
      <c r="L5" s="1588" t="s">
        <v>141</v>
      </c>
    </row>
    <row r="6" spans="1:12" s="265" customFormat="1" ht="23.25" thickBot="1">
      <c r="A6" s="1643"/>
      <c r="B6" s="1626"/>
      <c r="C6" s="1635"/>
      <c r="D6" s="65" t="s">
        <v>129</v>
      </c>
      <c r="E6" s="70" t="s">
        <v>130</v>
      </c>
      <c r="F6" s="70" t="s">
        <v>129</v>
      </c>
      <c r="G6" s="66" t="s">
        <v>130</v>
      </c>
      <c r="H6" s="266" t="s">
        <v>131</v>
      </c>
      <c r="I6" s="70" t="s">
        <v>127</v>
      </c>
      <c r="J6" s="267" t="s">
        <v>131</v>
      </c>
      <c r="K6" s="58" t="s">
        <v>127</v>
      </c>
      <c r="L6" s="1635"/>
    </row>
    <row r="7" spans="1:12" s="24" customFormat="1" ht="12.75" customHeight="1">
      <c r="A7" s="37" t="s">
        <v>33</v>
      </c>
      <c r="B7" s="237">
        <v>45733</v>
      </c>
      <c r="C7" s="3">
        <f>+'Hospodaření str1-2'!F55</f>
        <v>48203</v>
      </c>
      <c r="D7" s="237">
        <v>44183</v>
      </c>
      <c r="E7" s="11">
        <v>1726</v>
      </c>
      <c r="F7" s="2">
        <f>+'Hospodaření str1-2'!J55</f>
        <v>44237</v>
      </c>
      <c r="G7" s="3">
        <v>76</v>
      </c>
      <c r="H7" s="17">
        <f aca="true" t="shared" si="0" ref="H7:H18">+D7-B7</f>
        <v>-1550</v>
      </c>
      <c r="I7" s="2">
        <f aca="true" t="shared" si="1" ref="I7:I18">+H7-E7</f>
        <v>-3276</v>
      </c>
      <c r="J7" s="2">
        <f aca="true" t="shared" si="2" ref="J7:J18">+F7-C7</f>
        <v>-3966</v>
      </c>
      <c r="K7" s="2">
        <f aca="true" t="shared" si="3" ref="K7:K18">+J7-G7</f>
        <v>-4042</v>
      </c>
      <c r="L7" s="3">
        <f aca="true" t="shared" si="4" ref="L7:L18">+J7-H7</f>
        <v>-2416</v>
      </c>
    </row>
    <row r="8" spans="1:12" s="24" customFormat="1" ht="12.75">
      <c r="A8" s="39" t="s">
        <v>34</v>
      </c>
      <c r="B8" s="230">
        <v>88910</v>
      </c>
      <c r="C8" s="5">
        <f>+'Hospodaření str1-2'!F56</f>
        <v>96946</v>
      </c>
      <c r="D8" s="230">
        <v>88947</v>
      </c>
      <c r="E8" s="12">
        <v>3636</v>
      </c>
      <c r="F8" s="4">
        <f>+'Hospodaření str1-2'!J56</f>
        <v>91060</v>
      </c>
      <c r="G8" s="5">
        <v>2705</v>
      </c>
      <c r="H8" s="17">
        <f t="shared" si="0"/>
        <v>37</v>
      </c>
      <c r="I8" s="2">
        <f t="shared" si="1"/>
        <v>-3599</v>
      </c>
      <c r="J8" s="2">
        <f t="shared" si="2"/>
        <v>-5886</v>
      </c>
      <c r="K8" s="2">
        <f t="shared" si="3"/>
        <v>-8591</v>
      </c>
      <c r="L8" s="3">
        <f t="shared" si="4"/>
        <v>-5923</v>
      </c>
    </row>
    <row r="9" spans="1:12" s="24" customFormat="1" ht="12.75">
      <c r="A9" s="39" t="s">
        <v>35</v>
      </c>
      <c r="B9" s="230">
        <v>132135</v>
      </c>
      <c r="C9" s="5">
        <f>+'Hospodaření str1-2'!F57</f>
        <v>145205</v>
      </c>
      <c r="D9" s="230">
        <v>133715</v>
      </c>
      <c r="E9" s="12">
        <v>511</v>
      </c>
      <c r="F9" s="4">
        <f>+'Hospodaření str1-2'!J57</f>
        <v>139292</v>
      </c>
      <c r="G9" s="5">
        <v>4180</v>
      </c>
      <c r="H9" s="17">
        <f t="shared" si="0"/>
        <v>1580</v>
      </c>
      <c r="I9" s="2">
        <f t="shared" si="1"/>
        <v>1069</v>
      </c>
      <c r="J9" s="2">
        <f t="shared" si="2"/>
        <v>-5913</v>
      </c>
      <c r="K9" s="2">
        <f t="shared" si="3"/>
        <v>-10093</v>
      </c>
      <c r="L9" s="3">
        <f t="shared" si="4"/>
        <v>-7493</v>
      </c>
    </row>
    <row r="10" spans="1:12" s="24" customFormat="1" ht="12.75">
      <c r="A10" s="39" t="s">
        <v>36</v>
      </c>
      <c r="B10" s="230">
        <v>180885</v>
      </c>
      <c r="C10" s="5">
        <f>+'Hospodaření str1-2'!F58</f>
        <v>194764</v>
      </c>
      <c r="D10" s="230">
        <v>184923</v>
      </c>
      <c r="E10" s="12">
        <v>7595</v>
      </c>
      <c r="F10" s="4">
        <f>+'Hospodaření str1-2'!J58</f>
        <v>185695</v>
      </c>
      <c r="G10" s="5">
        <v>5770</v>
      </c>
      <c r="H10" s="17">
        <f t="shared" si="0"/>
        <v>4038</v>
      </c>
      <c r="I10" s="2">
        <f t="shared" si="1"/>
        <v>-3557</v>
      </c>
      <c r="J10" s="2">
        <f t="shared" si="2"/>
        <v>-9069</v>
      </c>
      <c r="K10" s="2">
        <f t="shared" si="3"/>
        <v>-14839</v>
      </c>
      <c r="L10" s="3">
        <f t="shared" si="4"/>
        <v>-13107</v>
      </c>
    </row>
    <row r="11" spans="1:12" s="24" customFormat="1" ht="12.75">
      <c r="A11" s="39" t="s">
        <v>37</v>
      </c>
      <c r="B11" s="230">
        <v>225141</v>
      </c>
      <c r="C11" s="5">
        <f>+'Hospodaření str1-2'!F59</f>
        <v>243089</v>
      </c>
      <c r="D11" s="230">
        <v>230179</v>
      </c>
      <c r="E11" s="12">
        <v>9625</v>
      </c>
      <c r="F11" s="4">
        <f>+'Hospodaření str1-2'!J59</f>
        <v>233310</v>
      </c>
      <c r="G11" s="5">
        <v>7311</v>
      </c>
      <c r="H11" s="17">
        <f t="shared" si="0"/>
        <v>5038</v>
      </c>
      <c r="I11" s="2">
        <f t="shared" si="1"/>
        <v>-4587</v>
      </c>
      <c r="J11" s="2">
        <f t="shared" si="2"/>
        <v>-9779</v>
      </c>
      <c r="K11" s="2">
        <f t="shared" si="3"/>
        <v>-17090</v>
      </c>
      <c r="L11" s="3">
        <f t="shared" si="4"/>
        <v>-14817</v>
      </c>
    </row>
    <row r="12" spans="1:12" s="24" customFormat="1" ht="13.5" thickBot="1">
      <c r="A12" s="182" t="s">
        <v>38</v>
      </c>
      <c r="B12" s="239">
        <v>269611</v>
      </c>
      <c r="C12" s="7">
        <f>+'Hospodaření str1-2'!F60</f>
        <v>290003</v>
      </c>
      <c r="D12" s="239">
        <v>274427</v>
      </c>
      <c r="E12" s="62">
        <v>11454</v>
      </c>
      <c r="F12" s="6">
        <f>+'Hospodaření str1-2'!J60</f>
        <v>290060</v>
      </c>
      <c r="G12" s="7">
        <v>9207</v>
      </c>
      <c r="H12" s="115">
        <f t="shared" si="0"/>
        <v>4816</v>
      </c>
      <c r="I12" s="116">
        <f t="shared" si="1"/>
        <v>-6638</v>
      </c>
      <c r="J12" s="116">
        <f t="shared" si="2"/>
        <v>57</v>
      </c>
      <c r="K12" s="116">
        <f t="shared" si="3"/>
        <v>-9150</v>
      </c>
      <c r="L12" s="7">
        <f t="shared" si="4"/>
        <v>-4759</v>
      </c>
    </row>
    <row r="13" spans="1:12" ht="12.75">
      <c r="A13" s="238" t="s">
        <v>39</v>
      </c>
      <c r="B13" s="231">
        <v>315678</v>
      </c>
      <c r="C13" s="30">
        <v>337637</v>
      </c>
      <c r="D13" s="261">
        <v>319816</v>
      </c>
      <c r="E13" s="60">
        <v>13272</v>
      </c>
      <c r="F13" s="9">
        <v>337255</v>
      </c>
      <c r="G13" s="30">
        <v>11192</v>
      </c>
      <c r="H13" s="67">
        <f t="shared" si="0"/>
        <v>4138</v>
      </c>
      <c r="I13" s="229">
        <f t="shared" si="1"/>
        <v>-9134</v>
      </c>
      <c r="J13" s="229">
        <f t="shared" si="2"/>
        <v>-382</v>
      </c>
      <c r="K13" s="229">
        <f t="shared" si="3"/>
        <v>-11574</v>
      </c>
      <c r="L13" s="240">
        <f t="shared" si="4"/>
        <v>-4520</v>
      </c>
    </row>
    <row r="14" spans="1:12" ht="12.75">
      <c r="A14" s="39" t="s">
        <v>40</v>
      </c>
      <c r="B14" s="232">
        <v>360623</v>
      </c>
      <c r="C14" s="28">
        <v>384700</v>
      </c>
      <c r="D14" s="328">
        <v>366611</v>
      </c>
      <c r="E14" s="61">
        <v>15029</v>
      </c>
      <c r="F14" s="8">
        <v>384434</v>
      </c>
      <c r="G14" s="28">
        <v>12672</v>
      </c>
      <c r="H14" s="17">
        <f t="shared" si="0"/>
        <v>5988</v>
      </c>
      <c r="I14" s="2">
        <f t="shared" si="1"/>
        <v>-9041</v>
      </c>
      <c r="J14" s="2">
        <f t="shared" si="2"/>
        <v>-266</v>
      </c>
      <c r="K14" s="2">
        <f t="shared" si="3"/>
        <v>-12938</v>
      </c>
      <c r="L14" s="3">
        <f t="shared" si="4"/>
        <v>-6254</v>
      </c>
    </row>
    <row r="15" spans="1:12" ht="12.75">
      <c r="A15" s="39" t="s">
        <v>41</v>
      </c>
      <c r="B15" s="232">
        <v>406245</v>
      </c>
      <c r="C15" s="28">
        <v>432981</v>
      </c>
      <c r="D15" s="328">
        <v>416566</v>
      </c>
      <c r="E15" s="61">
        <v>16969</v>
      </c>
      <c r="F15" s="8">
        <v>433360</v>
      </c>
      <c r="G15" s="28">
        <v>14181</v>
      </c>
      <c r="H15" s="17">
        <f t="shared" si="0"/>
        <v>10321</v>
      </c>
      <c r="I15" s="2">
        <f t="shared" si="1"/>
        <v>-6648</v>
      </c>
      <c r="J15" s="2">
        <f t="shared" si="2"/>
        <v>379</v>
      </c>
      <c r="K15" s="2">
        <f t="shared" si="3"/>
        <v>-13802</v>
      </c>
      <c r="L15" s="3">
        <f t="shared" si="4"/>
        <v>-9942</v>
      </c>
    </row>
    <row r="16" spans="1:12" ht="12.75">
      <c r="A16" s="41" t="s">
        <v>42</v>
      </c>
      <c r="B16" s="232">
        <v>456527</v>
      </c>
      <c r="C16" s="28">
        <v>482433</v>
      </c>
      <c r="D16" s="328">
        <v>461279</v>
      </c>
      <c r="E16" s="61">
        <v>17116</v>
      </c>
      <c r="F16" s="8">
        <v>484037</v>
      </c>
      <c r="G16" s="28">
        <v>15789</v>
      </c>
      <c r="H16" s="17">
        <f t="shared" si="0"/>
        <v>4752</v>
      </c>
      <c r="I16" s="2">
        <f t="shared" si="1"/>
        <v>-12364</v>
      </c>
      <c r="J16" s="2">
        <f t="shared" si="2"/>
        <v>1604</v>
      </c>
      <c r="K16" s="2">
        <f t="shared" si="3"/>
        <v>-14185</v>
      </c>
      <c r="L16" s="3">
        <f t="shared" si="4"/>
        <v>-3148</v>
      </c>
    </row>
    <row r="17" spans="1:12" ht="12.75">
      <c r="A17" s="39" t="s">
        <v>43</v>
      </c>
      <c r="B17" s="232">
        <v>507557</v>
      </c>
      <c r="C17" s="28">
        <v>532902</v>
      </c>
      <c r="D17" s="328">
        <v>512680</v>
      </c>
      <c r="E17" s="61">
        <v>17330</v>
      </c>
      <c r="F17" s="8">
        <v>532321</v>
      </c>
      <c r="G17" s="28">
        <v>17246</v>
      </c>
      <c r="H17" s="17">
        <f t="shared" si="0"/>
        <v>5123</v>
      </c>
      <c r="I17" s="2">
        <f t="shared" si="1"/>
        <v>-12207</v>
      </c>
      <c r="J17" s="2">
        <f t="shared" si="2"/>
        <v>-581</v>
      </c>
      <c r="K17" s="2">
        <f t="shared" si="3"/>
        <v>-17827</v>
      </c>
      <c r="L17" s="3">
        <f t="shared" si="4"/>
        <v>-5704</v>
      </c>
    </row>
    <row r="18" spans="1:12" ht="13.5" thickBot="1">
      <c r="A18" s="43" t="s">
        <v>44</v>
      </c>
      <c r="B18" s="233">
        <v>556831</v>
      </c>
      <c r="C18" s="7">
        <v>582992</v>
      </c>
      <c r="D18" s="329">
        <v>556912</v>
      </c>
      <c r="E18" s="62">
        <v>17481</v>
      </c>
      <c r="F18" s="6">
        <v>583041</v>
      </c>
      <c r="G18" s="7">
        <v>21782</v>
      </c>
      <c r="H18" s="115">
        <f t="shared" si="0"/>
        <v>81</v>
      </c>
      <c r="I18" s="116">
        <f t="shared" si="1"/>
        <v>-17400</v>
      </c>
      <c r="J18" s="116">
        <f t="shared" si="2"/>
        <v>49</v>
      </c>
      <c r="K18" s="116">
        <f t="shared" si="3"/>
        <v>-21733</v>
      </c>
      <c r="L18" s="7">
        <f t="shared" si="4"/>
        <v>-32</v>
      </c>
    </row>
    <row r="20" spans="1:12" ht="12.75" customHeight="1">
      <c r="A20" s="1523" t="s">
        <v>325</v>
      </c>
      <c r="B20" s="1524"/>
      <c r="C20" s="1524"/>
      <c r="D20" s="1524"/>
      <c r="E20" s="1524"/>
      <c r="F20" s="1524"/>
      <c r="G20" s="1524"/>
      <c r="H20" s="1524"/>
      <c r="I20" s="1524"/>
      <c r="J20" s="1524"/>
      <c r="K20" s="1524"/>
      <c r="L20" s="1525"/>
    </row>
    <row r="21" spans="1:12" ht="12.75">
      <c r="A21" s="1526"/>
      <c r="B21" s="1527"/>
      <c r="C21" s="1527"/>
      <c r="D21" s="1527"/>
      <c r="E21" s="1527"/>
      <c r="F21" s="1527"/>
      <c r="G21" s="1527"/>
      <c r="H21" s="1527"/>
      <c r="I21" s="1527"/>
      <c r="J21" s="1527"/>
      <c r="K21" s="1527"/>
      <c r="L21" s="1528"/>
    </row>
    <row r="22" spans="1:12" ht="12.75">
      <c r="A22" s="1526"/>
      <c r="B22" s="1527"/>
      <c r="C22" s="1527"/>
      <c r="D22" s="1527"/>
      <c r="E22" s="1527"/>
      <c r="F22" s="1527"/>
      <c r="G22" s="1527"/>
      <c r="H22" s="1527"/>
      <c r="I22" s="1527"/>
      <c r="J22" s="1527"/>
      <c r="K22" s="1527"/>
      <c r="L22" s="1528"/>
    </row>
    <row r="23" spans="1:12" ht="23.25" customHeight="1">
      <c r="A23" s="1529"/>
      <c r="B23" s="1530"/>
      <c r="C23" s="1530"/>
      <c r="D23" s="1530"/>
      <c r="E23" s="1530"/>
      <c r="F23" s="1530"/>
      <c r="G23" s="1530"/>
      <c r="H23" s="1530"/>
      <c r="I23" s="1530"/>
      <c r="J23" s="1530"/>
      <c r="K23" s="1530"/>
      <c r="L23" s="1531"/>
    </row>
    <row r="24" spans="1:11" ht="9.75" customHeight="1">
      <c r="A24" s="54"/>
      <c r="B24" s="54"/>
      <c r="C24" s="54"/>
      <c r="D24" s="54"/>
      <c r="E24" s="54"/>
      <c r="F24" s="54"/>
      <c r="G24" s="54"/>
      <c r="H24" s="54"/>
      <c r="I24" s="54"/>
      <c r="J24" s="54"/>
      <c r="K24" s="54"/>
    </row>
    <row r="25" spans="1:12" ht="16.5" thickBot="1">
      <c r="A25" s="16" t="s">
        <v>55</v>
      </c>
      <c r="L25" s="167" t="s">
        <v>116</v>
      </c>
    </row>
    <row r="26" spans="1:12" ht="19.5" customHeight="1">
      <c r="A26" s="1558" t="s">
        <v>28</v>
      </c>
      <c r="B26" s="1560" t="s">
        <v>29</v>
      </c>
      <c r="C26" s="1562" t="s">
        <v>30</v>
      </c>
      <c r="D26" s="1562" t="s">
        <v>31</v>
      </c>
      <c r="E26" s="1592" t="s">
        <v>24</v>
      </c>
      <c r="F26" s="1256" t="s">
        <v>45</v>
      </c>
      <c r="G26" s="1257"/>
      <c r="H26" s="1257"/>
      <c r="I26" s="1257"/>
      <c r="J26" s="1257"/>
      <c r="K26" s="1257"/>
      <c r="L26" s="1247" t="s">
        <v>12</v>
      </c>
    </row>
    <row r="27" spans="1:12" s="24" customFormat="1" ht="24" customHeight="1" thickBot="1">
      <c r="A27" s="1559"/>
      <c r="B27" s="1610"/>
      <c r="C27" s="1609" t="s">
        <v>30</v>
      </c>
      <c r="D27" s="1609" t="s">
        <v>31</v>
      </c>
      <c r="E27" s="1593" t="s">
        <v>24</v>
      </c>
      <c r="F27" s="65" t="s">
        <v>46</v>
      </c>
      <c r="G27" s="70" t="s">
        <v>47</v>
      </c>
      <c r="H27" s="70" t="s">
        <v>48</v>
      </c>
      <c r="I27" s="70" t="s">
        <v>49</v>
      </c>
      <c r="J27" s="70" t="s">
        <v>50</v>
      </c>
      <c r="K27" s="157" t="s">
        <v>24</v>
      </c>
      <c r="L27" s="1594"/>
    </row>
    <row r="28" spans="1:12" ht="12.75">
      <c r="A28" s="203">
        <v>37986</v>
      </c>
      <c r="B28" s="204">
        <v>18484</v>
      </c>
      <c r="C28" s="189">
        <v>0</v>
      </c>
      <c r="D28" s="189">
        <v>0</v>
      </c>
      <c r="E28" s="190">
        <f>SUM(B28:D28)</f>
        <v>18484</v>
      </c>
      <c r="F28" s="188">
        <v>-41</v>
      </c>
      <c r="G28" s="189">
        <v>-1</v>
      </c>
      <c r="H28" s="189">
        <v>0</v>
      </c>
      <c r="I28" s="189">
        <v>0</v>
      </c>
      <c r="J28" s="189">
        <v>-3</v>
      </c>
      <c r="K28" s="207">
        <f>SUM(F28:J28)</f>
        <v>-45</v>
      </c>
      <c r="L28" s="193">
        <v>103</v>
      </c>
    </row>
    <row r="29" spans="1:12" ht="12.75">
      <c r="A29" s="302">
        <v>38352</v>
      </c>
      <c r="B29" s="317">
        <v>22848</v>
      </c>
      <c r="C29" s="318">
        <v>0</v>
      </c>
      <c r="D29" s="318">
        <v>0</v>
      </c>
      <c r="E29" s="304">
        <v>22848</v>
      </c>
      <c r="F29" s="319">
        <v>49</v>
      </c>
      <c r="G29" s="318">
        <v>0</v>
      </c>
      <c r="H29" s="318">
        <v>0</v>
      </c>
      <c r="I29" s="318">
        <v>0</v>
      </c>
      <c r="J29" s="318">
        <v>-3</v>
      </c>
      <c r="K29" s="307">
        <v>46</v>
      </c>
      <c r="L29" s="308">
        <v>0</v>
      </c>
    </row>
    <row r="30" spans="1:12" ht="13.5" thickBot="1">
      <c r="A30" s="330">
        <v>38717</v>
      </c>
      <c r="B30" s="331">
        <v>25079</v>
      </c>
      <c r="C30" s="332"/>
      <c r="D30" s="332"/>
      <c r="E30" s="333">
        <f>SUM(B30:D30)</f>
        <v>25079</v>
      </c>
      <c r="F30" s="334">
        <v>1877</v>
      </c>
      <c r="G30" s="332"/>
      <c r="H30" s="332"/>
      <c r="I30" s="332"/>
      <c r="J30" s="332">
        <v>-3</v>
      </c>
      <c r="K30" s="335">
        <f>SUM(F30:J30)</f>
        <v>1874</v>
      </c>
      <c r="L30" s="336">
        <v>0</v>
      </c>
    </row>
    <row r="31" spans="1:12" ht="12.75">
      <c r="A31" s="238">
        <v>38748</v>
      </c>
      <c r="B31" s="288">
        <v>32598</v>
      </c>
      <c r="C31" s="286">
        <v>0</v>
      </c>
      <c r="D31" s="286">
        <v>0</v>
      </c>
      <c r="E31" s="287">
        <f aca="true" t="shared" si="5" ref="E31:E42">SUM(B31:D31)</f>
        <v>32598</v>
      </c>
      <c r="F31" s="285">
        <v>9042</v>
      </c>
      <c r="G31" s="286">
        <v>-9</v>
      </c>
      <c r="H31" s="286"/>
      <c r="I31" s="286"/>
      <c r="J31" s="286">
        <v>-3</v>
      </c>
      <c r="K31" s="337">
        <f aca="true" t="shared" si="6" ref="K31:K42">SUM(F31:J31)</f>
        <v>9030</v>
      </c>
      <c r="L31" s="338">
        <v>0</v>
      </c>
    </row>
    <row r="32" spans="1:12" ht="12.75">
      <c r="A32" s="39">
        <v>38776</v>
      </c>
      <c r="B32" s="40">
        <v>29967</v>
      </c>
      <c r="C32" s="34"/>
      <c r="D32" s="69"/>
      <c r="E32" s="71">
        <f t="shared" si="5"/>
        <v>29967</v>
      </c>
      <c r="F32" s="46">
        <v>2767</v>
      </c>
      <c r="G32" s="34">
        <v>43</v>
      </c>
      <c r="H32" s="34"/>
      <c r="I32" s="34"/>
      <c r="J32" s="34">
        <v>-3</v>
      </c>
      <c r="K32" s="77">
        <f t="shared" si="6"/>
        <v>2807</v>
      </c>
      <c r="L32" s="214">
        <v>0</v>
      </c>
    </row>
    <row r="33" spans="1:12" ht="12.75">
      <c r="A33" s="39">
        <v>38807</v>
      </c>
      <c r="B33" s="40">
        <v>31438</v>
      </c>
      <c r="C33" s="34"/>
      <c r="D33" s="34"/>
      <c r="E33" s="71">
        <f t="shared" si="5"/>
        <v>31438</v>
      </c>
      <c r="F33" s="46">
        <v>2727</v>
      </c>
      <c r="G33" s="34">
        <v>-17</v>
      </c>
      <c r="H33" s="34"/>
      <c r="I33" s="34"/>
      <c r="J33" s="34">
        <v>-3</v>
      </c>
      <c r="K33" s="77">
        <f t="shared" si="6"/>
        <v>2707</v>
      </c>
      <c r="L33" s="82">
        <v>0</v>
      </c>
    </row>
    <row r="34" spans="1:12" ht="12.75">
      <c r="A34" s="39">
        <v>38837</v>
      </c>
      <c r="B34" s="40">
        <v>30340</v>
      </c>
      <c r="C34" s="34"/>
      <c r="D34" s="34"/>
      <c r="E34" s="71">
        <f t="shared" si="5"/>
        <v>30340</v>
      </c>
      <c r="F34" s="46">
        <v>665</v>
      </c>
      <c r="G34" s="34">
        <v>7</v>
      </c>
      <c r="H34" s="34"/>
      <c r="I34" s="34"/>
      <c r="J34" s="34">
        <v>-3</v>
      </c>
      <c r="K34" s="77">
        <f t="shared" si="6"/>
        <v>669</v>
      </c>
      <c r="L34" s="214">
        <v>0</v>
      </c>
    </row>
    <row r="35" spans="1:12" ht="12.75">
      <c r="A35" s="39">
        <v>38868</v>
      </c>
      <c r="B35" s="40">
        <v>27012</v>
      </c>
      <c r="C35" s="34"/>
      <c r="D35" s="34"/>
      <c r="E35" s="71">
        <f t="shared" si="5"/>
        <v>27012</v>
      </c>
      <c r="F35" s="46">
        <v>63</v>
      </c>
      <c r="G35" s="34">
        <v>24</v>
      </c>
      <c r="H35" s="34"/>
      <c r="I35" s="34"/>
      <c r="J35" s="34">
        <v>-3</v>
      </c>
      <c r="K35" s="77">
        <f t="shared" si="6"/>
        <v>84</v>
      </c>
      <c r="L35" s="214">
        <v>0</v>
      </c>
    </row>
    <row r="36" spans="1:12" ht="13.5" thickBot="1">
      <c r="A36" s="182">
        <v>38898</v>
      </c>
      <c r="B36" s="186">
        <v>28388</v>
      </c>
      <c r="C36" s="185"/>
      <c r="D36" s="185">
        <v>2584</v>
      </c>
      <c r="E36" s="72">
        <f t="shared" si="5"/>
        <v>30972</v>
      </c>
      <c r="F36" s="184">
        <v>3</v>
      </c>
      <c r="G36" s="185"/>
      <c r="H36" s="185">
        <v>24</v>
      </c>
      <c r="I36" s="185"/>
      <c r="J36" s="185">
        <v>-3</v>
      </c>
      <c r="K36" s="78">
        <f t="shared" si="6"/>
        <v>24</v>
      </c>
      <c r="L36" s="215">
        <v>0</v>
      </c>
    </row>
    <row r="37" spans="1:12" ht="12.75">
      <c r="A37" s="37">
        <v>38929</v>
      </c>
      <c r="B37" s="46">
        <v>28791</v>
      </c>
      <c r="C37" s="34"/>
      <c r="D37" s="34">
        <v>2584</v>
      </c>
      <c r="E37" s="71">
        <f t="shared" si="5"/>
        <v>31375</v>
      </c>
      <c r="F37" s="46">
        <v>16</v>
      </c>
      <c r="G37" s="34"/>
      <c r="H37" s="34">
        <v>24</v>
      </c>
      <c r="I37" s="34"/>
      <c r="J37" s="34">
        <v>-3</v>
      </c>
      <c r="K37" s="77">
        <f t="shared" si="6"/>
        <v>37</v>
      </c>
      <c r="L37" s="244">
        <f>+E37-E18-L18</f>
        <v>13926</v>
      </c>
    </row>
    <row r="38" spans="1:12" ht="12.75">
      <c r="A38" s="39">
        <v>38960</v>
      </c>
      <c r="B38" s="40">
        <v>30510</v>
      </c>
      <c r="C38" s="34"/>
      <c r="D38" s="34">
        <v>2584</v>
      </c>
      <c r="E38" s="71">
        <f t="shared" si="5"/>
        <v>33094</v>
      </c>
      <c r="F38" s="46">
        <v>76</v>
      </c>
      <c r="G38" s="34">
        <v>-6</v>
      </c>
      <c r="H38" s="34">
        <v>24</v>
      </c>
      <c r="I38" s="34"/>
      <c r="J38" s="34">
        <v>-3</v>
      </c>
      <c r="K38" s="77">
        <f t="shared" si="6"/>
        <v>91</v>
      </c>
      <c r="L38" s="214">
        <v>0</v>
      </c>
    </row>
    <row r="39" spans="1:12" ht="12.75">
      <c r="A39" s="37">
        <v>38990</v>
      </c>
      <c r="B39" s="40">
        <v>32803</v>
      </c>
      <c r="C39" s="34"/>
      <c r="D39" s="34">
        <v>2584</v>
      </c>
      <c r="E39" s="71">
        <f t="shared" si="5"/>
        <v>35387</v>
      </c>
      <c r="F39" s="46">
        <v>56</v>
      </c>
      <c r="G39" s="34">
        <v>-8</v>
      </c>
      <c r="H39" s="34">
        <v>24</v>
      </c>
      <c r="I39" s="34"/>
      <c r="J39" s="34">
        <v>-3</v>
      </c>
      <c r="K39" s="77">
        <f t="shared" si="6"/>
        <v>69</v>
      </c>
      <c r="L39" s="214">
        <v>0</v>
      </c>
    </row>
    <row r="40" spans="1:12" ht="12.75">
      <c r="A40" s="39">
        <v>39021</v>
      </c>
      <c r="B40" s="40">
        <v>33965</v>
      </c>
      <c r="C40" s="34"/>
      <c r="D40" s="34">
        <v>2584</v>
      </c>
      <c r="E40" s="71">
        <f t="shared" si="5"/>
        <v>36549</v>
      </c>
      <c r="F40" s="46">
        <v>149</v>
      </c>
      <c r="G40" s="34"/>
      <c r="H40" s="34">
        <v>-8</v>
      </c>
      <c r="I40" s="34"/>
      <c r="J40" s="34">
        <v>-3</v>
      </c>
      <c r="K40" s="77">
        <f t="shared" si="6"/>
        <v>138</v>
      </c>
      <c r="L40" s="214">
        <v>0</v>
      </c>
    </row>
    <row r="41" spans="1:12" ht="12.75">
      <c r="A41" s="37">
        <v>39051</v>
      </c>
      <c r="B41" s="40">
        <v>37983</v>
      </c>
      <c r="C41" s="34"/>
      <c r="D41" s="34"/>
      <c r="E41" s="71">
        <f t="shared" si="5"/>
        <v>37983</v>
      </c>
      <c r="F41" s="46">
        <v>110</v>
      </c>
      <c r="G41" s="34">
        <v>28</v>
      </c>
      <c r="H41" s="34"/>
      <c r="I41" s="34"/>
      <c r="J41" s="34">
        <v>-3</v>
      </c>
      <c r="K41" s="77">
        <f t="shared" si="6"/>
        <v>135</v>
      </c>
      <c r="L41" s="214">
        <v>0</v>
      </c>
    </row>
    <row r="42" spans="1:12" ht="13.5" thickBot="1">
      <c r="A42" s="182">
        <v>39082</v>
      </c>
      <c r="B42" s="186">
        <v>28903</v>
      </c>
      <c r="C42" s="185"/>
      <c r="D42" s="185"/>
      <c r="E42" s="194">
        <f t="shared" si="5"/>
        <v>28903</v>
      </c>
      <c r="F42" s="184">
        <v>287</v>
      </c>
      <c r="G42" s="185">
        <v>21</v>
      </c>
      <c r="H42" s="185"/>
      <c r="I42" s="185"/>
      <c r="J42" s="185">
        <v>-3</v>
      </c>
      <c r="K42" s="78">
        <f t="shared" si="6"/>
        <v>305</v>
      </c>
      <c r="L42" s="215">
        <v>0</v>
      </c>
    </row>
    <row r="43" spans="1:12" ht="7.5" customHeight="1">
      <c r="A43" s="83"/>
      <c r="B43" s="56"/>
      <c r="C43" s="56"/>
      <c r="D43" s="56"/>
      <c r="E43" s="79"/>
      <c r="F43" s="56"/>
      <c r="G43" s="56"/>
      <c r="H43" s="56"/>
      <c r="I43" s="56"/>
      <c r="J43" s="56"/>
      <c r="K43" s="80"/>
      <c r="L43" s="81"/>
    </row>
    <row r="44" spans="1:12" ht="16.5" thickBot="1">
      <c r="A44" s="16" t="s">
        <v>56</v>
      </c>
      <c r="L44" s="167" t="s">
        <v>116</v>
      </c>
    </row>
    <row r="45" spans="1:12" ht="32.25" customHeight="1">
      <c r="A45" s="1713" t="s">
        <v>28</v>
      </c>
      <c r="B45" s="1715" t="s">
        <v>51</v>
      </c>
      <c r="C45" s="1562" t="s">
        <v>52</v>
      </c>
      <c r="D45" s="1562" t="s">
        <v>53</v>
      </c>
      <c r="E45" s="1592" t="s">
        <v>24</v>
      </c>
      <c r="F45" s="1256" t="s">
        <v>45</v>
      </c>
      <c r="G45" s="1257"/>
      <c r="H45" s="1257"/>
      <c r="I45" s="1257"/>
      <c r="J45" s="1257"/>
      <c r="K45" s="1257"/>
      <c r="L45" s="1280" t="s">
        <v>139</v>
      </c>
    </row>
    <row r="46" spans="1:12" ht="24" customHeight="1" thickBot="1">
      <c r="A46" s="1733"/>
      <c r="B46" s="1727"/>
      <c r="C46" s="1609" t="s">
        <v>30</v>
      </c>
      <c r="D46" s="1609" t="s">
        <v>31</v>
      </c>
      <c r="E46" s="1593" t="s">
        <v>24</v>
      </c>
      <c r="F46" s="65" t="s">
        <v>46</v>
      </c>
      <c r="G46" s="70" t="s">
        <v>47</v>
      </c>
      <c r="H46" s="70" t="s">
        <v>48</v>
      </c>
      <c r="I46" s="70" t="s">
        <v>49</v>
      </c>
      <c r="J46" s="70" t="s">
        <v>50</v>
      </c>
      <c r="K46" s="157" t="s">
        <v>24</v>
      </c>
      <c r="L46" s="1281"/>
    </row>
    <row r="47" spans="1:12" ht="12.75">
      <c r="A47" s="187">
        <v>37986</v>
      </c>
      <c r="B47" s="188">
        <v>61632</v>
      </c>
      <c r="C47" s="189">
        <v>1597</v>
      </c>
      <c r="D47" s="189">
        <v>201</v>
      </c>
      <c r="E47" s="190">
        <f>SUM(B47:D47)</f>
        <v>63430</v>
      </c>
      <c r="F47" s="188">
        <v>6632</v>
      </c>
      <c r="G47" s="189">
        <v>1175</v>
      </c>
      <c r="H47" s="189">
        <v>811</v>
      </c>
      <c r="I47" s="189">
        <v>1023</v>
      </c>
      <c r="J47" s="189">
        <v>173</v>
      </c>
      <c r="K47" s="207">
        <f>SUM(F47:J47)</f>
        <v>9814</v>
      </c>
      <c r="L47" s="193">
        <f aca="true" t="shared" si="7" ref="L47:L60">+E47-E28-L28</f>
        <v>44843</v>
      </c>
    </row>
    <row r="48" spans="1:12" ht="12.75">
      <c r="A48" s="316">
        <v>38352</v>
      </c>
      <c r="B48" s="319">
        <v>83251</v>
      </c>
      <c r="C48" s="318">
        <v>117</v>
      </c>
      <c r="D48" s="318">
        <v>64</v>
      </c>
      <c r="E48" s="304">
        <v>83432</v>
      </c>
      <c r="F48" s="319">
        <v>17754</v>
      </c>
      <c r="G48" s="318">
        <v>1263</v>
      </c>
      <c r="H48" s="318">
        <v>938</v>
      </c>
      <c r="I48" s="318">
        <v>201</v>
      </c>
      <c r="J48" s="318">
        <v>268</v>
      </c>
      <c r="K48" s="307">
        <v>20424</v>
      </c>
      <c r="L48" s="308">
        <f t="shared" si="7"/>
        <v>60584</v>
      </c>
    </row>
    <row r="49" spans="1:12" ht="13.5" thickBot="1">
      <c r="A49" s="325">
        <v>38717</v>
      </c>
      <c r="B49" s="315">
        <v>85875</v>
      </c>
      <c r="C49" s="313">
        <v>190</v>
      </c>
      <c r="D49" s="313">
        <v>161</v>
      </c>
      <c r="E49" s="314">
        <f>SUM(B49:D49)</f>
        <v>86226</v>
      </c>
      <c r="F49" s="315">
        <v>23179</v>
      </c>
      <c r="G49" s="313">
        <v>1385</v>
      </c>
      <c r="H49" s="313">
        <v>1560</v>
      </c>
      <c r="I49" s="313">
        <v>822</v>
      </c>
      <c r="J49" s="313">
        <v>339</v>
      </c>
      <c r="K49" s="327">
        <f>SUM(F49:J49)</f>
        <v>27285</v>
      </c>
      <c r="L49" s="311">
        <f t="shared" si="7"/>
        <v>61147</v>
      </c>
    </row>
    <row r="50" spans="1:12" ht="12.75">
      <c r="A50" s="37">
        <v>38748</v>
      </c>
      <c r="B50" s="50">
        <v>91675</v>
      </c>
      <c r="C50" s="33">
        <v>183</v>
      </c>
      <c r="D50" s="33">
        <v>207</v>
      </c>
      <c r="E50" s="71">
        <f aca="true" t="shared" si="8" ref="E50:E61">SUM(B50:D50)</f>
        <v>92065</v>
      </c>
      <c r="F50" s="50">
        <v>28539</v>
      </c>
      <c r="G50" s="33">
        <v>1093</v>
      </c>
      <c r="H50" s="33">
        <v>1404</v>
      </c>
      <c r="I50" s="33">
        <v>1113</v>
      </c>
      <c r="J50" s="33">
        <v>353</v>
      </c>
      <c r="K50" s="76">
        <f aca="true" t="shared" si="9" ref="K50:K61">SUM(F50:J50)</f>
        <v>32502</v>
      </c>
      <c r="L50" s="159">
        <f t="shared" si="7"/>
        <v>59467</v>
      </c>
    </row>
    <row r="51" spans="1:12" ht="12.75">
      <c r="A51" s="39">
        <v>38776</v>
      </c>
      <c r="B51" s="46">
        <v>102375</v>
      </c>
      <c r="C51" s="34">
        <v>180</v>
      </c>
      <c r="D51" s="154">
        <v>233</v>
      </c>
      <c r="E51" s="71">
        <f t="shared" si="8"/>
        <v>102788</v>
      </c>
      <c r="F51" s="46">
        <v>39004</v>
      </c>
      <c r="G51" s="34">
        <v>1215</v>
      </c>
      <c r="H51" s="34">
        <v>1397</v>
      </c>
      <c r="I51" s="34">
        <v>1124</v>
      </c>
      <c r="J51" s="34">
        <v>407</v>
      </c>
      <c r="K51" s="77">
        <f t="shared" si="9"/>
        <v>43147</v>
      </c>
      <c r="L51" s="159">
        <f t="shared" si="7"/>
        <v>72821</v>
      </c>
    </row>
    <row r="52" spans="1:12" ht="12.75">
      <c r="A52" s="39">
        <v>38807</v>
      </c>
      <c r="B52" s="46">
        <v>91999</v>
      </c>
      <c r="C52" s="34">
        <v>206</v>
      </c>
      <c r="D52" s="34">
        <v>241</v>
      </c>
      <c r="E52" s="71">
        <f t="shared" si="8"/>
        <v>92446</v>
      </c>
      <c r="F52" s="46">
        <v>26983</v>
      </c>
      <c r="G52" s="34">
        <v>2257</v>
      </c>
      <c r="H52" s="34">
        <v>1293</v>
      </c>
      <c r="I52" s="34">
        <v>613</v>
      </c>
      <c r="J52" s="34">
        <v>469</v>
      </c>
      <c r="K52" s="77">
        <f t="shared" si="9"/>
        <v>31615</v>
      </c>
      <c r="L52" s="159">
        <f t="shared" si="7"/>
        <v>61008</v>
      </c>
    </row>
    <row r="53" spans="1:12" ht="12.75">
      <c r="A53" s="39">
        <v>38837</v>
      </c>
      <c r="B53" s="46">
        <v>78314</v>
      </c>
      <c r="C53" s="34">
        <v>198</v>
      </c>
      <c r="D53" s="34">
        <v>219</v>
      </c>
      <c r="E53" s="71">
        <f t="shared" si="8"/>
        <v>78731</v>
      </c>
      <c r="F53" s="46">
        <v>14923</v>
      </c>
      <c r="G53" s="34">
        <v>1221</v>
      </c>
      <c r="H53" s="34">
        <v>710</v>
      </c>
      <c r="I53" s="34">
        <v>521</v>
      </c>
      <c r="J53" s="34">
        <v>409</v>
      </c>
      <c r="K53" s="77">
        <f t="shared" si="9"/>
        <v>17784</v>
      </c>
      <c r="L53" s="159">
        <f t="shared" si="7"/>
        <v>48391</v>
      </c>
    </row>
    <row r="54" spans="1:12" ht="12.75">
      <c r="A54" s="39">
        <v>38868</v>
      </c>
      <c r="B54" s="46">
        <v>78407</v>
      </c>
      <c r="C54" s="34">
        <v>200</v>
      </c>
      <c r="D54" s="34">
        <v>252</v>
      </c>
      <c r="E54" s="71">
        <f t="shared" si="8"/>
        <v>78859</v>
      </c>
      <c r="F54" s="46">
        <v>15402</v>
      </c>
      <c r="G54" s="34">
        <v>-286</v>
      </c>
      <c r="H54" s="34">
        <v>740</v>
      </c>
      <c r="I54" s="34">
        <v>329</v>
      </c>
      <c r="J54" s="34">
        <v>457</v>
      </c>
      <c r="K54" s="77">
        <f t="shared" si="9"/>
        <v>16642</v>
      </c>
      <c r="L54" s="159">
        <f t="shared" si="7"/>
        <v>51847</v>
      </c>
    </row>
    <row r="55" spans="1:12" ht="13.5" thickBot="1">
      <c r="A55" s="182">
        <v>38898</v>
      </c>
      <c r="B55" s="184">
        <v>75296</v>
      </c>
      <c r="C55" s="185">
        <v>776</v>
      </c>
      <c r="D55" s="185">
        <v>185</v>
      </c>
      <c r="E55" s="72">
        <f t="shared" si="8"/>
        <v>76257</v>
      </c>
      <c r="F55" s="184">
        <v>11274</v>
      </c>
      <c r="G55" s="185">
        <v>-284</v>
      </c>
      <c r="H55" s="185">
        <v>512</v>
      </c>
      <c r="I55" s="185">
        <v>263</v>
      </c>
      <c r="J55" s="185">
        <v>497</v>
      </c>
      <c r="K55" s="78">
        <f t="shared" si="9"/>
        <v>12262</v>
      </c>
      <c r="L55" s="168">
        <f t="shared" si="7"/>
        <v>45285</v>
      </c>
    </row>
    <row r="56" spans="1:12" ht="12.75">
      <c r="A56" s="37">
        <v>38929</v>
      </c>
      <c r="B56" s="46">
        <v>79455</v>
      </c>
      <c r="C56" s="34">
        <v>219</v>
      </c>
      <c r="D56" s="34">
        <v>259</v>
      </c>
      <c r="E56" s="71">
        <f t="shared" si="8"/>
        <v>79933</v>
      </c>
      <c r="F56" s="46">
        <v>17911</v>
      </c>
      <c r="G56" s="34">
        <v>540</v>
      </c>
      <c r="H56" s="34">
        <v>-754</v>
      </c>
      <c r="I56" s="34">
        <v>593</v>
      </c>
      <c r="J56" s="34">
        <v>561</v>
      </c>
      <c r="K56" s="77">
        <f t="shared" si="9"/>
        <v>18851</v>
      </c>
      <c r="L56" s="244">
        <f t="shared" si="7"/>
        <v>34632</v>
      </c>
    </row>
    <row r="57" spans="1:12" ht="12.75">
      <c r="A57" s="39">
        <v>38960</v>
      </c>
      <c r="B57" s="46">
        <v>71663</v>
      </c>
      <c r="C57" s="34">
        <v>181</v>
      </c>
      <c r="D57" s="34">
        <v>1081</v>
      </c>
      <c r="E57" s="71">
        <f t="shared" si="8"/>
        <v>72925</v>
      </c>
      <c r="F57" s="46">
        <v>10614</v>
      </c>
      <c r="G57" s="34">
        <v>1206</v>
      </c>
      <c r="H57" s="34">
        <v>-1952</v>
      </c>
      <c r="I57" s="34">
        <v>637</v>
      </c>
      <c r="J57" s="34">
        <v>628</v>
      </c>
      <c r="K57" s="77">
        <f t="shared" si="9"/>
        <v>11133</v>
      </c>
      <c r="L57" s="159">
        <f t="shared" si="7"/>
        <v>39831</v>
      </c>
    </row>
    <row r="58" spans="1:12" ht="12.75">
      <c r="A58" s="39">
        <v>38990</v>
      </c>
      <c r="B58" s="46">
        <v>79763</v>
      </c>
      <c r="C58" s="34">
        <v>198</v>
      </c>
      <c r="D58" s="34">
        <v>996</v>
      </c>
      <c r="E58" s="71">
        <f t="shared" si="8"/>
        <v>80957</v>
      </c>
      <c r="F58" s="46">
        <v>18931</v>
      </c>
      <c r="G58" s="34">
        <v>844</v>
      </c>
      <c r="H58" s="34">
        <v>-1211</v>
      </c>
      <c r="I58" s="34">
        <v>567</v>
      </c>
      <c r="J58" s="34">
        <v>635</v>
      </c>
      <c r="K58" s="77">
        <f t="shared" si="9"/>
        <v>19766</v>
      </c>
      <c r="L58" s="159">
        <f t="shared" si="7"/>
        <v>45570</v>
      </c>
    </row>
    <row r="59" spans="1:12" ht="12.75">
      <c r="A59" s="39">
        <v>39021</v>
      </c>
      <c r="B59" s="46">
        <v>74642</v>
      </c>
      <c r="C59" s="34">
        <v>197</v>
      </c>
      <c r="D59" s="34">
        <v>924</v>
      </c>
      <c r="E59" s="71">
        <f t="shared" si="8"/>
        <v>75763</v>
      </c>
      <c r="F59" s="46">
        <v>8691</v>
      </c>
      <c r="G59" s="34">
        <v>921</v>
      </c>
      <c r="H59" s="34">
        <v>258</v>
      </c>
      <c r="I59" s="34">
        <v>-243</v>
      </c>
      <c r="J59" s="34">
        <v>622</v>
      </c>
      <c r="K59" s="77">
        <f t="shared" si="9"/>
        <v>10249</v>
      </c>
      <c r="L59" s="159">
        <f t="shared" si="7"/>
        <v>39214</v>
      </c>
    </row>
    <row r="60" spans="1:12" ht="12.75">
      <c r="A60" s="37">
        <v>39051</v>
      </c>
      <c r="B60" s="46">
        <v>73337</v>
      </c>
      <c r="C60" s="34">
        <v>232</v>
      </c>
      <c r="D60" s="34">
        <v>631</v>
      </c>
      <c r="E60" s="71">
        <f t="shared" si="8"/>
        <v>74200</v>
      </c>
      <c r="F60" s="46">
        <v>12290</v>
      </c>
      <c r="G60" s="34">
        <v>507</v>
      </c>
      <c r="H60" s="34">
        <v>46</v>
      </c>
      <c r="I60" s="34">
        <v>588</v>
      </c>
      <c r="J60" s="34">
        <v>633</v>
      </c>
      <c r="K60" s="77">
        <f t="shared" si="9"/>
        <v>14064</v>
      </c>
      <c r="L60" s="159">
        <f t="shared" si="7"/>
        <v>36217</v>
      </c>
    </row>
    <row r="61" spans="1:12" ht="13.5" thickBot="1">
      <c r="A61" s="182">
        <v>39082</v>
      </c>
      <c r="B61" s="184">
        <v>61868</v>
      </c>
      <c r="C61" s="185">
        <v>173</v>
      </c>
      <c r="D61" s="185">
        <v>254</v>
      </c>
      <c r="E61" s="194">
        <f t="shared" si="8"/>
        <v>62295</v>
      </c>
      <c r="F61" s="184">
        <v>-748</v>
      </c>
      <c r="G61" s="185">
        <v>518</v>
      </c>
      <c r="H61" s="185">
        <v>-14</v>
      </c>
      <c r="I61" s="185">
        <v>67</v>
      </c>
      <c r="J61" s="185">
        <v>683</v>
      </c>
      <c r="K61" s="78">
        <f t="shared" si="9"/>
        <v>506</v>
      </c>
      <c r="L61" s="168">
        <f>+E61-E42-L42</f>
        <v>33392</v>
      </c>
    </row>
    <row r="63" spans="1:12" ht="12.75" customHeight="1">
      <c r="A63" s="1523" t="s">
        <v>326</v>
      </c>
      <c r="B63" s="1612"/>
      <c r="C63" s="1612"/>
      <c r="D63" s="1612"/>
      <c r="E63" s="1612"/>
      <c r="F63" s="1612"/>
      <c r="G63" s="1612"/>
      <c r="H63" s="1612"/>
      <c r="I63" s="1612"/>
      <c r="J63" s="1612"/>
      <c r="K63" s="1612"/>
      <c r="L63" s="1613"/>
    </row>
    <row r="64" spans="1:12" ht="12.75">
      <c r="A64" s="1614"/>
      <c r="B64" s="1615"/>
      <c r="C64" s="1615"/>
      <c r="D64" s="1615"/>
      <c r="E64" s="1615"/>
      <c r="F64" s="1615"/>
      <c r="G64" s="1615"/>
      <c r="H64" s="1615"/>
      <c r="I64" s="1615"/>
      <c r="J64" s="1615"/>
      <c r="K64" s="1615"/>
      <c r="L64" s="1616"/>
    </row>
    <row r="65" spans="1:12" ht="12.75">
      <c r="A65" s="1617"/>
      <c r="B65" s="1618"/>
      <c r="C65" s="1618"/>
      <c r="D65" s="1618"/>
      <c r="E65" s="1618"/>
      <c r="F65" s="1618"/>
      <c r="G65" s="1618"/>
      <c r="H65" s="1618"/>
      <c r="I65" s="1618"/>
      <c r="J65" s="1618"/>
      <c r="K65" s="1618"/>
      <c r="L65" s="1619"/>
    </row>
    <row r="67" ht="3" customHeight="1"/>
    <row r="68" ht="16.5" thickBot="1">
      <c r="A68" s="16" t="s">
        <v>68</v>
      </c>
    </row>
    <row r="69" spans="1:12" ht="13.5" customHeight="1">
      <c r="A69" s="1427" t="s">
        <v>13</v>
      </c>
      <c r="B69" s="1428"/>
      <c r="C69" s="1429"/>
      <c r="D69" s="1386" t="s">
        <v>27</v>
      </c>
      <c r="E69" s="1386"/>
      <c r="F69" s="1387"/>
      <c r="G69" s="1386" t="s">
        <v>137</v>
      </c>
      <c r="H69" s="1386"/>
      <c r="I69" s="1387"/>
      <c r="J69" s="1386" t="s">
        <v>248</v>
      </c>
      <c r="K69" s="1386"/>
      <c r="L69" s="1387"/>
    </row>
    <row r="70" spans="1:12" ht="28.5" customHeight="1" thickBot="1">
      <c r="A70" s="1430"/>
      <c r="B70" s="1431"/>
      <c r="C70" s="1266"/>
      <c r="D70" s="87" t="s">
        <v>65</v>
      </c>
      <c r="E70" s="87" t="s">
        <v>66</v>
      </c>
      <c r="F70" s="88" t="s">
        <v>67</v>
      </c>
      <c r="G70" s="87" t="s">
        <v>65</v>
      </c>
      <c r="H70" s="87" t="s">
        <v>66</v>
      </c>
      <c r="I70" s="88" t="s">
        <v>67</v>
      </c>
      <c r="J70" s="87" t="s">
        <v>65</v>
      </c>
      <c r="K70" s="87" t="s">
        <v>66</v>
      </c>
      <c r="L70" s="88" t="s">
        <v>67</v>
      </c>
    </row>
    <row r="71" spans="1:12" ht="20.25" customHeight="1">
      <c r="A71" s="1450" t="s">
        <v>62</v>
      </c>
      <c r="B71" s="1336"/>
      <c r="C71" s="1440"/>
      <c r="D71" s="196">
        <v>124.07</v>
      </c>
      <c r="E71" s="130">
        <v>54139056</v>
      </c>
      <c r="F71" s="89">
        <f aca="true" t="shared" si="10" ref="F71:F81">+IF(D71&gt;0,E71/D71/12,"")</f>
        <v>36363.24655436447</v>
      </c>
      <c r="G71" s="196">
        <v>124.87</v>
      </c>
      <c r="H71" s="130">
        <v>58005724</v>
      </c>
      <c r="I71" s="89">
        <f aca="true" t="shared" si="11" ref="I71:I81">+IF(G71&gt;0,H71/G71/12,"")</f>
        <v>38710.74183817837</v>
      </c>
      <c r="J71" s="196">
        <v>124.84</v>
      </c>
      <c r="K71" s="130">
        <v>61130093</v>
      </c>
      <c r="L71" s="89">
        <f aca="true" t="shared" si="12" ref="L71:L81">+IF(J71&gt;0,K71/J71/12,"")</f>
        <v>40805.626535298514</v>
      </c>
    </row>
    <row r="72" spans="1:12" ht="20.25" customHeight="1">
      <c r="A72" s="1451" t="s">
        <v>63</v>
      </c>
      <c r="B72" s="1333"/>
      <c r="C72" s="1264"/>
      <c r="D72" s="197">
        <v>4</v>
      </c>
      <c r="E72" s="35">
        <v>1298831</v>
      </c>
      <c r="F72" s="51">
        <f t="shared" si="10"/>
        <v>27058.979166666668</v>
      </c>
      <c r="G72" s="197">
        <v>4</v>
      </c>
      <c r="H72" s="35">
        <v>1387466</v>
      </c>
      <c r="I72" s="51">
        <f t="shared" si="11"/>
        <v>28905.541666666668</v>
      </c>
      <c r="J72" s="197">
        <v>4.87</v>
      </c>
      <c r="K72" s="35">
        <v>1750064</v>
      </c>
      <c r="L72" s="51">
        <f t="shared" si="12"/>
        <v>29946.338124572212</v>
      </c>
    </row>
    <row r="73" spans="1:12" ht="20.25" customHeight="1">
      <c r="A73" s="1451" t="s">
        <v>93</v>
      </c>
      <c r="B73" s="1333"/>
      <c r="C73" s="1264"/>
      <c r="D73" s="197">
        <v>403.1</v>
      </c>
      <c r="E73" s="35">
        <v>80148124</v>
      </c>
      <c r="F73" s="51">
        <f t="shared" si="10"/>
        <v>16569.115190606135</v>
      </c>
      <c r="G73" s="197">
        <v>401.52</v>
      </c>
      <c r="H73" s="35">
        <v>84936668</v>
      </c>
      <c r="I73" s="51">
        <f t="shared" si="11"/>
        <v>17628.152188350934</v>
      </c>
      <c r="J73" s="197">
        <v>397.55</v>
      </c>
      <c r="K73" s="35">
        <v>93180267</v>
      </c>
      <c r="L73" s="51">
        <f t="shared" si="12"/>
        <v>19532.190290529492</v>
      </c>
    </row>
    <row r="74" spans="1:12" ht="20.25" customHeight="1">
      <c r="A74" s="1451" t="s">
        <v>92</v>
      </c>
      <c r="B74" s="1333"/>
      <c r="C74" s="1264"/>
      <c r="D74" s="197">
        <v>68.57</v>
      </c>
      <c r="E74" s="35">
        <v>14472306</v>
      </c>
      <c r="F74" s="51">
        <f t="shared" si="10"/>
        <v>17588.23829663118</v>
      </c>
      <c r="G74" s="197">
        <v>65.28</v>
      </c>
      <c r="H74" s="35">
        <v>14997426</v>
      </c>
      <c r="I74" s="51">
        <f t="shared" si="11"/>
        <v>19144.998468137255</v>
      </c>
      <c r="J74" s="197">
        <v>63.66</v>
      </c>
      <c r="K74" s="35">
        <v>16249869</v>
      </c>
      <c r="L74" s="51">
        <f t="shared" si="12"/>
        <v>21271.68944392083</v>
      </c>
    </row>
    <row r="75" spans="1:12" ht="20.25" customHeight="1">
      <c r="A75" s="1451" t="s">
        <v>94</v>
      </c>
      <c r="B75" s="1333"/>
      <c r="C75" s="1264"/>
      <c r="D75" s="197">
        <v>14.47</v>
      </c>
      <c r="E75" s="35">
        <v>2499355</v>
      </c>
      <c r="F75" s="51">
        <f t="shared" si="10"/>
        <v>14393.889656761115</v>
      </c>
      <c r="G75" s="197">
        <v>19.05</v>
      </c>
      <c r="H75" s="35">
        <v>4077718</v>
      </c>
      <c r="I75" s="51">
        <f t="shared" si="11"/>
        <v>17837.786526684165</v>
      </c>
      <c r="J75" s="197">
        <v>19.62</v>
      </c>
      <c r="K75" s="35">
        <v>4960387</v>
      </c>
      <c r="L75" s="51">
        <f t="shared" si="12"/>
        <v>21068.582229018008</v>
      </c>
    </row>
    <row r="76" spans="1:12" ht="20.25" customHeight="1">
      <c r="A76" s="1451" t="s">
        <v>95</v>
      </c>
      <c r="B76" s="1333"/>
      <c r="C76" s="1264"/>
      <c r="D76" s="197">
        <v>86.54</v>
      </c>
      <c r="E76" s="35">
        <v>11215137</v>
      </c>
      <c r="F76" s="51">
        <f t="shared" si="10"/>
        <v>10799.569563207764</v>
      </c>
      <c r="G76" s="197">
        <v>95.73</v>
      </c>
      <c r="H76" s="35">
        <v>13514637</v>
      </c>
      <c r="I76" s="51">
        <f t="shared" si="11"/>
        <v>11764.543507782304</v>
      </c>
      <c r="J76" s="197">
        <v>94.05</v>
      </c>
      <c r="K76" s="35">
        <v>14213737</v>
      </c>
      <c r="L76" s="51">
        <f t="shared" si="12"/>
        <v>12594.13166755272</v>
      </c>
    </row>
    <row r="77" spans="1:12" ht="20.25" customHeight="1">
      <c r="A77" s="1451" t="s">
        <v>96</v>
      </c>
      <c r="B77" s="1333"/>
      <c r="C77" s="1264"/>
      <c r="D77" s="197">
        <v>7.11</v>
      </c>
      <c r="E77" s="35">
        <v>1915073</v>
      </c>
      <c r="F77" s="51">
        <f t="shared" si="10"/>
        <v>22445.76887013596</v>
      </c>
      <c r="G77" s="197">
        <v>2.39</v>
      </c>
      <c r="H77" s="35">
        <v>614782</v>
      </c>
      <c r="I77" s="51">
        <f t="shared" si="11"/>
        <v>21435.91352859135</v>
      </c>
      <c r="J77" s="197"/>
      <c r="K77" s="35">
        <v>0</v>
      </c>
      <c r="L77" s="51">
        <f t="shared" si="12"/>
      </c>
    </row>
    <row r="78" spans="1:12" ht="20.25" customHeight="1">
      <c r="A78" s="1451" t="s">
        <v>97</v>
      </c>
      <c r="B78" s="1333"/>
      <c r="C78" s="1264"/>
      <c r="D78" s="197"/>
      <c r="E78" s="35"/>
      <c r="F78" s="51">
        <f t="shared" si="10"/>
      </c>
      <c r="G78" s="197"/>
      <c r="H78" s="35"/>
      <c r="I78" s="51">
        <f t="shared" si="11"/>
      </c>
      <c r="J78" s="197"/>
      <c r="K78" s="35">
        <v>0</v>
      </c>
      <c r="L78" s="51">
        <f t="shared" si="12"/>
      </c>
    </row>
    <row r="79" spans="1:12" ht="20.25" customHeight="1">
      <c r="A79" s="1451" t="s">
        <v>64</v>
      </c>
      <c r="B79" s="1333"/>
      <c r="C79" s="1264"/>
      <c r="D79" s="198">
        <v>60.42</v>
      </c>
      <c r="E79" s="34">
        <v>10358807</v>
      </c>
      <c r="F79" s="51">
        <f t="shared" si="10"/>
        <v>14287.221394681672</v>
      </c>
      <c r="G79" s="198">
        <v>61.15</v>
      </c>
      <c r="H79" s="34">
        <v>11552525</v>
      </c>
      <c r="I79" s="51">
        <f t="shared" si="11"/>
        <v>15743.424638866176</v>
      </c>
      <c r="J79" s="198">
        <v>61.04</v>
      </c>
      <c r="K79" s="34">
        <v>11673137</v>
      </c>
      <c r="L79" s="51">
        <f t="shared" si="12"/>
        <v>15936.458333333334</v>
      </c>
    </row>
    <row r="80" spans="1:12" ht="21.75" customHeight="1" thickBot="1">
      <c r="A80" s="1481" t="s">
        <v>98</v>
      </c>
      <c r="B80" s="1482"/>
      <c r="C80" s="1483"/>
      <c r="D80" s="196">
        <v>160.03</v>
      </c>
      <c r="E80" s="130">
        <v>17706729</v>
      </c>
      <c r="F80" s="89">
        <f t="shared" si="10"/>
        <v>9220.525838905205</v>
      </c>
      <c r="G80" s="196">
        <v>156.14</v>
      </c>
      <c r="H80" s="130">
        <v>18621006</v>
      </c>
      <c r="I80" s="51">
        <f t="shared" si="11"/>
        <v>9938.19969258358</v>
      </c>
      <c r="J80" s="196">
        <v>156.18</v>
      </c>
      <c r="K80" s="130">
        <v>18422794</v>
      </c>
      <c r="L80" s="51">
        <f t="shared" si="12"/>
        <v>9829.893925812097</v>
      </c>
    </row>
    <row r="81" spans="1:12" s="24" customFormat="1" ht="22.5" customHeight="1" thickBot="1">
      <c r="A81" s="1484" t="s">
        <v>24</v>
      </c>
      <c r="B81" s="1485"/>
      <c r="C81" s="1486"/>
      <c r="D81" s="199">
        <f>SUM(D71:D80)</f>
        <v>928.31</v>
      </c>
      <c r="E81" s="36">
        <f>SUM(E71:E80)</f>
        <v>193753418</v>
      </c>
      <c r="F81" s="86">
        <f t="shared" si="10"/>
        <v>17393.024061646076</v>
      </c>
      <c r="G81" s="199">
        <f>SUM(G71:G80)</f>
        <v>930.1299999999999</v>
      </c>
      <c r="H81" s="36">
        <f>SUM(H71:H80)</f>
        <v>207707952</v>
      </c>
      <c r="I81" s="86">
        <f t="shared" si="11"/>
        <v>18609.22236676594</v>
      </c>
      <c r="J81" s="199">
        <f>SUM(J71:J80)</f>
        <v>921.81</v>
      </c>
      <c r="K81" s="36">
        <v>221580348</v>
      </c>
      <c r="L81" s="86">
        <f t="shared" si="12"/>
        <v>20031.274340699278</v>
      </c>
    </row>
    <row r="83" spans="1:12" ht="12.75" customHeight="1">
      <c r="A83" s="1523" t="s">
        <v>327</v>
      </c>
      <c r="B83" s="1612"/>
      <c r="C83" s="1612"/>
      <c r="D83" s="1612"/>
      <c r="E83" s="1612"/>
      <c r="F83" s="1612"/>
      <c r="G83" s="1612"/>
      <c r="H83" s="1612"/>
      <c r="I83" s="1612"/>
      <c r="J83" s="1612"/>
      <c r="K83" s="1612"/>
      <c r="L83" s="1613"/>
    </row>
    <row r="84" spans="1:12" ht="12.75">
      <c r="A84" s="1614"/>
      <c r="B84" s="1615"/>
      <c r="C84" s="1615"/>
      <c r="D84" s="1615"/>
      <c r="E84" s="1615"/>
      <c r="F84" s="1615"/>
      <c r="G84" s="1615"/>
      <c r="H84" s="1615"/>
      <c r="I84" s="1615"/>
      <c r="J84" s="1615"/>
      <c r="K84" s="1615"/>
      <c r="L84" s="1616"/>
    </row>
    <row r="85" spans="1:12" ht="12.75">
      <c r="A85" s="1614"/>
      <c r="B85" s="1615"/>
      <c r="C85" s="1615"/>
      <c r="D85" s="1615"/>
      <c r="E85" s="1615"/>
      <c r="F85" s="1615"/>
      <c r="G85" s="1615"/>
      <c r="H85" s="1615"/>
      <c r="I85" s="1615"/>
      <c r="J85" s="1615"/>
      <c r="K85" s="1615"/>
      <c r="L85" s="1616"/>
    </row>
    <row r="86" spans="1:12" ht="12.75">
      <c r="A86" s="1617"/>
      <c r="B86" s="1618"/>
      <c r="C86" s="1618"/>
      <c r="D86" s="1618"/>
      <c r="E86" s="1618"/>
      <c r="F86" s="1618"/>
      <c r="G86" s="1618"/>
      <c r="H86" s="1618"/>
      <c r="I86" s="1618"/>
      <c r="J86" s="1618"/>
      <c r="K86" s="1618"/>
      <c r="L86" s="1619"/>
    </row>
    <row r="88" ht="4.5" customHeight="1"/>
    <row r="89" spans="1:9" ht="16.5" thickBot="1">
      <c r="A89" s="16" t="s">
        <v>91</v>
      </c>
      <c r="B89" s="90"/>
      <c r="C89" s="90"/>
      <c r="D89" s="90"/>
      <c r="E89" s="90"/>
      <c r="F89" s="90"/>
      <c r="G89" s="90"/>
      <c r="H89" s="90"/>
      <c r="I89" s="90"/>
    </row>
    <row r="90" spans="1:12" ht="13.5" thickBot="1">
      <c r="A90" s="1622" t="s">
        <v>69</v>
      </c>
      <c r="B90" s="1429"/>
      <c r="C90" s="1580" t="s">
        <v>70</v>
      </c>
      <c r="D90" s="1657"/>
      <c r="E90" s="1657"/>
      <c r="F90" s="1657"/>
      <c r="G90" s="1658"/>
      <c r="H90" s="1580" t="s">
        <v>71</v>
      </c>
      <c r="I90" s="1657"/>
      <c r="J90" s="1657"/>
      <c r="K90" s="1657"/>
      <c r="L90" s="1658"/>
    </row>
    <row r="91" spans="1:12" ht="13.5" thickBot="1">
      <c r="A91" s="1623"/>
      <c r="B91" s="1264"/>
      <c r="C91" s="155">
        <v>2003</v>
      </c>
      <c r="D91" s="10">
        <v>2004</v>
      </c>
      <c r="E91" s="10">
        <v>2005</v>
      </c>
      <c r="F91" s="10">
        <v>2006</v>
      </c>
      <c r="G91" s="156" t="s">
        <v>72</v>
      </c>
      <c r="H91" s="91">
        <v>2003</v>
      </c>
      <c r="I91" s="10">
        <v>2004</v>
      </c>
      <c r="J91" s="134">
        <v>2005</v>
      </c>
      <c r="K91" s="134">
        <v>2006</v>
      </c>
      <c r="L91" s="211" t="s">
        <v>72</v>
      </c>
    </row>
    <row r="92" spans="1:12" ht="12.75">
      <c r="A92" s="1564" t="s">
        <v>73</v>
      </c>
      <c r="B92" s="1264"/>
      <c r="C92" s="224">
        <v>122</v>
      </c>
      <c r="D92" s="95">
        <v>122</v>
      </c>
      <c r="E92" s="218">
        <v>122</v>
      </c>
      <c r="F92" s="218">
        <v>122</v>
      </c>
      <c r="G92" s="218">
        <f aca="true" t="shared" si="13" ref="G92:G110">+F92-E92</f>
        <v>0</v>
      </c>
      <c r="H92" s="96">
        <v>74</v>
      </c>
      <c r="I92" s="200">
        <f>31920/44652*100</f>
        <v>71.48615963450685</v>
      </c>
      <c r="J92" s="283">
        <v>72.2</v>
      </c>
      <c r="K92" s="283">
        <v>67.55</v>
      </c>
      <c r="L92" s="828">
        <f aca="true" t="shared" si="14" ref="L92:L110">+K92-J92</f>
        <v>-4.650000000000006</v>
      </c>
    </row>
    <row r="93" spans="1:12" ht="12.75">
      <c r="A93" s="1564" t="s">
        <v>74</v>
      </c>
      <c r="B93" s="1264"/>
      <c r="C93" s="225">
        <v>22</v>
      </c>
      <c r="D93" s="100">
        <v>22</v>
      </c>
      <c r="E93" s="219">
        <v>22</v>
      </c>
      <c r="F93" s="219">
        <v>22</v>
      </c>
      <c r="G93" s="219">
        <f t="shared" si="13"/>
        <v>0</v>
      </c>
      <c r="H93" s="101">
        <v>57</v>
      </c>
      <c r="I93" s="201">
        <f>0.495156482861401*100</f>
        <v>49.51564828614009</v>
      </c>
      <c r="J93" s="284">
        <v>52.4</v>
      </c>
      <c r="K93" s="284">
        <v>56.51</v>
      </c>
      <c r="L93" s="829">
        <f t="shared" si="14"/>
        <v>4.109999999999999</v>
      </c>
    </row>
    <row r="94" spans="1:12" ht="12.75">
      <c r="A94" s="1564" t="s">
        <v>75</v>
      </c>
      <c r="B94" s="1264"/>
      <c r="C94" s="225"/>
      <c r="D94" s="100"/>
      <c r="E94" s="219"/>
      <c r="F94" s="219"/>
      <c r="G94" s="219">
        <f t="shared" si="13"/>
        <v>0</v>
      </c>
      <c r="H94" s="101"/>
      <c r="I94" s="201"/>
      <c r="J94" s="284"/>
      <c r="K94" s="284"/>
      <c r="L94" s="829">
        <f t="shared" si="14"/>
        <v>0</v>
      </c>
    </row>
    <row r="95" spans="1:12" ht="12.75">
      <c r="A95" s="1564" t="s">
        <v>76</v>
      </c>
      <c r="B95" s="1264"/>
      <c r="C95" s="225">
        <v>44</v>
      </c>
      <c r="D95" s="100">
        <v>44</v>
      </c>
      <c r="E95" s="219">
        <v>44</v>
      </c>
      <c r="F95" s="219">
        <v>37</v>
      </c>
      <c r="G95" s="219">
        <f t="shared" si="13"/>
        <v>-7</v>
      </c>
      <c r="H95" s="101">
        <v>66.2</v>
      </c>
      <c r="I95" s="201">
        <f>0.618293591654247*100</f>
        <v>61.829359165424734</v>
      </c>
      <c r="J95" s="284">
        <v>65.4</v>
      </c>
      <c r="K95" s="284">
        <v>59.7</v>
      </c>
      <c r="L95" s="829">
        <f t="shared" si="14"/>
        <v>-5.700000000000003</v>
      </c>
    </row>
    <row r="96" spans="1:12" ht="12.75">
      <c r="A96" s="1564" t="s">
        <v>77</v>
      </c>
      <c r="B96" s="1264"/>
      <c r="C96" s="225"/>
      <c r="D96" s="100"/>
      <c r="E96" s="219"/>
      <c r="F96" s="219"/>
      <c r="G96" s="219">
        <f t="shared" si="13"/>
        <v>0</v>
      </c>
      <c r="H96" s="101"/>
      <c r="I96" s="201"/>
      <c r="J96" s="284"/>
      <c r="K96" s="284"/>
      <c r="L96" s="829">
        <f t="shared" si="14"/>
        <v>0</v>
      </c>
    </row>
    <row r="97" spans="1:12" ht="12.75">
      <c r="A97" s="1564" t="s">
        <v>78</v>
      </c>
      <c r="B97" s="1264"/>
      <c r="C97" s="225">
        <v>50</v>
      </c>
      <c r="D97" s="100">
        <v>50</v>
      </c>
      <c r="E97" s="219">
        <v>50</v>
      </c>
      <c r="F97" s="219">
        <v>53</v>
      </c>
      <c r="G97" s="219">
        <f t="shared" si="13"/>
        <v>3</v>
      </c>
      <c r="H97" s="101">
        <v>75.8</v>
      </c>
      <c r="I97" s="201">
        <f>0.680655737704918*100</f>
        <v>68.06557377049181</v>
      </c>
      <c r="J97" s="284">
        <v>62</v>
      </c>
      <c r="K97" s="284">
        <v>61.02</v>
      </c>
      <c r="L97" s="829">
        <f t="shared" si="14"/>
        <v>-0.9799999999999969</v>
      </c>
    </row>
    <row r="98" spans="1:12" ht="12.75">
      <c r="A98" s="1564" t="s">
        <v>79</v>
      </c>
      <c r="B98" s="1264"/>
      <c r="C98" s="225">
        <v>59</v>
      </c>
      <c r="D98" s="100">
        <v>59</v>
      </c>
      <c r="E98" s="219">
        <v>59</v>
      </c>
      <c r="F98" s="219">
        <v>54</v>
      </c>
      <c r="G98" s="219">
        <f t="shared" si="13"/>
        <v>-5</v>
      </c>
      <c r="H98" s="101">
        <v>70.8</v>
      </c>
      <c r="I98" s="201">
        <f>0.670649254422525*100</f>
        <v>67.06492544225247</v>
      </c>
      <c r="J98" s="284">
        <v>61.8</v>
      </c>
      <c r="K98" s="284">
        <v>63.71</v>
      </c>
      <c r="L98" s="829">
        <f t="shared" si="14"/>
        <v>1.9100000000000037</v>
      </c>
    </row>
    <row r="99" spans="1:12" ht="12.75">
      <c r="A99" s="1564" t="s">
        <v>80</v>
      </c>
      <c r="B99" s="1264"/>
      <c r="C99" s="225">
        <v>82</v>
      </c>
      <c r="D99" s="100">
        <v>82</v>
      </c>
      <c r="E99" s="219">
        <v>82</v>
      </c>
      <c r="F99" s="219">
        <v>82</v>
      </c>
      <c r="G99" s="219">
        <f t="shared" si="13"/>
        <v>0</v>
      </c>
      <c r="H99" s="101">
        <v>82.4</v>
      </c>
      <c r="I99" s="201">
        <f>0.77995468479275*100</f>
        <v>77.99546847927495</v>
      </c>
      <c r="J99" s="284">
        <v>77.5</v>
      </c>
      <c r="K99" s="284">
        <v>76.61</v>
      </c>
      <c r="L99" s="829">
        <f t="shared" si="14"/>
        <v>-0.8900000000000006</v>
      </c>
    </row>
    <row r="100" spans="1:12" ht="12.75">
      <c r="A100" s="1564" t="s">
        <v>81</v>
      </c>
      <c r="B100" s="1264"/>
      <c r="C100" s="225">
        <v>6</v>
      </c>
      <c r="D100" s="100">
        <v>6</v>
      </c>
      <c r="E100" s="219">
        <v>6</v>
      </c>
      <c r="F100" s="219">
        <v>6</v>
      </c>
      <c r="G100" s="219">
        <f t="shared" si="13"/>
        <v>0</v>
      </c>
      <c r="H100" s="101">
        <v>77.8</v>
      </c>
      <c r="I100" s="201">
        <f>0.748178506375228*100</f>
        <v>74.81785063752277</v>
      </c>
      <c r="J100" s="284">
        <v>74.2</v>
      </c>
      <c r="K100" s="284">
        <v>75.02</v>
      </c>
      <c r="L100" s="829">
        <f t="shared" si="14"/>
        <v>0.8199999999999932</v>
      </c>
    </row>
    <row r="101" spans="1:12" ht="12.75">
      <c r="A101" s="1564" t="s">
        <v>82</v>
      </c>
      <c r="B101" s="1264"/>
      <c r="C101" s="225">
        <v>27</v>
      </c>
      <c r="D101" s="100">
        <v>30</v>
      </c>
      <c r="E101" s="219">
        <v>30</v>
      </c>
      <c r="F101" s="219">
        <v>30</v>
      </c>
      <c r="G101" s="219">
        <f t="shared" si="13"/>
        <v>0</v>
      </c>
      <c r="H101" s="101">
        <v>80.9</v>
      </c>
      <c r="I101" s="201">
        <f>0.792261494535788*100</f>
        <v>79.22614945357881</v>
      </c>
      <c r="J101" s="284">
        <v>74.9</v>
      </c>
      <c r="K101" s="284">
        <v>73.12</v>
      </c>
      <c r="L101" s="829">
        <f t="shared" si="14"/>
        <v>-1.7800000000000011</v>
      </c>
    </row>
    <row r="102" spans="1:12" ht="12.75">
      <c r="A102" s="1564" t="s">
        <v>83</v>
      </c>
      <c r="B102" s="1264"/>
      <c r="C102" s="225">
        <v>21</v>
      </c>
      <c r="D102" s="100">
        <v>21</v>
      </c>
      <c r="E102" s="219">
        <v>21</v>
      </c>
      <c r="F102" s="219">
        <v>21</v>
      </c>
      <c r="G102" s="219">
        <f t="shared" si="13"/>
        <v>0</v>
      </c>
      <c r="H102" s="101">
        <v>76.7</v>
      </c>
      <c r="I102" s="201">
        <f>0.727816809784023*100</f>
        <v>72.78168097840229</v>
      </c>
      <c r="J102" s="284">
        <v>68.8</v>
      </c>
      <c r="K102" s="284">
        <v>71.77</v>
      </c>
      <c r="L102" s="829">
        <f t="shared" si="14"/>
        <v>2.969999999999999</v>
      </c>
    </row>
    <row r="103" spans="1:12" ht="12.75">
      <c r="A103" s="1564" t="s">
        <v>84</v>
      </c>
      <c r="B103" s="1264"/>
      <c r="C103" s="225">
        <v>20</v>
      </c>
      <c r="D103" s="100">
        <v>11</v>
      </c>
      <c r="E103" s="219">
        <v>11</v>
      </c>
      <c r="F103" s="219">
        <v>11</v>
      </c>
      <c r="G103" s="219">
        <f t="shared" si="13"/>
        <v>0</v>
      </c>
      <c r="H103" s="101">
        <v>69.8</v>
      </c>
      <c r="I103" s="201">
        <f>0.689665793931927*100</f>
        <v>68.96657939319267</v>
      </c>
      <c r="J103" s="284">
        <v>106</v>
      </c>
      <c r="K103" s="284">
        <v>108.49</v>
      </c>
      <c r="L103" s="829">
        <f t="shared" si="14"/>
        <v>2.489999999999995</v>
      </c>
    </row>
    <row r="104" spans="1:12" ht="12.75">
      <c r="A104" s="1564" t="s">
        <v>85</v>
      </c>
      <c r="B104" s="1264"/>
      <c r="C104" s="225">
        <v>12</v>
      </c>
      <c r="D104" s="100">
        <v>11</v>
      </c>
      <c r="E104" s="219">
        <v>11</v>
      </c>
      <c r="F104" s="219">
        <v>11</v>
      </c>
      <c r="G104" s="219">
        <f t="shared" si="13"/>
        <v>0</v>
      </c>
      <c r="H104" s="101">
        <v>76.3</v>
      </c>
      <c r="I104" s="201">
        <f>0.70906976744186*100</f>
        <v>70.90697674418604</v>
      </c>
      <c r="J104" s="284">
        <v>74.5</v>
      </c>
      <c r="K104" s="284">
        <v>62.07</v>
      </c>
      <c r="L104" s="829">
        <f t="shared" si="14"/>
        <v>-12.43</v>
      </c>
    </row>
    <row r="105" spans="1:12" ht="12.75">
      <c r="A105" s="1564" t="s">
        <v>86</v>
      </c>
      <c r="B105" s="1264"/>
      <c r="C105" s="225">
        <v>20</v>
      </c>
      <c r="D105" s="100">
        <v>20</v>
      </c>
      <c r="E105" s="219">
        <v>20</v>
      </c>
      <c r="F105" s="219">
        <v>20</v>
      </c>
      <c r="G105" s="219">
        <f t="shared" si="13"/>
        <v>0</v>
      </c>
      <c r="H105" s="101">
        <v>70.9</v>
      </c>
      <c r="I105" s="201">
        <f>0.659836065573771*100</f>
        <v>65.98360655737704</v>
      </c>
      <c r="J105" s="284">
        <v>69.8</v>
      </c>
      <c r="K105" s="284">
        <v>72.38</v>
      </c>
      <c r="L105" s="829">
        <f t="shared" si="14"/>
        <v>2.5799999999999983</v>
      </c>
    </row>
    <row r="106" spans="1:12" ht="12.75">
      <c r="A106" s="1564" t="s">
        <v>87</v>
      </c>
      <c r="B106" s="1264"/>
      <c r="C106" s="225"/>
      <c r="D106" s="100"/>
      <c r="E106" s="219"/>
      <c r="F106" s="219"/>
      <c r="G106" s="219">
        <f t="shared" si="13"/>
        <v>0</v>
      </c>
      <c r="H106" s="101"/>
      <c r="I106" s="201"/>
      <c r="J106" s="284"/>
      <c r="K106" s="284"/>
      <c r="L106" s="829">
        <f t="shared" si="14"/>
        <v>0</v>
      </c>
    </row>
    <row r="107" spans="1:12" ht="12.75">
      <c r="A107" s="1564" t="s">
        <v>88</v>
      </c>
      <c r="B107" s="1264"/>
      <c r="C107" s="225"/>
      <c r="D107" s="100"/>
      <c r="E107" s="219"/>
      <c r="F107" s="219"/>
      <c r="G107" s="219">
        <f t="shared" si="13"/>
        <v>0</v>
      </c>
      <c r="H107" s="101"/>
      <c r="I107" s="201"/>
      <c r="J107" s="284"/>
      <c r="K107" s="284"/>
      <c r="L107" s="829">
        <f t="shared" si="14"/>
        <v>0</v>
      </c>
    </row>
    <row r="108" spans="1:12" ht="12.75">
      <c r="A108" s="1728" t="s">
        <v>134</v>
      </c>
      <c r="B108" s="1729"/>
      <c r="C108" s="251">
        <v>62</v>
      </c>
      <c r="D108" s="252">
        <v>62</v>
      </c>
      <c r="E108" s="252">
        <v>62</v>
      </c>
      <c r="F108" s="252">
        <v>61</v>
      </c>
      <c r="G108" s="252">
        <f t="shared" si="13"/>
        <v>-1</v>
      </c>
      <c r="H108" s="253">
        <v>78.4</v>
      </c>
      <c r="I108" s="254">
        <v>84.5</v>
      </c>
      <c r="J108" s="255">
        <v>86</v>
      </c>
      <c r="K108" s="255">
        <v>85.78</v>
      </c>
      <c r="L108" s="830">
        <f t="shared" si="14"/>
        <v>-0.21999999999999886</v>
      </c>
    </row>
    <row r="109" spans="1:12" ht="13.5" thickBot="1">
      <c r="A109" s="1730" t="s">
        <v>135</v>
      </c>
      <c r="B109" s="1731"/>
      <c r="C109" s="256">
        <v>100</v>
      </c>
      <c r="D109" s="257">
        <v>100</v>
      </c>
      <c r="E109" s="257">
        <v>100</v>
      </c>
      <c r="F109" s="257">
        <v>100</v>
      </c>
      <c r="G109" s="257">
        <f t="shared" si="13"/>
        <v>0</v>
      </c>
      <c r="H109" s="258">
        <v>92.4</v>
      </c>
      <c r="I109" s="259">
        <v>86.3</v>
      </c>
      <c r="J109" s="260">
        <v>84.5</v>
      </c>
      <c r="K109" s="260">
        <v>78.12</v>
      </c>
      <c r="L109" s="831">
        <f t="shared" si="14"/>
        <v>-6.3799999999999955</v>
      </c>
    </row>
    <row r="110" spans="1:12" ht="13.5" thickBot="1">
      <c r="A110" s="1566" t="s">
        <v>24</v>
      </c>
      <c r="B110" s="1534"/>
      <c r="C110" s="221">
        <f>SUM(C92:C109)</f>
        <v>647</v>
      </c>
      <c r="D110" s="107">
        <f>SUM(D92:D109)</f>
        <v>640</v>
      </c>
      <c r="E110" s="107">
        <f>SUM(E92:E109)</f>
        <v>640</v>
      </c>
      <c r="F110" s="107">
        <f>SUM(F92:F109)</f>
        <v>630</v>
      </c>
      <c r="G110" s="107">
        <f t="shared" si="13"/>
        <v>-10</v>
      </c>
      <c r="H110" s="108">
        <v>74.1</v>
      </c>
      <c r="I110" s="210">
        <f>123851/176866*100</f>
        <v>70.02532991077992</v>
      </c>
      <c r="J110" s="212">
        <v>73.8</v>
      </c>
      <c r="K110" s="212">
        <v>71.67</v>
      </c>
      <c r="L110" s="832">
        <f t="shared" si="14"/>
        <v>-2.1299999999999955</v>
      </c>
    </row>
    <row r="112" spans="1:12" ht="12.75" customHeight="1">
      <c r="A112" s="1732" t="s">
        <v>328</v>
      </c>
      <c r="B112" s="1442"/>
      <c r="C112" s="1442"/>
      <c r="D112" s="1442"/>
      <c r="E112" s="1442"/>
      <c r="F112" s="1442"/>
      <c r="G112" s="1442"/>
      <c r="H112" s="1442"/>
      <c r="I112" s="1442"/>
      <c r="J112" s="1442"/>
      <c r="K112" s="1442"/>
      <c r="L112" s="1443"/>
    </row>
    <row r="113" spans="1:12" ht="12.75">
      <c r="A113" s="1475"/>
      <c r="B113" s="1476"/>
      <c r="C113" s="1476"/>
      <c r="D113" s="1476"/>
      <c r="E113" s="1476"/>
      <c r="F113" s="1476"/>
      <c r="G113" s="1476"/>
      <c r="H113" s="1476"/>
      <c r="I113" s="1476"/>
      <c r="J113" s="1476"/>
      <c r="K113" s="1476"/>
      <c r="L113" s="1477"/>
    </row>
    <row r="114" spans="1:12" ht="12.75">
      <c r="A114" s="1475"/>
      <c r="B114" s="1476"/>
      <c r="C114" s="1476"/>
      <c r="D114" s="1476"/>
      <c r="E114" s="1476"/>
      <c r="F114" s="1476"/>
      <c r="G114" s="1476"/>
      <c r="H114" s="1476"/>
      <c r="I114" s="1476"/>
      <c r="J114" s="1476"/>
      <c r="K114" s="1476"/>
      <c r="L114" s="1477"/>
    </row>
    <row r="115" spans="1:12" ht="12.75">
      <c r="A115" s="1624"/>
      <c r="B115" s="1625"/>
      <c r="C115" s="1625"/>
      <c r="D115" s="1625"/>
      <c r="E115" s="1625"/>
      <c r="F115" s="1625"/>
      <c r="G115" s="1625"/>
      <c r="H115" s="1625"/>
      <c r="I115" s="1625"/>
      <c r="J115" s="1625"/>
      <c r="K115" s="1625"/>
      <c r="L115" s="1480"/>
    </row>
    <row r="116" ht="9" customHeight="1"/>
    <row r="117" spans="1:12" ht="16.5" thickBot="1">
      <c r="A117" s="16" t="s">
        <v>109</v>
      </c>
      <c r="L117" s="167" t="s">
        <v>15</v>
      </c>
    </row>
    <row r="118" spans="1:12" s="144" customFormat="1" ht="21.75" customHeight="1" thickBot="1">
      <c r="A118" s="1365" t="s">
        <v>114</v>
      </c>
      <c r="B118" s="1366"/>
      <c r="C118" s="1366"/>
      <c r="D118" s="1366"/>
      <c r="E118" s="1435" t="s">
        <v>100</v>
      </c>
      <c r="F118" s="1436"/>
      <c r="G118" s="24"/>
      <c r="H118" s="1365" t="s">
        <v>115</v>
      </c>
      <c r="I118" s="1366"/>
      <c r="J118" s="1366"/>
      <c r="K118" s="1435" t="s">
        <v>100</v>
      </c>
      <c r="L118" s="1436"/>
    </row>
    <row r="119" spans="1:12" s="144" customFormat="1" ht="20.25" customHeight="1">
      <c r="A119" s="1417" t="s">
        <v>101</v>
      </c>
      <c r="B119" s="1418"/>
      <c r="C119" s="1418"/>
      <c r="D119" s="1418"/>
      <c r="E119" s="1631">
        <v>1552300</v>
      </c>
      <c r="F119" s="1632"/>
      <c r="H119" s="1417" t="s">
        <v>102</v>
      </c>
      <c r="I119" s="1418"/>
      <c r="J119" s="1418"/>
      <c r="K119" s="1437">
        <v>17799000</v>
      </c>
      <c r="L119" s="1438"/>
    </row>
    <row r="120" spans="1:12" s="144" customFormat="1" ht="20.25" customHeight="1">
      <c r="A120" s="1419" t="s">
        <v>102</v>
      </c>
      <c r="B120" s="1420"/>
      <c r="C120" s="1420"/>
      <c r="D120" s="1420"/>
      <c r="E120" s="1596">
        <v>17901000</v>
      </c>
      <c r="F120" s="1597"/>
      <c r="H120" s="1419" t="s">
        <v>103</v>
      </c>
      <c r="I120" s="1420"/>
      <c r="J120" s="1420"/>
      <c r="K120" s="1424"/>
      <c r="L120" s="1426"/>
    </row>
    <row r="121" spans="1:12" s="144" customFormat="1" ht="20.25" customHeight="1">
      <c r="A121" s="1419" t="s">
        <v>103</v>
      </c>
      <c r="B121" s="1420"/>
      <c r="C121" s="1420"/>
      <c r="D121" s="1420"/>
      <c r="E121" s="1596">
        <v>1323639.47</v>
      </c>
      <c r="F121" s="1597"/>
      <c r="H121" s="1419" t="s">
        <v>105</v>
      </c>
      <c r="I121" s="1420"/>
      <c r="J121" s="1420"/>
      <c r="K121" s="1424"/>
      <c r="L121" s="1465"/>
    </row>
    <row r="122" spans="1:12" s="144" customFormat="1" ht="20.25" customHeight="1">
      <c r="A122" s="1419" t="s">
        <v>104</v>
      </c>
      <c r="B122" s="1420"/>
      <c r="C122" s="1420"/>
      <c r="D122" s="1420"/>
      <c r="E122" s="1596"/>
      <c r="F122" s="1597"/>
      <c r="H122" s="1419" t="s">
        <v>126</v>
      </c>
      <c r="I122" s="1420"/>
      <c r="J122" s="1420"/>
      <c r="K122" s="1424">
        <v>19250000</v>
      </c>
      <c r="L122" s="1465"/>
    </row>
    <row r="123" spans="1:12" s="144" customFormat="1" ht="20.25" customHeight="1">
      <c r="A123" s="1419" t="s">
        <v>105</v>
      </c>
      <c r="B123" s="1420"/>
      <c r="C123" s="1420"/>
      <c r="D123" s="1420"/>
      <c r="E123" s="1596"/>
      <c r="F123" s="1597"/>
      <c r="H123" s="1419" t="s">
        <v>253</v>
      </c>
      <c r="I123" s="1420"/>
      <c r="J123" s="1420"/>
      <c r="K123" s="1424">
        <v>1856000</v>
      </c>
      <c r="L123" s="1465"/>
    </row>
    <row r="124" spans="1:12" s="144" customFormat="1" ht="20.25" customHeight="1">
      <c r="A124" s="1419" t="s">
        <v>123</v>
      </c>
      <c r="B124" s="1420"/>
      <c r="C124" s="1420"/>
      <c r="D124" s="1420"/>
      <c r="E124" s="1596">
        <v>908944</v>
      </c>
      <c r="F124" s="1597"/>
      <c r="G124" s="24"/>
      <c r="H124" s="1419"/>
      <c r="I124" s="1420"/>
      <c r="J124" s="1420"/>
      <c r="K124" s="1424"/>
      <c r="L124" s="1465"/>
    </row>
    <row r="125" spans="1:12" ht="20.25" customHeight="1" thickBot="1">
      <c r="A125" s="1422" t="s">
        <v>106</v>
      </c>
      <c r="B125" s="1423"/>
      <c r="C125" s="1423"/>
      <c r="D125" s="1423"/>
      <c r="E125" s="1415">
        <f>SUM(E119:F124)</f>
        <v>21685883.47</v>
      </c>
      <c r="F125" s="1416"/>
      <c r="G125" s="24"/>
      <c r="H125" s="1422" t="s">
        <v>107</v>
      </c>
      <c r="I125" s="1423"/>
      <c r="J125" s="1423"/>
      <c r="K125" s="1415">
        <f>SUM(K119:L124)</f>
        <v>38905000</v>
      </c>
      <c r="L125" s="1416"/>
    </row>
    <row r="126" ht="20.25" customHeight="1"/>
    <row r="128" ht="16.5" thickBot="1">
      <c r="A128" s="16" t="s">
        <v>185</v>
      </c>
    </row>
    <row r="129" spans="1:11" ht="13.5" thickBot="1">
      <c r="A129" s="1542" t="s">
        <v>150</v>
      </c>
      <c r="B129" s="1648"/>
      <c r="C129" s="1649"/>
      <c r="D129" s="1671"/>
      <c r="E129" s="1672"/>
      <c r="F129" s="1672"/>
      <c r="G129" s="1672"/>
      <c r="H129" s="1672"/>
      <c r="I129" s="1672"/>
      <c r="J129" s="1672"/>
      <c r="K129" s="1673"/>
    </row>
    <row r="130" spans="1:11" ht="21" customHeight="1" thickBot="1">
      <c r="A130" s="1545"/>
      <c r="B130" s="1445"/>
      <c r="C130" s="1650"/>
      <c r="D130" s="1724" t="s">
        <v>178</v>
      </c>
      <c r="E130" s="1668" t="s">
        <v>251</v>
      </c>
      <c r="F130" s="1669"/>
      <c r="G130" s="1670"/>
      <c r="H130" s="1256" t="s">
        <v>268</v>
      </c>
      <c r="I130" s="1552"/>
      <c r="J130" s="1552"/>
      <c r="K130" s="407" t="s">
        <v>179</v>
      </c>
    </row>
    <row r="131" spans="1:11" ht="12" customHeight="1">
      <c r="A131" s="1545"/>
      <c r="B131" s="1445"/>
      <c r="C131" s="1650"/>
      <c r="D131" s="1725"/>
      <c r="E131" s="367" t="s">
        <v>180</v>
      </c>
      <c r="F131" s="368" t="s">
        <v>181</v>
      </c>
      <c r="G131" s="369" t="s">
        <v>24</v>
      </c>
      <c r="H131" s="811" t="s">
        <v>180</v>
      </c>
      <c r="I131" s="810" t="s">
        <v>181</v>
      </c>
      <c r="J131" s="1722" t="s">
        <v>24</v>
      </c>
      <c r="K131" s="408" t="s">
        <v>182</v>
      </c>
    </row>
    <row r="132" spans="1:11" ht="13.5" thickBot="1">
      <c r="A132" s="1548"/>
      <c r="B132" s="1651"/>
      <c r="C132" s="1652"/>
      <c r="D132" s="1726"/>
      <c r="E132" s="370" t="s">
        <v>183</v>
      </c>
      <c r="F132" s="371" t="s">
        <v>183</v>
      </c>
      <c r="G132" s="372"/>
      <c r="H132" s="812" t="s">
        <v>183</v>
      </c>
      <c r="I132" s="813" t="s">
        <v>183</v>
      </c>
      <c r="J132" s="1723"/>
      <c r="K132" s="409" t="s">
        <v>184</v>
      </c>
    </row>
    <row r="133" spans="1:11" ht="12.75">
      <c r="A133" s="1551" t="s">
        <v>151</v>
      </c>
      <c r="B133" s="1648"/>
      <c r="C133" s="1649"/>
      <c r="D133" s="410"/>
      <c r="E133" s="411"/>
      <c r="F133" s="412"/>
      <c r="G133" s="410">
        <v>0</v>
      </c>
      <c r="H133" s="814"/>
      <c r="I133" s="815"/>
      <c r="J133" s="816">
        <v>0</v>
      </c>
      <c r="K133" s="413"/>
    </row>
    <row r="134" spans="1:11" ht="12.75">
      <c r="A134" s="1522" t="s">
        <v>152</v>
      </c>
      <c r="B134" s="1653"/>
      <c r="C134" s="1654"/>
      <c r="D134" s="414">
        <f aca="true" t="shared" si="15" ref="D134:D161">B134+C134</f>
        <v>0</v>
      </c>
      <c r="E134" s="415">
        <v>491245</v>
      </c>
      <c r="F134" s="416">
        <v>930</v>
      </c>
      <c r="G134" s="414">
        <f>+E134+F134</f>
        <v>492175</v>
      </c>
      <c r="H134" s="817">
        <v>484808</v>
      </c>
      <c r="I134" s="818">
        <v>1005</v>
      </c>
      <c r="J134" s="819">
        <f>+H134+I134</f>
        <v>485813</v>
      </c>
      <c r="K134" s="417">
        <f>+J134/G134</f>
        <v>0.9870737034591355</v>
      </c>
    </row>
    <row r="135" spans="1:11" ht="12.75">
      <c r="A135" s="1522" t="s">
        <v>153</v>
      </c>
      <c r="B135" s="1653"/>
      <c r="C135" s="1654"/>
      <c r="D135" s="414">
        <f t="shared" si="15"/>
        <v>0</v>
      </c>
      <c r="E135" s="415">
        <v>48257</v>
      </c>
      <c r="F135" s="416">
        <v>2200</v>
      </c>
      <c r="G135" s="414">
        <v>50457</v>
      </c>
      <c r="H135" s="817">
        <v>51516</v>
      </c>
      <c r="I135" s="818">
        <v>3684</v>
      </c>
      <c r="J135" s="819">
        <f aca="true" t="shared" si="16" ref="J135:J141">+H135+I135</f>
        <v>55200</v>
      </c>
      <c r="K135" s="417">
        <f aca="true" t="shared" si="17" ref="K135:K162">+J135/G135</f>
        <v>1.0940008323919377</v>
      </c>
    </row>
    <row r="136" spans="1:11" ht="12.75">
      <c r="A136" s="1522" t="s">
        <v>154</v>
      </c>
      <c r="B136" s="1653"/>
      <c r="C136" s="1654"/>
      <c r="D136" s="414">
        <f t="shared" si="15"/>
        <v>0</v>
      </c>
      <c r="E136" s="415">
        <v>11000</v>
      </c>
      <c r="F136" s="416"/>
      <c r="G136" s="414">
        <v>11000</v>
      </c>
      <c r="H136" s="817">
        <v>9715</v>
      </c>
      <c r="I136" s="818"/>
      <c r="J136" s="819">
        <f t="shared" si="16"/>
        <v>9715</v>
      </c>
      <c r="K136" s="417">
        <f t="shared" si="17"/>
        <v>0.8831818181818182</v>
      </c>
    </row>
    <row r="137" spans="1:11" ht="12.75">
      <c r="A137" s="1522" t="s">
        <v>155</v>
      </c>
      <c r="B137" s="1653"/>
      <c r="C137" s="1654"/>
      <c r="D137" s="414">
        <f t="shared" si="15"/>
        <v>0</v>
      </c>
      <c r="E137" s="415">
        <v>2700</v>
      </c>
      <c r="F137" s="416">
        <v>300</v>
      </c>
      <c r="G137" s="414">
        <v>3000</v>
      </c>
      <c r="H137" s="817">
        <v>6657</v>
      </c>
      <c r="I137" s="818">
        <v>319</v>
      </c>
      <c r="J137" s="819">
        <f t="shared" si="16"/>
        <v>6976</v>
      </c>
      <c r="K137" s="417">
        <f t="shared" si="17"/>
        <v>2.3253333333333335</v>
      </c>
    </row>
    <row r="138" spans="1:11" ht="12.75">
      <c r="A138" s="1522" t="s">
        <v>156</v>
      </c>
      <c r="B138" s="1653"/>
      <c r="C138" s="1654"/>
      <c r="D138" s="414">
        <f t="shared" si="15"/>
        <v>0</v>
      </c>
      <c r="E138" s="415"/>
      <c r="F138" s="416"/>
      <c r="G138" s="414">
        <v>0</v>
      </c>
      <c r="H138" s="817">
        <v>4192</v>
      </c>
      <c r="I138" s="818"/>
      <c r="J138" s="819">
        <f t="shared" si="16"/>
        <v>4192</v>
      </c>
      <c r="K138" s="417"/>
    </row>
    <row r="139" spans="1:11" ht="12.75">
      <c r="A139" s="1522" t="s">
        <v>157</v>
      </c>
      <c r="B139" s="1653"/>
      <c r="C139" s="1654"/>
      <c r="D139" s="414">
        <f t="shared" si="15"/>
        <v>0</v>
      </c>
      <c r="E139" s="415">
        <v>3980</v>
      </c>
      <c r="F139" s="416">
        <v>20</v>
      </c>
      <c r="G139" s="414">
        <v>4000</v>
      </c>
      <c r="H139" s="817">
        <v>3547</v>
      </c>
      <c r="I139" s="818">
        <v>8</v>
      </c>
      <c r="J139" s="819">
        <f t="shared" si="16"/>
        <v>3555</v>
      </c>
      <c r="K139" s="417">
        <f t="shared" si="17"/>
        <v>0.88875</v>
      </c>
    </row>
    <row r="140" spans="1:11" ht="16.5" customHeight="1">
      <c r="A140" s="1522" t="s">
        <v>158</v>
      </c>
      <c r="B140" s="1653"/>
      <c r="C140" s="1654"/>
      <c r="D140" s="414">
        <f t="shared" si="15"/>
        <v>0</v>
      </c>
      <c r="E140" s="415"/>
      <c r="F140" s="416"/>
      <c r="G140" s="414"/>
      <c r="H140" s="817"/>
      <c r="I140" s="818"/>
      <c r="J140" s="819">
        <f t="shared" si="16"/>
        <v>0</v>
      </c>
      <c r="K140" s="417"/>
    </row>
    <row r="141" spans="1:11" ht="17.25" customHeight="1" thickBot="1">
      <c r="A141" s="1538" t="s">
        <v>159</v>
      </c>
      <c r="B141" s="1655"/>
      <c r="C141" s="1656"/>
      <c r="D141" s="414">
        <f t="shared" si="15"/>
        <v>0</v>
      </c>
      <c r="E141" s="418">
        <v>18384</v>
      </c>
      <c r="F141" s="419"/>
      <c r="G141" s="414">
        <f>SUM(E141:F141)</f>
        <v>18384</v>
      </c>
      <c r="H141" s="820">
        <v>21782</v>
      </c>
      <c r="I141" s="821"/>
      <c r="J141" s="819">
        <f t="shared" si="16"/>
        <v>21782</v>
      </c>
      <c r="K141" s="420">
        <f t="shared" si="17"/>
        <v>1.184834638816362</v>
      </c>
    </row>
    <row r="142" spans="1:11" ht="13.5" thickBot="1">
      <c r="A142" s="1539" t="s">
        <v>19</v>
      </c>
      <c r="B142" s="1657"/>
      <c r="C142" s="1658"/>
      <c r="D142" s="421">
        <f t="shared" si="15"/>
        <v>0</v>
      </c>
      <c r="E142" s="422">
        <f aca="true" t="shared" si="18" ref="E142:J142">SUM(E133+E134+E135+E136+E137+E139+E141)</f>
        <v>575566</v>
      </c>
      <c r="F142" s="402">
        <f t="shared" si="18"/>
        <v>3450</v>
      </c>
      <c r="G142" s="403">
        <f t="shared" si="18"/>
        <v>579016</v>
      </c>
      <c r="H142" s="822">
        <f t="shared" si="18"/>
        <v>578025</v>
      </c>
      <c r="I142" s="388">
        <f t="shared" si="18"/>
        <v>5016</v>
      </c>
      <c r="J142" s="822">
        <f t="shared" si="18"/>
        <v>583041</v>
      </c>
      <c r="K142" s="423">
        <f t="shared" si="17"/>
        <v>1.006951448664631</v>
      </c>
    </row>
    <row r="143" spans="1:11" ht="12.75">
      <c r="A143" s="1522" t="s">
        <v>160</v>
      </c>
      <c r="B143" s="1653"/>
      <c r="C143" s="1654"/>
      <c r="D143" s="414">
        <f t="shared" si="15"/>
        <v>0</v>
      </c>
      <c r="E143" s="411">
        <v>129611</v>
      </c>
      <c r="F143" s="412">
        <f>+G143-E143</f>
        <v>428</v>
      </c>
      <c r="G143" s="414">
        <v>130039</v>
      </c>
      <c r="H143" s="814">
        <v>128615</v>
      </c>
      <c r="I143" s="815">
        <v>693</v>
      </c>
      <c r="J143" s="819">
        <f>+H143+I143</f>
        <v>129308</v>
      </c>
      <c r="K143" s="413">
        <f t="shared" si="17"/>
        <v>0.9943786094940749</v>
      </c>
    </row>
    <row r="144" spans="1:11" ht="12.75">
      <c r="A144" s="1522" t="s">
        <v>161</v>
      </c>
      <c r="B144" s="1653"/>
      <c r="C144" s="1654"/>
      <c r="D144" s="414">
        <f t="shared" si="15"/>
        <v>0</v>
      </c>
      <c r="E144" s="411">
        <v>6000</v>
      </c>
      <c r="F144" s="412"/>
      <c r="G144" s="414">
        <v>6000</v>
      </c>
      <c r="H144" s="814">
        <v>3756</v>
      </c>
      <c r="I144" s="815">
        <v>1</v>
      </c>
      <c r="J144" s="819">
        <f aca="true" t="shared" si="19" ref="J144:J159">+H144+I144</f>
        <v>3757</v>
      </c>
      <c r="K144" s="417">
        <f t="shared" si="17"/>
        <v>0.6261666666666666</v>
      </c>
    </row>
    <row r="145" spans="1:11" ht="12.75">
      <c r="A145" s="1522" t="s">
        <v>162</v>
      </c>
      <c r="B145" s="1653"/>
      <c r="C145" s="1654"/>
      <c r="D145" s="414">
        <f t="shared" si="15"/>
        <v>0</v>
      </c>
      <c r="E145" s="424">
        <v>7996</v>
      </c>
      <c r="F145" s="425">
        <v>4</v>
      </c>
      <c r="G145" s="426">
        <f>SUM(E145:F145)</f>
        <v>8000</v>
      </c>
      <c r="H145" s="823">
        <v>7247</v>
      </c>
      <c r="I145" s="824">
        <v>3</v>
      </c>
      <c r="J145" s="819">
        <f t="shared" si="19"/>
        <v>7250</v>
      </c>
      <c r="K145" s="417">
        <f t="shared" si="17"/>
        <v>0.90625</v>
      </c>
    </row>
    <row r="146" spans="1:11" ht="12.75">
      <c r="A146" s="1522" t="s">
        <v>163</v>
      </c>
      <c r="B146" s="1653"/>
      <c r="C146" s="1654"/>
      <c r="D146" s="414">
        <f t="shared" si="15"/>
        <v>0</v>
      </c>
      <c r="E146" s="427">
        <v>15860</v>
      </c>
      <c r="F146" s="425">
        <v>140</v>
      </c>
      <c r="G146" s="426">
        <f>SUM(E146:F146)</f>
        <v>16000</v>
      </c>
      <c r="H146" s="825">
        <v>17301</v>
      </c>
      <c r="I146" s="824">
        <v>166</v>
      </c>
      <c r="J146" s="819">
        <f t="shared" si="19"/>
        <v>17467</v>
      </c>
      <c r="K146" s="417">
        <f t="shared" si="17"/>
        <v>1.0916875</v>
      </c>
    </row>
    <row r="147" spans="1:11" ht="12.75">
      <c r="A147" s="1522" t="s">
        <v>164</v>
      </c>
      <c r="B147" s="1653"/>
      <c r="C147" s="1654"/>
      <c r="D147" s="414">
        <f t="shared" si="15"/>
        <v>0</v>
      </c>
      <c r="E147" s="415">
        <v>40950</v>
      </c>
      <c r="F147" s="416">
        <v>2000</v>
      </c>
      <c r="G147" s="414">
        <v>42950</v>
      </c>
      <c r="H147" s="817">
        <v>42942</v>
      </c>
      <c r="I147" s="818">
        <v>3061</v>
      </c>
      <c r="J147" s="819">
        <f t="shared" si="19"/>
        <v>46003</v>
      </c>
      <c r="K147" s="417">
        <f t="shared" si="17"/>
        <v>1.071082654249127</v>
      </c>
    </row>
    <row r="148" spans="1:11" ht="12.75">
      <c r="A148" s="1522" t="s">
        <v>165</v>
      </c>
      <c r="B148" s="1653"/>
      <c r="C148" s="1654"/>
      <c r="D148" s="414">
        <f t="shared" si="15"/>
        <v>0</v>
      </c>
      <c r="E148" s="415">
        <f>66388+2000+10</f>
        <v>68398</v>
      </c>
      <c r="F148" s="416">
        <v>30</v>
      </c>
      <c r="G148" s="414">
        <f>SUM(E148:F148)</f>
        <v>68428</v>
      </c>
      <c r="H148" s="817">
        <v>67700</v>
      </c>
      <c r="I148" s="818">
        <v>30</v>
      </c>
      <c r="J148" s="819">
        <f t="shared" si="19"/>
        <v>67730</v>
      </c>
      <c r="K148" s="417">
        <f t="shared" si="17"/>
        <v>0.9897994972818145</v>
      </c>
    </row>
    <row r="149" spans="1:11" ht="12.75">
      <c r="A149" s="1522" t="s">
        <v>166</v>
      </c>
      <c r="B149" s="1653"/>
      <c r="C149" s="1654"/>
      <c r="D149" s="414">
        <f t="shared" si="15"/>
        <v>0</v>
      </c>
      <c r="E149" s="427">
        <f>9769</f>
        <v>9769</v>
      </c>
      <c r="F149" s="425">
        <v>3</v>
      </c>
      <c r="G149" s="426">
        <f>SUM(E149:F149)</f>
        <v>9772</v>
      </c>
      <c r="H149" s="825">
        <v>10320</v>
      </c>
      <c r="I149" s="824">
        <v>3</v>
      </c>
      <c r="J149" s="819">
        <f t="shared" si="19"/>
        <v>10323</v>
      </c>
      <c r="K149" s="417">
        <f t="shared" si="17"/>
        <v>1.056385591485878</v>
      </c>
    </row>
    <row r="150" spans="1:11" ht="12.75">
      <c r="A150" s="1522" t="s">
        <v>167</v>
      </c>
      <c r="B150" s="1653"/>
      <c r="C150" s="1654"/>
      <c r="D150" s="414">
        <f t="shared" si="15"/>
        <v>0</v>
      </c>
      <c r="E150" s="427">
        <v>57856</v>
      </c>
      <c r="F150" s="416">
        <v>25</v>
      </c>
      <c r="G150" s="414">
        <v>57881</v>
      </c>
      <c r="H150" s="825">
        <v>56755</v>
      </c>
      <c r="I150" s="818">
        <v>27</v>
      </c>
      <c r="J150" s="819">
        <f t="shared" si="19"/>
        <v>56782</v>
      </c>
      <c r="K150" s="417">
        <f t="shared" si="17"/>
        <v>0.9810127675748519</v>
      </c>
    </row>
    <row r="151" spans="1:11" ht="12.75">
      <c r="A151" s="1522" t="s">
        <v>168</v>
      </c>
      <c r="B151" s="1653"/>
      <c r="C151" s="1654"/>
      <c r="D151" s="414">
        <f t="shared" si="15"/>
        <v>0</v>
      </c>
      <c r="E151" s="428">
        <v>313619</v>
      </c>
      <c r="F151" s="416">
        <f>+G151-E151</f>
        <v>110</v>
      </c>
      <c r="G151" s="426">
        <v>313729</v>
      </c>
      <c r="H151" s="826">
        <v>305338</v>
      </c>
      <c r="I151" s="818">
        <v>112</v>
      </c>
      <c r="J151" s="819">
        <f t="shared" si="19"/>
        <v>305450</v>
      </c>
      <c r="K151" s="417">
        <f t="shared" si="17"/>
        <v>0.9736109827271308</v>
      </c>
    </row>
    <row r="152" spans="1:11" ht="12.75">
      <c r="A152" s="1522" t="s">
        <v>169</v>
      </c>
      <c r="B152" s="1653"/>
      <c r="C152" s="1654"/>
      <c r="D152" s="414">
        <f t="shared" si="15"/>
        <v>0</v>
      </c>
      <c r="E152" s="424">
        <v>228900</v>
      </c>
      <c r="F152" s="425">
        <f>+G152-E152</f>
        <v>80</v>
      </c>
      <c r="G152" s="426">
        <v>228980</v>
      </c>
      <c r="H152" s="823">
        <v>222882</v>
      </c>
      <c r="I152" s="824">
        <v>82</v>
      </c>
      <c r="J152" s="819">
        <f t="shared" si="19"/>
        <v>222964</v>
      </c>
      <c r="K152" s="417">
        <f t="shared" si="17"/>
        <v>0.9737269630535418</v>
      </c>
    </row>
    <row r="153" spans="1:11" ht="12.75">
      <c r="A153" s="1522" t="s">
        <v>170</v>
      </c>
      <c r="B153" s="1653"/>
      <c r="C153" s="1654"/>
      <c r="D153" s="414">
        <f t="shared" si="15"/>
        <v>0</v>
      </c>
      <c r="E153" s="428">
        <f>+G153-F153</f>
        <v>227426</v>
      </c>
      <c r="F153" s="416">
        <v>80</v>
      </c>
      <c r="G153" s="426">
        <f>+G152-G154</f>
        <v>227506</v>
      </c>
      <c r="H153" s="826">
        <v>221499</v>
      </c>
      <c r="I153" s="818">
        <v>82</v>
      </c>
      <c r="J153" s="819">
        <f t="shared" si="19"/>
        <v>221581</v>
      </c>
      <c r="K153" s="417">
        <f t="shared" si="17"/>
        <v>0.973956730811495</v>
      </c>
    </row>
    <row r="154" spans="1:11" ht="12.75">
      <c r="A154" s="1522" t="s">
        <v>171</v>
      </c>
      <c r="B154" s="1653"/>
      <c r="C154" s="1654"/>
      <c r="D154" s="414">
        <f t="shared" si="15"/>
        <v>0</v>
      </c>
      <c r="E154" s="428">
        <v>1474</v>
      </c>
      <c r="F154" s="416"/>
      <c r="G154" s="426">
        <v>1474</v>
      </c>
      <c r="H154" s="826">
        <v>1383</v>
      </c>
      <c r="I154" s="818"/>
      <c r="J154" s="819">
        <f t="shared" si="19"/>
        <v>1383</v>
      </c>
      <c r="K154" s="417">
        <f t="shared" si="17"/>
        <v>0.9382632293080054</v>
      </c>
    </row>
    <row r="155" spans="1:11" ht="12.75">
      <c r="A155" s="1522" t="s">
        <v>172</v>
      </c>
      <c r="B155" s="1653"/>
      <c r="C155" s="1654"/>
      <c r="D155" s="414">
        <f t="shared" si="15"/>
        <v>0</v>
      </c>
      <c r="E155" s="428">
        <f>+G155-F155</f>
        <v>84719</v>
      </c>
      <c r="F155" s="416">
        <v>30</v>
      </c>
      <c r="G155" s="426">
        <f>+G151-G152</f>
        <v>84749</v>
      </c>
      <c r="H155" s="826">
        <v>82456</v>
      </c>
      <c r="I155" s="818">
        <v>30</v>
      </c>
      <c r="J155" s="819">
        <f t="shared" si="19"/>
        <v>82486</v>
      </c>
      <c r="K155" s="417">
        <f t="shared" si="17"/>
        <v>0.9732976200309148</v>
      </c>
    </row>
    <row r="156" spans="1:11" ht="12.75">
      <c r="A156" s="1522" t="s">
        <v>173</v>
      </c>
      <c r="B156" s="1653"/>
      <c r="C156" s="1654"/>
      <c r="D156" s="414">
        <f t="shared" si="15"/>
        <v>0</v>
      </c>
      <c r="E156" s="415"/>
      <c r="F156" s="416"/>
      <c r="G156" s="414"/>
      <c r="H156" s="817"/>
      <c r="I156" s="818"/>
      <c r="J156" s="819">
        <f t="shared" si="19"/>
        <v>0</v>
      </c>
      <c r="K156" s="417"/>
    </row>
    <row r="157" spans="1:11" ht="12.75">
      <c r="A157" s="1522" t="s">
        <v>174</v>
      </c>
      <c r="B157" s="1653"/>
      <c r="C157" s="1654"/>
      <c r="D157" s="414">
        <f t="shared" si="15"/>
        <v>0</v>
      </c>
      <c r="E157" s="415">
        <v>2000</v>
      </c>
      <c r="F157" s="416"/>
      <c r="G157" s="414">
        <v>2000</v>
      </c>
      <c r="H157" s="817">
        <v>2431</v>
      </c>
      <c r="I157" s="818">
        <v>1</v>
      </c>
      <c r="J157" s="819">
        <f t="shared" si="19"/>
        <v>2432</v>
      </c>
      <c r="K157" s="417">
        <f t="shared" si="17"/>
        <v>1.216</v>
      </c>
    </row>
    <row r="158" spans="1:11" ht="12.75">
      <c r="A158" s="1522" t="s">
        <v>175</v>
      </c>
      <c r="B158" s="1653"/>
      <c r="C158" s="1654"/>
      <c r="D158" s="414">
        <f t="shared" si="15"/>
        <v>0</v>
      </c>
      <c r="E158" s="427">
        <v>8104</v>
      </c>
      <c r="F158" s="416"/>
      <c r="G158" s="414">
        <f>4901+3203</f>
        <v>8104</v>
      </c>
      <c r="H158" s="825">
        <v>7350</v>
      </c>
      <c r="I158" s="818">
        <v>2</v>
      </c>
      <c r="J158" s="819">
        <f t="shared" si="19"/>
        <v>7352</v>
      </c>
      <c r="K158" s="417">
        <f t="shared" si="17"/>
        <v>0.9072063178677197</v>
      </c>
    </row>
    <row r="159" spans="1:11" ht="12.75">
      <c r="A159" s="1522" t="s">
        <v>176</v>
      </c>
      <c r="B159" s="1653"/>
      <c r="C159" s="1654"/>
      <c r="D159" s="414">
        <f t="shared" si="15"/>
        <v>0</v>
      </c>
      <c r="E159" s="427">
        <v>4901</v>
      </c>
      <c r="F159" s="416"/>
      <c r="G159" s="414">
        <v>4901</v>
      </c>
      <c r="H159" s="825">
        <v>4398</v>
      </c>
      <c r="I159" s="818">
        <v>2</v>
      </c>
      <c r="J159" s="819">
        <f t="shared" si="19"/>
        <v>4400</v>
      </c>
      <c r="K159" s="417">
        <f t="shared" si="17"/>
        <v>0.8977759640889614</v>
      </c>
    </row>
    <row r="160" spans="1:11" ht="13.5" thickBot="1">
      <c r="A160" s="1538" t="s">
        <v>177</v>
      </c>
      <c r="B160" s="1655"/>
      <c r="C160" s="1656"/>
      <c r="D160" s="414">
        <f t="shared" si="15"/>
        <v>0</v>
      </c>
      <c r="E160" s="429"/>
      <c r="F160" s="419"/>
      <c r="G160" s="414">
        <v>0</v>
      </c>
      <c r="H160" s="827"/>
      <c r="I160" s="821"/>
      <c r="J160" s="819">
        <v>0</v>
      </c>
      <c r="K160" s="420"/>
    </row>
    <row r="161" spans="1:11" ht="13.5" thickBot="1">
      <c r="A161" s="1532" t="s">
        <v>18</v>
      </c>
      <c r="B161" s="1662"/>
      <c r="C161" s="1663"/>
      <c r="D161" s="421">
        <f t="shared" si="15"/>
        <v>0</v>
      </c>
      <c r="E161" s="401">
        <f aca="true" t="shared" si="20" ref="E161:J161">SUM(E143+E145+E146+E147+E148+E151+E156+E157+E158+E160)</f>
        <v>586538</v>
      </c>
      <c r="F161" s="402">
        <f t="shared" si="20"/>
        <v>2712</v>
      </c>
      <c r="G161" s="403">
        <f t="shared" si="20"/>
        <v>589250</v>
      </c>
      <c r="H161" s="822">
        <f t="shared" si="20"/>
        <v>578924</v>
      </c>
      <c r="I161" s="388">
        <f t="shared" si="20"/>
        <v>4068</v>
      </c>
      <c r="J161" s="389">
        <f t="shared" si="20"/>
        <v>582992</v>
      </c>
      <c r="K161" s="430">
        <f t="shared" si="17"/>
        <v>0.9893797199830293</v>
      </c>
    </row>
    <row r="162" spans="1:11" ht="13.5" thickBot="1">
      <c r="A162" s="1535" t="s">
        <v>26</v>
      </c>
      <c r="B162" s="1664"/>
      <c r="C162" s="1665"/>
      <c r="D162" s="431">
        <f aca="true" t="shared" si="21" ref="D162:J162">+D142-D161</f>
        <v>0</v>
      </c>
      <c r="E162" s="432">
        <f t="shared" si="21"/>
        <v>-10972</v>
      </c>
      <c r="F162" s="433">
        <f t="shared" si="21"/>
        <v>738</v>
      </c>
      <c r="G162" s="404">
        <f t="shared" si="21"/>
        <v>-10234</v>
      </c>
      <c r="H162" s="432">
        <f t="shared" si="21"/>
        <v>-899</v>
      </c>
      <c r="I162" s="433">
        <f t="shared" si="21"/>
        <v>948</v>
      </c>
      <c r="J162" s="432">
        <f t="shared" si="21"/>
        <v>49</v>
      </c>
      <c r="K162" s="434">
        <f t="shared" si="17"/>
        <v>-0.0047879616963064295</v>
      </c>
    </row>
    <row r="164" spans="1:12" ht="12.75">
      <c r="A164" s="1523" t="s">
        <v>144</v>
      </c>
      <c r="B164" s="1524"/>
      <c r="C164" s="1524"/>
      <c r="D164" s="1524"/>
      <c r="E164" s="1524"/>
      <c r="F164" s="1524"/>
      <c r="G164" s="1524"/>
      <c r="H164" s="1524"/>
      <c r="I164" s="1524"/>
      <c r="J164" s="1524"/>
      <c r="K164" s="1524"/>
      <c r="L164" s="1525"/>
    </row>
    <row r="165" spans="1:12" ht="12.75">
      <c r="A165" s="1526"/>
      <c r="B165" s="1527"/>
      <c r="C165" s="1527"/>
      <c r="D165" s="1527"/>
      <c r="E165" s="1527"/>
      <c r="F165" s="1527"/>
      <c r="G165" s="1527"/>
      <c r="H165" s="1527"/>
      <c r="I165" s="1527"/>
      <c r="J165" s="1527"/>
      <c r="K165" s="1527"/>
      <c r="L165" s="1528"/>
    </row>
    <row r="166" spans="1:12" ht="12.75">
      <c r="A166" s="1526"/>
      <c r="B166" s="1527"/>
      <c r="C166" s="1527"/>
      <c r="D166" s="1527"/>
      <c r="E166" s="1527"/>
      <c r="F166" s="1527"/>
      <c r="G166" s="1527"/>
      <c r="H166" s="1527"/>
      <c r="I166" s="1527"/>
      <c r="J166" s="1527"/>
      <c r="K166" s="1527"/>
      <c r="L166" s="1528"/>
    </row>
    <row r="167" spans="1:12" ht="12.75">
      <c r="A167" s="1529"/>
      <c r="B167" s="1530"/>
      <c r="C167" s="1530"/>
      <c r="D167" s="1530"/>
      <c r="E167" s="1530"/>
      <c r="F167" s="1530"/>
      <c r="G167" s="1530"/>
      <c r="H167" s="1530"/>
      <c r="I167" s="1530"/>
      <c r="J167" s="1530"/>
      <c r="K167" s="1530"/>
      <c r="L167" s="1531"/>
    </row>
    <row r="169" ht="15.75">
      <c r="A169" s="16" t="s">
        <v>186</v>
      </c>
    </row>
  </sheetData>
  <mergeCells count="136">
    <mergeCell ref="A1:L1"/>
    <mergeCell ref="J5:K5"/>
    <mergeCell ref="L5:L6"/>
    <mergeCell ref="K120:L120"/>
    <mergeCell ref="A4:A6"/>
    <mergeCell ref="B4:C4"/>
    <mergeCell ref="D4:G4"/>
    <mergeCell ref="B5:B6"/>
    <mergeCell ref="C5:C6"/>
    <mergeCell ref="D5:E5"/>
    <mergeCell ref="K121:L121"/>
    <mergeCell ref="H120:J120"/>
    <mergeCell ref="H121:J121"/>
    <mergeCell ref="A20:L23"/>
    <mergeCell ref="E45:E46"/>
    <mergeCell ref="F45:K45"/>
    <mergeCell ref="A45:A46"/>
    <mergeCell ref="A94:B94"/>
    <mergeCell ref="A95:B95"/>
    <mergeCell ref="H119:J119"/>
    <mergeCell ref="F5:G5"/>
    <mergeCell ref="A101:B101"/>
    <mergeCell ref="A102:B102"/>
    <mergeCell ref="A103:B103"/>
    <mergeCell ref="A96:B96"/>
    <mergeCell ref="A97:B97"/>
    <mergeCell ref="A98:B98"/>
    <mergeCell ref="A99:B99"/>
    <mergeCell ref="A92:B92"/>
    <mergeCell ref="A93:B93"/>
    <mergeCell ref="K118:L118"/>
    <mergeCell ref="K119:L119"/>
    <mergeCell ref="A118:D118"/>
    <mergeCell ref="A119:D119"/>
    <mergeCell ref="H118:J118"/>
    <mergeCell ref="A124:D124"/>
    <mergeCell ref="E118:F118"/>
    <mergeCell ref="E119:F119"/>
    <mergeCell ref="E120:F120"/>
    <mergeCell ref="E121:F121"/>
    <mergeCell ref="E123:F123"/>
    <mergeCell ref="A122:D122"/>
    <mergeCell ref="A123:D123"/>
    <mergeCell ref="K125:L125"/>
    <mergeCell ref="A120:D120"/>
    <mergeCell ref="A121:D121"/>
    <mergeCell ref="E26:E27"/>
    <mergeCell ref="A26:A27"/>
    <mergeCell ref="B26:B27"/>
    <mergeCell ref="A63:L65"/>
    <mergeCell ref="C26:C27"/>
    <mergeCell ref="D26:D27"/>
    <mergeCell ref="F26:K26"/>
    <mergeCell ref="A90:B91"/>
    <mergeCell ref="C90:G90"/>
    <mergeCell ref="H90:L90"/>
    <mergeCell ref="A125:D125"/>
    <mergeCell ref="A108:B108"/>
    <mergeCell ref="A109:B109"/>
    <mergeCell ref="A110:B110"/>
    <mergeCell ref="A112:L115"/>
    <mergeCell ref="E125:F125"/>
    <mergeCell ref="H125:J125"/>
    <mergeCell ref="G69:I69"/>
    <mergeCell ref="D69:F69"/>
    <mergeCell ref="A69:C70"/>
    <mergeCell ref="H4:L4"/>
    <mergeCell ref="L26:L27"/>
    <mergeCell ref="L45:L46"/>
    <mergeCell ref="H5:I5"/>
    <mergeCell ref="D45:D46"/>
    <mergeCell ref="B45:B46"/>
    <mergeCell ref="C45:C46"/>
    <mergeCell ref="H122:J122"/>
    <mergeCell ref="K122:L122"/>
    <mergeCell ref="H123:J123"/>
    <mergeCell ref="H124:J124"/>
    <mergeCell ref="K123:L123"/>
    <mergeCell ref="K124:L124"/>
    <mergeCell ref="A73:C73"/>
    <mergeCell ref="A74:C74"/>
    <mergeCell ref="E122:F122"/>
    <mergeCell ref="E124:F124"/>
    <mergeCell ref="A104:B104"/>
    <mergeCell ref="A105:B105"/>
    <mergeCell ref="A106:B106"/>
    <mergeCell ref="A107:B107"/>
    <mergeCell ref="A100:B100"/>
    <mergeCell ref="A83:L86"/>
    <mergeCell ref="A79:C79"/>
    <mergeCell ref="A80:C80"/>
    <mergeCell ref="A81:C81"/>
    <mergeCell ref="J69:L69"/>
    <mergeCell ref="A75:C75"/>
    <mergeCell ref="A76:C76"/>
    <mergeCell ref="A77:C77"/>
    <mergeCell ref="A78:C78"/>
    <mergeCell ref="A71:C71"/>
    <mergeCell ref="A72:C72"/>
    <mergeCell ref="A129: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4:L167"/>
    <mergeCell ref="A160:C160"/>
    <mergeCell ref="A161:C161"/>
    <mergeCell ref="A162:C162"/>
    <mergeCell ref="J131:J132"/>
    <mergeCell ref="E130:G130"/>
    <mergeCell ref="H130:J130"/>
    <mergeCell ref="D129:K129"/>
    <mergeCell ref="D130:D132"/>
  </mergeCells>
  <printOptions horizontalCentered="1"/>
  <pageMargins left="0.2" right="0.1968503937007874" top="0.3937007874015748" bottom="0.3" header="0.2362204724409449" footer="0.19"/>
  <pageSetup horizontalDpi="600" verticalDpi="600" orientation="portrait" paperSize="9" scale="80" r:id="rId2"/>
  <headerFooter alignWithMargins="0">
    <oddFooter>&amp;C&amp;8&amp;P / 25</oddFooter>
  </headerFooter>
  <rowBreaks count="2" manualBreakCount="2">
    <brk id="67" max="255" man="1"/>
    <brk id="127" max="255" man="1"/>
  </rowBreaks>
  <drawing r:id="rId1"/>
</worksheet>
</file>

<file path=xl/worksheets/sheet9.xml><?xml version="1.0" encoding="utf-8"?>
<worksheet xmlns="http://schemas.openxmlformats.org/spreadsheetml/2006/main" xmlns:r="http://schemas.openxmlformats.org/officeDocument/2006/relationships">
  <dimension ref="A2:DL262"/>
  <sheetViews>
    <sheetView workbookViewId="0" topLeftCell="A1">
      <selection activeCell="M5" sqref="M5"/>
    </sheetView>
  </sheetViews>
  <sheetFormatPr defaultColWidth="9.00390625" defaultRowHeight="12.75"/>
  <cols>
    <col min="1" max="1" width="19.875" style="608" bestFit="1" customWidth="1"/>
    <col min="2" max="4" width="9.875" style="608" customWidth="1"/>
    <col min="5" max="5" width="11.375" style="608" customWidth="1"/>
    <col min="6" max="11" width="9.875" style="608" customWidth="1"/>
    <col min="12" max="15" width="9.25390625" style="608" customWidth="1"/>
    <col min="16" max="16" width="13.75390625" style="608" customWidth="1"/>
    <col min="17" max="26" width="10.625" style="608" customWidth="1"/>
    <col min="27" max="36" width="9.25390625" style="608" customWidth="1"/>
    <col min="37" max="46" width="10.625" style="608" customWidth="1"/>
    <col min="47" max="16384" width="9.125" style="608" customWidth="1"/>
  </cols>
  <sheetData>
    <row r="1" ht="5.25" customHeight="1"/>
    <row r="2" spans="1:11" ht="15.75">
      <c r="A2" s="1766" t="s">
        <v>0</v>
      </c>
      <c r="B2" s="1766"/>
      <c r="C2" s="1766"/>
      <c r="D2" s="1766"/>
      <c r="E2" s="1766"/>
      <c r="F2" s="1766"/>
      <c r="G2" s="1766"/>
      <c r="H2" s="1766"/>
      <c r="I2" s="1766"/>
      <c r="J2" s="1766"/>
      <c r="K2" s="1766"/>
    </row>
    <row r="3" ht="6" customHeight="1" thickBot="1"/>
    <row r="4" spans="1:71" s="609" customFormat="1" ht="10.5" customHeight="1" thickBot="1">
      <c r="A4" s="1764" t="s">
        <v>203</v>
      </c>
      <c r="B4" s="1751" t="s">
        <v>269</v>
      </c>
      <c r="C4" s="1752"/>
      <c r="D4" s="1752"/>
      <c r="E4" s="1752"/>
      <c r="F4" s="1752"/>
      <c r="G4" s="1752"/>
      <c r="H4" s="1752"/>
      <c r="I4" s="1752"/>
      <c r="J4" s="1752"/>
      <c r="K4" s="1753"/>
      <c r="P4" s="1745" t="s">
        <v>204</v>
      </c>
      <c r="Q4" s="1747" t="s">
        <v>23</v>
      </c>
      <c r="R4" s="1738"/>
      <c r="S4" s="1738"/>
      <c r="T4" s="1738"/>
      <c r="U4" s="1738"/>
      <c r="V4" s="1738"/>
      <c r="W4" s="1739"/>
      <c r="X4" s="1739"/>
      <c r="Y4" s="1739"/>
      <c r="Z4" s="1748"/>
      <c r="AA4" s="1747" t="s">
        <v>22</v>
      </c>
      <c r="AB4" s="1738"/>
      <c r="AC4" s="1738"/>
      <c r="AD4" s="1738"/>
      <c r="AE4" s="1738"/>
      <c r="AF4" s="1738"/>
      <c r="AG4" s="1739"/>
      <c r="AH4" s="1739"/>
      <c r="AI4" s="1739"/>
      <c r="AJ4" s="1748"/>
      <c r="AK4" s="1737" t="s">
        <v>21</v>
      </c>
      <c r="AL4" s="1738"/>
      <c r="AM4" s="1738"/>
      <c r="AN4" s="1738"/>
      <c r="AO4" s="1738"/>
      <c r="AP4" s="1738"/>
      <c r="AQ4" s="1739"/>
      <c r="AR4" s="1739"/>
      <c r="AS4" s="1739"/>
      <c r="AT4" s="1739"/>
      <c r="AU4" s="1738" t="s">
        <v>20</v>
      </c>
      <c r="AV4" s="1738"/>
      <c r="AW4" s="1738"/>
      <c r="AX4" s="1738"/>
      <c r="AY4" s="1738"/>
      <c r="AZ4" s="1738"/>
      <c r="BA4" s="1739"/>
      <c r="BB4" s="1739"/>
      <c r="BC4" s="1739"/>
      <c r="BD4" s="1740"/>
      <c r="BE4" s="1741" t="s">
        <v>205</v>
      </c>
      <c r="BF4" s="1742"/>
      <c r="BG4" s="1742"/>
      <c r="BH4" s="1742"/>
      <c r="BI4" s="1742"/>
      <c r="BJ4" s="1742"/>
      <c r="BK4" s="1743"/>
      <c r="BL4" s="1743"/>
      <c r="BM4" s="1743"/>
      <c r="BN4" s="1744"/>
      <c r="BO4" s="1734" t="s">
        <v>206</v>
      </c>
      <c r="BP4" s="1735"/>
      <c r="BQ4" s="1735"/>
      <c r="BR4" s="1735"/>
      <c r="BS4" s="1736"/>
    </row>
    <row r="5" spans="1:116" ht="32.25" customHeight="1" thickBot="1">
      <c r="A5" s="1765"/>
      <c r="B5" s="1754" t="s">
        <v>207</v>
      </c>
      <c r="C5" s="1757"/>
      <c r="D5" s="1756" t="s">
        <v>22</v>
      </c>
      <c r="E5" s="1757"/>
      <c r="F5" s="1756" t="s">
        <v>21</v>
      </c>
      <c r="G5" s="1757"/>
      <c r="H5" s="1756" t="s">
        <v>20</v>
      </c>
      <c r="I5" s="1758"/>
      <c r="J5" s="1756" t="s">
        <v>205</v>
      </c>
      <c r="K5" s="1759"/>
      <c r="P5" s="1746"/>
      <c r="Q5" s="610" t="s">
        <v>62</v>
      </c>
      <c r="R5" s="611" t="s">
        <v>63</v>
      </c>
      <c r="S5" s="611" t="s">
        <v>93</v>
      </c>
      <c r="T5" s="611" t="s">
        <v>92</v>
      </c>
      <c r="U5" s="611" t="s">
        <v>94</v>
      </c>
      <c r="V5" s="611" t="s">
        <v>95</v>
      </c>
      <c r="W5" s="611" t="s">
        <v>96</v>
      </c>
      <c r="X5" s="611" t="s">
        <v>97</v>
      </c>
      <c r="Y5" s="611" t="s">
        <v>64</v>
      </c>
      <c r="Z5" s="612" t="s">
        <v>98</v>
      </c>
      <c r="AA5" s="610" t="s">
        <v>62</v>
      </c>
      <c r="AB5" s="611" t="s">
        <v>63</v>
      </c>
      <c r="AC5" s="611" t="s">
        <v>93</v>
      </c>
      <c r="AD5" s="611" t="s">
        <v>92</v>
      </c>
      <c r="AE5" s="611" t="s">
        <v>94</v>
      </c>
      <c r="AF5" s="611" t="s">
        <v>95</v>
      </c>
      <c r="AG5" s="611" t="s">
        <v>96</v>
      </c>
      <c r="AH5" s="611" t="s">
        <v>97</v>
      </c>
      <c r="AI5" s="611" t="s">
        <v>64</v>
      </c>
      <c r="AJ5" s="612" t="s">
        <v>98</v>
      </c>
      <c r="AK5" s="613" t="s">
        <v>62</v>
      </c>
      <c r="AL5" s="611" t="s">
        <v>63</v>
      </c>
      <c r="AM5" s="611" t="s">
        <v>93</v>
      </c>
      <c r="AN5" s="611" t="s">
        <v>92</v>
      </c>
      <c r="AO5" s="611" t="s">
        <v>94</v>
      </c>
      <c r="AP5" s="611" t="s">
        <v>95</v>
      </c>
      <c r="AQ5" s="611" t="s">
        <v>96</v>
      </c>
      <c r="AR5" s="611" t="s">
        <v>97</v>
      </c>
      <c r="AS5" s="611" t="s">
        <v>64</v>
      </c>
      <c r="AT5" s="611" t="s">
        <v>98</v>
      </c>
      <c r="AU5" s="611" t="s">
        <v>62</v>
      </c>
      <c r="AV5" s="611" t="s">
        <v>63</v>
      </c>
      <c r="AW5" s="611" t="s">
        <v>93</v>
      </c>
      <c r="AX5" s="611" t="s">
        <v>92</v>
      </c>
      <c r="AY5" s="611" t="s">
        <v>94</v>
      </c>
      <c r="AZ5" s="611" t="s">
        <v>95</v>
      </c>
      <c r="BA5" s="611" t="s">
        <v>96</v>
      </c>
      <c r="BB5" s="611" t="s">
        <v>97</v>
      </c>
      <c r="BC5" s="611" t="s">
        <v>64</v>
      </c>
      <c r="BD5" s="614" t="s">
        <v>98</v>
      </c>
      <c r="BE5" s="615" t="s">
        <v>62</v>
      </c>
      <c r="BF5" s="616" t="s">
        <v>63</v>
      </c>
      <c r="BG5" s="616" t="s">
        <v>93</v>
      </c>
      <c r="BH5" s="616" t="s">
        <v>92</v>
      </c>
      <c r="BI5" s="616" t="s">
        <v>94</v>
      </c>
      <c r="BJ5" s="616" t="s">
        <v>95</v>
      </c>
      <c r="BK5" s="616" t="s">
        <v>96</v>
      </c>
      <c r="BL5" s="616" t="s">
        <v>97</v>
      </c>
      <c r="BM5" s="616" t="s">
        <v>64</v>
      </c>
      <c r="BN5" s="617" t="s">
        <v>98</v>
      </c>
      <c r="BO5" s="618" t="s">
        <v>208</v>
      </c>
      <c r="BP5" s="616" t="s">
        <v>209</v>
      </c>
      <c r="BQ5" s="619" t="s">
        <v>210</v>
      </c>
      <c r="BR5" s="616" t="s">
        <v>211</v>
      </c>
      <c r="BS5" s="620" t="s">
        <v>212</v>
      </c>
      <c r="BT5" s="621"/>
      <c r="BU5" s="621"/>
      <c r="BV5" s="621"/>
      <c r="BW5" s="621"/>
      <c r="BX5" s="621"/>
      <c r="BY5" s="621"/>
      <c r="BZ5" s="621"/>
      <c r="CA5" s="621"/>
      <c r="CB5" s="621"/>
      <c r="CC5" s="621"/>
      <c r="CD5" s="621"/>
      <c r="CE5" s="621"/>
      <c r="CF5" s="621"/>
      <c r="CG5" s="621"/>
      <c r="CH5" s="621"/>
      <c r="CI5" s="621"/>
      <c r="CJ5" s="621"/>
      <c r="CK5" s="621"/>
      <c r="CL5" s="621"/>
      <c r="CM5" s="621"/>
      <c r="CN5" s="621"/>
      <c r="CO5" s="621"/>
      <c r="CP5" s="621"/>
      <c r="CQ5" s="621"/>
      <c r="CR5" s="621"/>
      <c r="CS5" s="621"/>
      <c r="CT5" s="621"/>
      <c r="CU5" s="621"/>
      <c r="CV5" s="621"/>
      <c r="CW5" s="621"/>
      <c r="CX5" s="621"/>
      <c r="CY5" s="621"/>
      <c r="CZ5" s="621"/>
      <c r="DA5" s="621"/>
      <c r="DB5" s="621"/>
      <c r="DC5" s="621"/>
      <c r="DD5" s="621"/>
      <c r="DE5" s="621"/>
      <c r="DF5" s="621"/>
      <c r="DG5" s="621"/>
      <c r="DH5" s="621"/>
      <c r="DI5" s="621"/>
      <c r="DJ5" s="621"/>
      <c r="DK5" s="621"/>
      <c r="DL5" s="621"/>
    </row>
    <row r="6" spans="1:71" s="609" customFormat="1" ht="16.5" customHeight="1" thickBot="1">
      <c r="A6" s="622" t="s">
        <v>213</v>
      </c>
      <c r="B6" s="623">
        <f>+Q23</f>
        <v>39944.13595346815</v>
      </c>
      <c r="C6" s="624" t="s">
        <v>214</v>
      </c>
      <c r="D6" s="625">
        <f>+AA23</f>
        <v>41054.54675945065</v>
      </c>
      <c r="E6" s="624" t="s">
        <v>214</v>
      </c>
      <c r="F6" s="625">
        <f>+AK23</f>
        <v>40331.02867424678</v>
      </c>
      <c r="G6" s="624" t="s">
        <v>214</v>
      </c>
      <c r="H6" s="625">
        <f>+AU23</f>
        <v>41243.1570420408</v>
      </c>
      <c r="I6" s="624" t="s">
        <v>214</v>
      </c>
      <c r="J6" s="625">
        <f>+BE23</f>
        <v>40805.626535298514</v>
      </c>
      <c r="K6" s="626" t="s">
        <v>214</v>
      </c>
      <c r="P6" s="627" t="s">
        <v>215</v>
      </c>
      <c r="Q6" s="628">
        <v>58784986</v>
      </c>
      <c r="R6" s="629">
        <f aca="true" t="shared" si="0" ref="R6:AV6">SUM(R7:R21)</f>
        <v>2045477</v>
      </c>
      <c r="S6" s="629">
        <f t="shared" si="0"/>
        <v>99274538</v>
      </c>
      <c r="T6" s="630">
        <f t="shared" si="0"/>
        <v>14023313</v>
      </c>
      <c r="U6" s="629">
        <f t="shared" si="0"/>
        <v>6406962</v>
      </c>
      <c r="V6" s="629">
        <f t="shared" si="0"/>
        <v>18085402</v>
      </c>
      <c r="W6" s="629">
        <f t="shared" si="0"/>
        <v>693944</v>
      </c>
      <c r="X6" s="629">
        <f t="shared" si="0"/>
        <v>0</v>
      </c>
      <c r="Y6" s="629">
        <f t="shared" si="0"/>
        <v>12586211</v>
      </c>
      <c r="Z6" s="631">
        <f t="shared" si="0"/>
        <v>22976394</v>
      </c>
      <c r="AA6" s="632">
        <v>71503883</v>
      </c>
      <c r="AB6" s="632">
        <v>2311957</v>
      </c>
      <c r="AC6" s="632">
        <v>123655770</v>
      </c>
      <c r="AD6" s="632">
        <v>18725594</v>
      </c>
      <c r="AE6" s="632">
        <v>6535790</v>
      </c>
      <c r="AF6" s="632">
        <v>21777292</v>
      </c>
      <c r="AG6" s="632">
        <v>0</v>
      </c>
      <c r="AH6" s="632">
        <v>0</v>
      </c>
      <c r="AI6" s="632">
        <v>13850353</v>
      </c>
      <c r="AJ6" s="632">
        <v>15516896</v>
      </c>
      <c r="AK6" s="632">
        <f t="shared" si="0"/>
        <v>42139472</v>
      </c>
      <c r="AL6" s="629">
        <f t="shared" si="0"/>
        <v>1238128</v>
      </c>
      <c r="AM6" s="629">
        <f t="shared" si="0"/>
        <v>63686318</v>
      </c>
      <c r="AN6" s="629">
        <f t="shared" si="0"/>
        <v>10800337</v>
      </c>
      <c r="AO6" s="629">
        <f t="shared" si="0"/>
        <v>2380231</v>
      </c>
      <c r="AP6" s="629">
        <f t="shared" si="0"/>
        <v>14605363</v>
      </c>
      <c r="AQ6" s="629">
        <f t="shared" si="0"/>
        <v>3120891</v>
      </c>
      <c r="AR6" s="629">
        <f t="shared" si="0"/>
        <v>0</v>
      </c>
      <c r="AS6" s="629">
        <f t="shared" si="0"/>
        <v>11352867</v>
      </c>
      <c r="AT6" s="629">
        <f t="shared" si="0"/>
        <v>11549955</v>
      </c>
      <c r="AU6" s="629">
        <f t="shared" si="0"/>
        <v>60078082</v>
      </c>
      <c r="AV6" s="629">
        <f t="shared" si="0"/>
        <v>1800643</v>
      </c>
      <c r="AW6" s="629">
        <f aca="true" t="shared" si="1" ref="AW6:BN6">SUM(AW7:AW21)</f>
        <v>100126795</v>
      </c>
      <c r="AX6" s="629">
        <f t="shared" si="1"/>
        <v>12263995</v>
      </c>
      <c r="AY6" s="629">
        <f t="shared" si="1"/>
        <v>3825395</v>
      </c>
      <c r="AZ6" s="629">
        <f t="shared" si="1"/>
        <v>16214604</v>
      </c>
      <c r="BA6" s="629">
        <f t="shared" si="1"/>
        <v>2499964</v>
      </c>
      <c r="BB6" s="629">
        <f t="shared" si="1"/>
        <v>0</v>
      </c>
      <c r="BC6" s="629">
        <f t="shared" si="1"/>
        <v>14112400</v>
      </c>
      <c r="BD6" s="633">
        <f t="shared" si="1"/>
        <v>10897394</v>
      </c>
      <c r="BE6" s="628">
        <f t="shared" si="1"/>
        <v>61130093</v>
      </c>
      <c r="BF6" s="629">
        <f t="shared" si="1"/>
        <v>1750064</v>
      </c>
      <c r="BG6" s="629">
        <f t="shared" si="1"/>
        <v>93180267</v>
      </c>
      <c r="BH6" s="629">
        <f t="shared" si="1"/>
        <v>16249869</v>
      </c>
      <c r="BI6" s="629">
        <f t="shared" si="1"/>
        <v>4960387</v>
      </c>
      <c r="BJ6" s="629">
        <f t="shared" si="1"/>
        <v>14213737</v>
      </c>
      <c r="BK6" s="629">
        <f t="shared" si="1"/>
        <v>0</v>
      </c>
      <c r="BL6" s="629">
        <f t="shared" si="1"/>
        <v>0</v>
      </c>
      <c r="BM6" s="629">
        <f t="shared" si="1"/>
        <v>11673137</v>
      </c>
      <c r="BN6" s="631">
        <f t="shared" si="1"/>
        <v>18422794</v>
      </c>
      <c r="BO6" s="628">
        <f aca="true" t="shared" si="2" ref="BO6:BO22">SUM(Q6:Z6)</f>
        <v>234877227</v>
      </c>
      <c r="BP6" s="629">
        <f aca="true" t="shared" si="3" ref="BP6:BP22">SUM(AA6:AJ6)</f>
        <v>273877535</v>
      </c>
      <c r="BQ6" s="629">
        <f aca="true" t="shared" si="4" ref="BQ6:BQ22">SUM(AK6:AT6)</f>
        <v>160873562</v>
      </c>
      <c r="BR6" s="629">
        <f aca="true" t="shared" si="5" ref="BR6:BR22">SUM(AU6:BD6)</f>
        <v>221819272</v>
      </c>
      <c r="BS6" s="631">
        <f aca="true" t="shared" si="6" ref="BS6:BS22">SUM(BE6:BN6)</f>
        <v>221580348</v>
      </c>
    </row>
    <row r="7" spans="1:71" s="609" customFormat="1" ht="16.5" customHeight="1">
      <c r="A7" s="634" t="s">
        <v>216</v>
      </c>
      <c r="B7" s="635">
        <f>+Q24</f>
        <v>20488.28209936943</v>
      </c>
      <c r="C7" s="636">
        <f aca="true" t="shared" si="7" ref="C7:C15">+B7/$B$6</f>
        <v>0.5129234019040168</v>
      </c>
      <c r="D7" s="637">
        <f>+AA24</f>
        <v>19877.900073492263</v>
      </c>
      <c r="E7" s="638">
        <f aca="true" t="shared" si="8" ref="E7:E14">+D7/$D$6</f>
        <v>0.4841826701914916</v>
      </c>
      <c r="F7" s="639">
        <f>+AK24</f>
        <v>20937.75506297615</v>
      </c>
      <c r="G7" s="638">
        <f aca="true" t="shared" si="9" ref="G7:G14">+F7/$F$6</f>
        <v>0.5191475583747228</v>
      </c>
      <c r="H7" s="639">
        <f>+AU24</f>
        <v>20503.7640387731</v>
      </c>
      <c r="I7" s="638">
        <f aca="true" t="shared" si="10" ref="I7:I14">+H7/$H$6</f>
        <v>0.4971434174612965</v>
      </c>
      <c r="J7" s="639">
        <f>+BE24</f>
        <v>21109.797207091742</v>
      </c>
      <c r="K7" s="640">
        <f aca="true" t="shared" si="11" ref="K7:K14">+J7/$J$6</f>
        <v>0.5173256484330884</v>
      </c>
      <c r="P7" s="641" t="s">
        <v>217</v>
      </c>
      <c r="Q7" s="642">
        <v>30152195</v>
      </c>
      <c r="R7" s="643">
        <v>1263453</v>
      </c>
      <c r="S7" s="643">
        <v>70681933</v>
      </c>
      <c r="T7" s="643">
        <v>9207313</v>
      </c>
      <c r="U7" s="643">
        <v>4704131</v>
      </c>
      <c r="V7" s="643">
        <v>12329111</v>
      </c>
      <c r="W7" s="643">
        <v>533439</v>
      </c>
      <c r="X7" s="643"/>
      <c r="Y7" s="643">
        <v>7394250</v>
      </c>
      <c r="Z7" s="644">
        <v>15449556</v>
      </c>
      <c r="AA7" s="645">
        <v>34620941</v>
      </c>
      <c r="AB7" s="645">
        <v>1480390</v>
      </c>
      <c r="AC7" s="645">
        <v>89006939</v>
      </c>
      <c r="AD7" s="645">
        <v>12465631</v>
      </c>
      <c r="AE7" s="646">
        <v>5440619</v>
      </c>
      <c r="AF7" s="645">
        <v>16740277</v>
      </c>
      <c r="AG7" s="645">
        <v>0</v>
      </c>
      <c r="AH7" s="645">
        <v>0</v>
      </c>
      <c r="AI7" s="645">
        <v>9438337</v>
      </c>
      <c r="AJ7" s="645">
        <v>11749823</v>
      </c>
      <c r="AK7" s="645">
        <v>21876604</v>
      </c>
      <c r="AL7" s="645">
        <v>950097</v>
      </c>
      <c r="AM7" s="645">
        <v>46035176</v>
      </c>
      <c r="AN7" s="645">
        <v>7180408</v>
      </c>
      <c r="AO7" s="646">
        <v>2025205</v>
      </c>
      <c r="AP7" s="645">
        <v>10042160</v>
      </c>
      <c r="AQ7" s="645">
        <v>2419283</v>
      </c>
      <c r="AR7" s="645">
        <v>0</v>
      </c>
      <c r="AS7" s="645">
        <v>7822823</v>
      </c>
      <c r="AT7" s="645">
        <v>8307735</v>
      </c>
      <c r="AU7" s="647">
        <v>29867423</v>
      </c>
      <c r="AV7" s="648">
        <v>962058</v>
      </c>
      <c r="AW7" s="648">
        <v>75060197</v>
      </c>
      <c r="AX7" s="648">
        <v>8381372</v>
      </c>
      <c r="AY7" s="648">
        <v>2766390</v>
      </c>
      <c r="AZ7" s="647">
        <v>12673915</v>
      </c>
      <c r="BA7" s="648">
        <v>1973462</v>
      </c>
      <c r="BB7" s="648">
        <v>0</v>
      </c>
      <c r="BC7" s="648">
        <v>8442650</v>
      </c>
      <c r="BD7" s="648">
        <v>8140173</v>
      </c>
      <c r="BE7" s="645">
        <v>31624165</v>
      </c>
      <c r="BF7" s="645">
        <v>1208251</v>
      </c>
      <c r="BG7" s="645">
        <v>67031008</v>
      </c>
      <c r="BH7" s="645">
        <v>10779730</v>
      </c>
      <c r="BI7" s="646">
        <v>3713193</v>
      </c>
      <c r="BJ7" s="645">
        <v>10452086</v>
      </c>
      <c r="BK7" s="645"/>
      <c r="BL7" s="645"/>
      <c r="BM7" s="645">
        <v>7818012</v>
      </c>
      <c r="BN7" s="645">
        <v>12958307</v>
      </c>
      <c r="BO7" s="649">
        <f t="shared" si="2"/>
        <v>151715381</v>
      </c>
      <c r="BP7" s="629">
        <f t="shared" si="3"/>
        <v>180942957</v>
      </c>
      <c r="BQ7" s="629">
        <f t="shared" si="4"/>
        <v>106659491</v>
      </c>
      <c r="BR7" s="629">
        <f t="shared" si="5"/>
        <v>148267640</v>
      </c>
      <c r="BS7" s="631">
        <f t="shared" si="6"/>
        <v>145584752</v>
      </c>
    </row>
    <row r="8" spans="1:71" s="609" customFormat="1" ht="16.5" customHeight="1">
      <c r="A8" s="650" t="s">
        <v>218</v>
      </c>
      <c r="B8" s="651">
        <f>+Q28</f>
        <v>3137.861491628615</v>
      </c>
      <c r="C8" s="636">
        <f t="shared" si="7"/>
        <v>0.07855624903950816</v>
      </c>
      <c r="D8" s="652">
        <f>+AA28</f>
        <v>5327.409168159479</v>
      </c>
      <c r="E8" s="638">
        <f t="shared" si="8"/>
        <v>0.12976416959062212</v>
      </c>
      <c r="F8" s="652">
        <f>+AK28</f>
        <v>3954.4446996669353</v>
      </c>
      <c r="G8" s="638">
        <f t="shared" si="9"/>
        <v>0.09804968605207014</v>
      </c>
      <c r="H8" s="652">
        <f>+AU28</f>
        <v>4973.627014855699</v>
      </c>
      <c r="I8" s="638">
        <f t="shared" si="10"/>
        <v>0.1205927812409191</v>
      </c>
      <c r="J8" s="652">
        <f>+BE28</f>
        <v>2948.8064722845243</v>
      </c>
      <c r="K8" s="640">
        <f t="shared" si="11"/>
        <v>0.07226470275450096</v>
      </c>
      <c r="P8" s="641" t="s">
        <v>219</v>
      </c>
      <c r="Q8" s="653">
        <v>683105</v>
      </c>
      <c r="R8" s="643">
        <v>43253</v>
      </c>
      <c r="S8" s="643">
        <v>548299</v>
      </c>
      <c r="T8" s="643">
        <v>129524</v>
      </c>
      <c r="U8" s="643">
        <v>110234</v>
      </c>
      <c r="V8" s="643">
        <v>0</v>
      </c>
      <c r="W8" s="643">
        <v>8064</v>
      </c>
      <c r="X8" s="643"/>
      <c r="Y8" s="643">
        <v>372471</v>
      </c>
      <c r="Z8" s="644">
        <v>123267</v>
      </c>
      <c r="AA8" s="645">
        <v>745217</v>
      </c>
      <c r="AB8" s="645">
        <v>48900</v>
      </c>
      <c r="AC8" s="645">
        <v>378545</v>
      </c>
      <c r="AD8" s="645">
        <v>100851</v>
      </c>
      <c r="AE8" s="646">
        <v>16190</v>
      </c>
      <c r="AF8" s="645">
        <v>0</v>
      </c>
      <c r="AG8" s="645">
        <v>0</v>
      </c>
      <c r="AH8" s="645">
        <v>0</v>
      </c>
      <c r="AI8" s="645">
        <v>270044</v>
      </c>
      <c r="AJ8" s="645">
        <v>29832</v>
      </c>
      <c r="AK8" s="645">
        <v>337819</v>
      </c>
      <c r="AL8" s="645">
        <v>7562</v>
      </c>
      <c r="AM8" s="645">
        <v>267998</v>
      </c>
      <c r="AN8" s="645">
        <v>31627</v>
      </c>
      <c r="AO8" s="646">
        <v>5474</v>
      </c>
      <c r="AP8" s="645">
        <v>0</v>
      </c>
      <c r="AQ8" s="645">
        <v>10734</v>
      </c>
      <c r="AR8" s="645">
        <v>0</v>
      </c>
      <c r="AS8" s="645">
        <v>171927</v>
      </c>
      <c r="AT8" s="645">
        <v>15087</v>
      </c>
      <c r="AU8" s="654">
        <v>953950</v>
      </c>
      <c r="AV8" s="655">
        <v>58380</v>
      </c>
      <c r="AW8" s="655">
        <v>1015704</v>
      </c>
      <c r="AX8" s="655">
        <v>175426</v>
      </c>
      <c r="AY8" s="655">
        <v>31871</v>
      </c>
      <c r="AZ8" s="654">
        <v>0</v>
      </c>
      <c r="BA8" s="655">
        <v>0</v>
      </c>
      <c r="BB8" s="655">
        <v>0</v>
      </c>
      <c r="BC8" s="655">
        <v>549383</v>
      </c>
      <c r="BD8" s="655">
        <v>3721</v>
      </c>
      <c r="BE8" s="645">
        <v>589488</v>
      </c>
      <c r="BF8" s="645">
        <v>45533</v>
      </c>
      <c r="BG8" s="645">
        <v>321935</v>
      </c>
      <c r="BH8" s="645">
        <v>44884</v>
      </c>
      <c r="BI8" s="646">
        <v>6123</v>
      </c>
      <c r="BJ8" s="645">
        <v>0</v>
      </c>
      <c r="BK8" s="645"/>
      <c r="BL8" s="645"/>
      <c r="BM8" s="645">
        <v>339071</v>
      </c>
      <c r="BN8" s="645">
        <v>20262</v>
      </c>
      <c r="BO8" s="628">
        <f t="shared" si="2"/>
        <v>2018217</v>
      </c>
      <c r="BP8" s="629">
        <f t="shared" si="3"/>
        <v>1589579</v>
      </c>
      <c r="BQ8" s="629">
        <f t="shared" si="4"/>
        <v>848228</v>
      </c>
      <c r="BR8" s="629">
        <f t="shared" si="5"/>
        <v>2788435</v>
      </c>
      <c r="BS8" s="631">
        <f t="shared" si="6"/>
        <v>1367296</v>
      </c>
    </row>
    <row r="9" spans="1:71" s="609" customFormat="1" ht="16.5" customHeight="1">
      <c r="A9" s="650" t="s">
        <v>220</v>
      </c>
      <c r="B9" s="651">
        <f>+Q29</f>
        <v>310.61168188736684</v>
      </c>
      <c r="C9" s="636">
        <f t="shared" si="7"/>
        <v>0.007776152230435166</v>
      </c>
      <c r="D9" s="652">
        <f>+AA29</f>
        <v>3310.158008359745</v>
      </c>
      <c r="E9" s="638">
        <f t="shared" si="8"/>
        <v>0.08062829259216595</v>
      </c>
      <c r="F9" s="652">
        <f>+AK29</f>
        <v>3480.97603460817</v>
      </c>
      <c r="G9" s="638">
        <f t="shared" si="9"/>
        <v>0.08631012272768865</v>
      </c>
      <c r="H9" s="652">
        <f>+AU29</f>
        <v>3363.8149765219537</v>
      </c>
      <c r="I9" s="638">
        <f t="shared" si="10"/>
        <v>0.08156055980615359</v>
      </c>
      <c r="J9" s="652">
        <f>+BE29</f>
        <v>2818.768023069529</v>
      </c>
      <c r="K9" s="640">
        <f t="shared" si="11"/>
        <v>0.06907792533539905</v>
      </c>
      <c r="P9" s="641" t="s">
        <v>221</v>
      </c>
      <c r="Q9" s="653">
        <v>0</v>
      </c>
      <c r="R9" s="643">
        <v>0</v>
      </c>
      <c r="S9" s="643">
        <v>0</v>
      </c>
      <c r="T9" s="643">
        <v>0</v>
      </c>
      <c r="U9" s="643">
        <v>0</v>
      </c>
      <c r="V9" s="643">
        <v>0</v>
      </c>
      <c r="W9" s="643">
        <v>0</v>
      </c>
      <c r="X9" s="643"/>
      <c r="Y9" s="643">
        <v>0</v>
      </c>
      <c r="Z9" s="644">
        <v>0</v>
      </c>
      <c r="AA9" s="645">
        <v>0</v>
      </c>
      <c r="AB9" s="645">
        <v>0</v>
      </c>
      <c r="AC9" s="645">
        <v>0</v>
      </c>
      <c r="AD9" s="645">
        <v>0</v>
      </c>
      <c r="AE9" s="646">
        <v>0</v>
      </c>
      <c r="AF9" s="645">
        <v>0</v>
      </c>
      <c r="AG9" s="645">
        <v>0</v>
      </c>
      <c r="AH9" s="645">
        <v>0</v>
      </c>
      <c r="AI9" s="645">
        <v>0</v>
      </c>
      <c r="AJ9" s="645">
        <v>0</v>
      </c>
      <c r="AK9" s="645">
        <v>0</v>
      </c>
      <c r="AL9" s="645">
        <v>0</v>
      </c>
      <c r="AM9" s="645">
        <v>0</v>
      </c>
      <c r="AN9" s="645">
        <v>0</v>
      </c>
      <c r="AO9" s="646">
        <v>0</v>
      </c>
      <c r="AP9" s="645">
        <v>0</v>
      </c>
      <c r="AQ9" s="645">
        <v>0</v>
      </c>
      <c r="AR9" s="645">
        <v>0</v>
      </c>
      <c r="AS9" s="645">
        <v>4360</v>
      </c>
      <c r="AT9" s="645">
        <v>0</v>
      </c>
      <c r="AU9" s="654">
        <v>0</v>
      </c>
      <c r="AV9" s="655">
        <v>0</v>
      </c>
      <c r="AW9" s="655">
        <v>0</v>
      </c>
      <c r="AX9" s="655">
        <v>0</v>
      </c>
      <c r="AY9" s="655">
        <v>0</v>
      </c>
      <c r="AZ9" s="654">
        <v>0</v>
      </c>
      <c r="BA9" s="655">
        <v>0</v>
      </c>
      <c r="BB9" s="655">
        <v>0</v>
      </c>
      <c r="BC9" s="655">
        <v>0</v>
      </c>
      <c r="BD9" s="655">
        <v>0</v>
      </c>
      <c r="BE9" s="645">
        <v>0</v>
      </c>
      <c r="BF9" s="645">
        <v>0</v>
      </c>
      <c r="BG9" s="645">
        <v>0</v>
      </c>
      <c r="BH9" s="645">
        <v>0</v>
      </c>
      <c r="BI9" s="646">
        <v>0</v>
      </c>
      <c r="BJ9" s="645">
        <v>0</v>
      </c>
      <c r="BK9" s="645"/>
      <c r="BL9" s="645"/>
      <c r="BM9" s="645">
        <v>0</v>
      </c>
      <c r="BN9" s="645">
        <v>0</v>
      </c>
      <c r="BO9" s="628">
        <f t="shared" si="2"/>
        <v>0</v>
      </c>
      <c r="BP9" s="629">
        <f t="shared" si="3"/>
        <v>0</v>
      </c>
      <c r="BQ9" s="629">
        <f t="shared" si="4"/>
        <v>4360</v>
      </c>
      <c r="BR9" s="629">
        <f t="shared" si="5"/>
        <v>0</v>
      </c>
      <c r="BS9" s="631">
        <f t="shared" si="6"/>
        <v>0</v>
      </c>
    </row>
    <row r="10" spans="1:71" s="609" customFormat="1" ht="16.5" customHeight="1">
      <c r="A10" s="650" t="s">
        <v>222</v>
      </c>
      <c r="B10" s="651">
        <v>0</v>
      </c>
      <c r="C10" s="636">
        <f t="shared" si="7"/>
        <v>0</v>
      </c>
      <c r="D10" s="652">
        <f>+AA35</f>
        <v>0</v>
      </c>
      <c r="E10" s="638">
        <f t="shared" si="8"/>
        <v>0</v>
      </c>
      <c r="F10" s="652">
        <f>+AK35</f>
        <v>0</v>
      </c>
      <c r="G10" s="638">
        <f t="shared" si="9"/>
        <v>0</v>
      </c>
      <c r="H10" s="652">
        <f>+AU35</f>
        <v>0</v>
      </c>
      <c r="I10" s="638">
        <f t="shared" si="10"/>
        <v>0</v>
      </c>
      <c r="J10" s="652">
        <f>+BE35</f>
        <v>0</v>
      </c>
      <c r="K10" s="640">
        <f t="shared" si="11"/>
        <v>0</v>
      </c>
      <c r="P10" s="641" t="s">
        <v>223</v>
      </c>
      <c r="Q10" s="653">
        <v>1033801</v>
      </c>
      <c r="R10" s="643">
        <v>28527</v>
      </c>
      <c r="S10" s="643">
        <v>3168754</v>
      </c>
      <c r="T10" s="643">
        <v>282731</v>
      </c>
      <c r="U10" s="643">
        <v>105926</v>
      </c>
      <c r="V10" s="643">
        <v>776442</v>
      </c>
      <c r="W10" s="643">
        <v>15524</v>
      </c>
      <c r="X10" s="643"/>
      <c r="Y10" s="643">
        <v>157251</v>
      </c>
      <c r="Z10" s="644">
        <v>694245</v>
      </c>
      <c r="AA10" s="645">
        <v>693636</v>
      </c>
      <c r="AB10" s="645">
        <v>6268</v>
      </c>
      <c r="AC10" s="645">
        <v>3734977</v>
      </c>
      <c r="AD10" s="645">
        <v>291993</v>
      </c>
      <c r="AE10" s="646">
        <v>84067</v>
      </c>
      <c r="AF10" s="645">
        <v>572281</v>
      </c>
      <c r="AG10" s="645">
        <v>0</v>
      </c>
      <c r="AH10" s="645">
        <v>0</v>
      </c>
      <c r="AI10" s="645">
        <v>35113</v>
      </c>
      <c r="AJ10" s="645">
        <v>114828</v>
      </c>
      <c r="AK10" s="645">
        <v>359017</v>
      </c>
      <c r="AL10" s="645">
        <v>0</v>
      </c>
      <c r="AM10" s="645">
        <v>1113483</v>
      </c>
      <c r="AN10" s="645">
        <v>136223</v>
      </c>
      <c r="AO10" s="646">
        <v>17541</v>
      </c>
      <c r="AP10" s="645">
        <v>254054</v>
      </c>
      <c r="AQ10" s="645">
        <v>42326</v>
      </c>
      <c r="AR10" s="645">
        <v>0</v>
      </c>
      <c r="AS10" s="645">
        <v>6578</v>
      </c>
      <c r="AT10" s="645">
        <v>70082</v>
      </c>
      <c r="AU10" s="654">
        <v>413940</v>
      </c>
      <c r="AV10" s="655">
        <v>12768</v>
      </c>
      <c r="AW10" s="655">
        <v>1519332</v>
      </c>
      <c r="AX10" s="655">
        <v>171598</v>
      </c>
      <c r="AY10" s="655">
        <v>23315</v>
      </c>
      <c r="AZ10" s="654">
        <v>379927</v>
      </c>
      <c r="BA10" s="655">
        <v>36756</v>
      </c>
      <c r="BB10" s="655">
        <v>0</v>
      </c>
      <c r="BC10" s="655">
        <v>14144</v>
      </c>
      <c r="BD10" s="655">
        <v>52481</v>
      </c>
      <c r="BE10" s="645">
        <v>667438</v>
      </c>
      <c r="BF10" s="645">
        <v>6440</v>
      </c>
      <c r="BG10" s="645">
        <v>2704493</v>
      </c>
      <c r="BH10" s="645">
        <v>205244</v>
      </c>
      <c r="BI10" s="646">
        <v>59290</v>
      </c>
      <c r="BJ10" s="645">
        <v>372726</v>
      </c>
      <c r="BK10" s="645"/>
      <c r="BL10" s="645"/>
      <c r="BM10" s="645">
        <v>20658</v>
      </c>
      <c r="BN10" s="645">
        <v>346534</v>
      </c>
      <c r="BO10" s="649">
        <f t="shared" si="2"/>
        <v>6263201</v>
      </c>
      <c r="BP10" s="629">
        <f t="shared" si="3"/>
        <v>5533163</v>
      </c>
      <c r="BQ10" s="629">
        <f t="shared" si="4"/>
        <v>1999304</v>
      </c>
      <c r="BR10" s="629">
        <f t="shared" si="5"/>
        <v>2624261</v>
      </c>
      <c r="BS10" s="631">
        <f t="shared" si="6"/>
        <v>4382823</v>
      </c>
    </row>
    <row r="11" spans="1:71" s="609" customFormat="1" ht="16.5" customHeight="1">
      <c r="A11" s="650" t="s">
        <v>224</v>
      </c>
      <c r="B11" s="651">
        <f>+Q36</f>
        <v>3181.9165851272014</v>
      </c>
      <c r="C11" s="636">
        <f t="shared" si="7"/>
        <v>0.07965916671307874</v>
      </c>
      <c r="D11" s="652">
        <f>+AA36</f>
        <v>3588.6770244821096</v>
      </c>
      <c r="E11" s="638">
        <f t="shared" si="8"/>
        <v>0.08741241367269523</v>
      </c>
      <c r="F11" s="652">
        <f>+AK36</f>
        <v>3550.0315837831636</v>
      </c>
      <c r="G11" s="638">
        <f t="shared" si="9"/>
        <v>0.08802234161832878</v>
      </c>
      <c r="H11" s="652">
        <f>+AU36</f>
        <v>3385.147046708955</v>
      </c>
      <c r="I11" s="638">
        <f t="shared" si="10"/>
        <v>0.08207778670430925</v>
      </c>
      <c r="J11" s="652">
        <f>+BE36</f>
        <v>3287.990628003845</v>
      </c>
      <c r="K11" s="640">
        <f t="shared" si="11"/>
        <v>0.08057689360950261</v>
      </c>
      <c r="P11" s="641" t="s">
        <v>225</v>
      </c>
      <c r="Q11" s="653">
        <v>4617928</v>
      </c>
      <c r="R11" s="643">
        <v>17351</v>
      </c>
      <c r="S11" s="643">
        <v>2341367</v>
      </c>
      <c r="T11" s="643">
        <v>1284593</v>
      </c>
      <c r="U11" s="643">
        <v>94867</v>
      </c>
      <c r="V11" s="643">
        <v>1305124</v>
      </c>
      <c r="W11" s="643">
        <v>38719</v>
      </c>
      <c r="X11" s="643"/>
      <c r="Y11" s="643">
        <v>119003</v>
      </c>
      <c r="Z11" s="644">
        <v>1160916</v>
      </c>
      <c r="AA11" s="645">
        <v>9278642</v>
      </c>
      <c r="AB11" s="645">
        <v>146338</v>
      </c>
      <c r="AC11" s="645">
        <v>3780893</v>
      </c>
      <c r="AD11" s="645">
        <v>1913215</v>
      </c>
      <c r="AE11" s="646">
        <v>62976</v>
      </c>
      <c r="AF11" s="645">
        <v>908477</v>
      </c>
      <c r="AG11" s="645">
        <v>0</v>
      </c>
      <c r="AH11" s="645">
        <v>0</v>
      </c>
      <c r="AI11" s="645">
        <v>83889</v>
      </c>
      <c r="AJ11" s="645">
        <v>355721</v>
      </c>
      <c r="AK11" s="645">
        <v>4131762</v>
      </c>
      <c r="AL11" s="645">
        <v>58118</v>
      </c>
      <c r="AM11" s="645">
        <v>2298103</v>
      </c>
      <c r="AN11" s="645">
        <v>1099553</v>
      </c>
      <c r="AO11" s="646">
        <v>19946</v>
      </c>
      <c r="AP11" s="645">
        <v>982838</v>
      </c>
      <c r="AQ11" s="645">
        <v>160009</v>
      </c>
      <c r="AR11" s="645">
        <v>0</v>
      </c>
      <c r="AS11" s="645">
        <v>203950</v>
      </c>
      <c r="AT11" s="645">
        <v>914762</v>
      </c>
      <c r="AU11" s="654">
        <v>7244983</v>
      </c>
      <c r="AV11" s="655">
        <v>138379</v>
      </c>
      <c r="AW11" s="655">
        <v>1461804</v>
      </c>
      <c r="AX11" s="655">
        <v>1194927</v>
      </c>
      <c r="AY11" s="655">
        <v>1524</v>
      </c>
      <c r="AZ11" s="654">
        <v>241867</v>
      </c>
      <c r="BA11" s="655">
        <v>101289</v>
      </c>
      <c r="BB11" s="655">
        <v>0</v>
      </c>
      <c r="BC11" s="655">
        <v>19866</v>
      </c>
      <c r="BD11" s="655">
        <v>360412</v>
      </c>
      <c r="BE11" s="645">
        <v>4417548</v>
      </c>
      <c r="BF11" s="645">
        <v>64883</v>
      </c>
      <c r="BG11" s="645">
        <v>82431</v>
      </c>
      <c r="BH11" s="645">
        <v>1556177</v>
      </c>
      <c r="BI11" s="646">
        <v>90370</v>
      </c>
      <c r="BJ11" s="645">
        <v>295760</v>
      </c>
      <c r="BK11" s="645"/>
      <c r="BL11" s="645"/>
      <c r="BM11" s="645">
        <v>89443</v>
      </c>
      <c r="BN11" s="645">
        <v>456952</v>
      </c>
      <c r="BO11" s="628">
        <f t="shared" si="2"/>
        <v>10979868</v>
      </c>
      <c r="BP11" s="629">
        <f t="shared" si="3"/>
        <v>16530151</v>
      </c>
      <c r="BQ11" s="629">
        <f t="shared" si="4"/>
        <v>9869041</v>
      </c>
      <c r="BR11" s="629">
        <f t="shared" si="5"/>
        <v>10765051</v>
      </c>
      <c r="BS11" s="631">
        <f t="shared" si="6"/>
        <v>7053564</v>
      </c>
    </row>
    <row r="12" spans="1:71" s="609" customFormat="1" ht="16.5" customHeight="1">
      <c r="A12" s="650" t="s">
        <v>226</v>
      </c>
      <c r="B12" s="651">
        <f>+Q37</f>
        <v>3354.1639486844965</v>
      </c>
      <c r="C12" s="636">
        <f t="shared" si="7"/>
        <v>0.08397137323465552</v>
      </c>
      <c r="D12" s="652">
        <f>+AA37</f>
        <v>1357.3561159340409</v>
      </c>
      <c r="E12" s="638">
        <f t="shared" si="8"/>
        <v>0.03306226040899066</v>
      </c>
      <c r="F12" s="652">
        <f>+AK37</f>
        <v>209.98143256383753</v>
      </c>
      <c r="G12" s="638">
        <f t="shared" si="9"/>
        <v>0.0052064487186740255</v>
      </c>
      <c r="H12" s="652">
        <f>+AU37</f>
        <v>1409.157810912486</v>
      </c>
      <c r="I12" s="638">
        <f t="shared" si="10"/>
        <v>0.03416706944805595</v>
      </c>
      <c r="J12" s="652">
        <f>+BE37</f>
        <v>7994.362784363985</v>
      </c>
      <c r="K12" s="640">
        <f t="shared" si="11"/>
        <v>0.19591324685208641</v>
      </c>
      <c r="P12" s="641" t="s">
        <v>227</v>
      </c>
      <c r="Q12" s="653">
        <v>457121</v>
      </c>
      <c r="R12" s="643">
        <v>2536</v>
      </c>
      <c r="S12" s="643">
        <v>864257</v>
      </c>
      <c r="T12" s="643">
        <v>689435</v>
      </c>
      <c r="U12" s="643">
        <v>0</v>
      </c>
      <c r="V12" s="643">
        <v>339644</v>
      </c>
      <c r="W12" s="643">
        <v>0</v>
      </c>
      <c r="X12" s="643"/>
      <c r="Y12" s="643">
        <v>153929</v>
      </c>
      <c r="Z12" s="644">
        <v>165756</v>
      </c>
      <c r="AA12" s="645">
        <v>5765236</v>
      </c>
      <c r="AB12" s="645">
        <v>0</v>
      </c>
      <c r="AC12" s="645">
        <v>424462</v>
      </c>
      <c r="AD12" s="645">
        <v>845512</v>
      </c>
      <c r="AE12" s="646">
        <v>0</v>
      </c>
      <c r="AF12" s="645">
        <v>0</v>
      </c>
      <c r="AG12" s="645">
        <v>0</v>
      </c>
      <c r="AH12" s="645">
        <v>0</v>
      </c>
      <c r="AI12" s="645">
        <v>166277</v>
      </c>
      <c r="AJ12" s="645">
        <v>348987</v>
      </c>
      <c r="AK12" s="645">
        <v>3637063</v>
      </c>
      <c r="AL12" s="645">
        <v>0</v>
      </c>
      <c r="AM12" s="645">
        <v>1584992</v>
      </c>
      <c r="AN12" s="645">
        <v>640764</v>
      </c>
      <c r="AO12" s="646">
        <v>0</v>
      </c>
      <c r="AP12" s="645">
        <v>619655</v>
      </c>
      <c r="AQ12" s="645">
        <v>66819</v>
      </c>
      <c r="AR12" s="645">
        <v>0</v>
      </c>
      <c r="AS12" s="645">
        <v>331691</v>
      </c>
      <c r="AT12" s="645">
        <v>374166</v>
      </c>
      <c r="AU12" s="654">
        <v>4900002</v>
      </c>
      <c r="AV12" s="655">
        <v>51268</v>
      </c>
      <c r="AW12" s="655">
        <v>740270</v>
      </c>
      <c r="AX12" s="655">
        <v>574161</v>
      </c>
      <c r="AY12" s="655">
        <v>0</v>
      </c>
      <c r="AZ12" s="654">
        <v>19255</v>
      </c>
      <c r="BA12" s="655">
        <v>9452</v>
      </c>
      <c r="BB12" s="655">
        <v>0</v>
      </c>
      <c r="BC12" s="655">
        <v>108273</v>
      </c>
      <c r="BD12" s="655">
        <v>30940</v>
      </c>
      <c r="BE12" s="645">
        <v>4222740</v>
      </c>
      <c r="BF12" s="645">
        <v>0</v>
      </c>
      <c r="BG12" s="645">
        <v>66831</v>
      </c>
      <c r="BH12" s="645">
        <v>693802</v>
      </c>
      <c r="BI12" s="646">
        <v>303</v>
      </c>
      <c r="BJ12" s="645">
        <v>50650</v>
      </c>
      <c r="BK12" s="645"/>
      <c r="BL12" s="645"/>
      <c r="BM12" s="645">
        <v>80255</v>
      </c>
      <c r="BN12" s="645">
        <v>234022</v>
      </c>
      <c r="BO12" s="628">
        <f t="shared" si="2"/>
        <v>2672678</v>
      </c>
      <c r="BP12" s="629">
        <f t="shared" si="3"/>
        <v>7550474</v>
      </c>
      <c r="BQ12" s="629">
        <f t="shared" si="4"/>
        <v>7255150</v>
      </c>
      <c r="BR12" s="629">
        <f t="shared" si="5"/>
        <v>6433621</v>
      </c>
      <c r="BS12" s="631">
        <f t="shared" si="6"/>
        <v>5348603</v>
      </c>
    </row>
    <row r="13" spans="1:71" s="609" customFormat="1" ht="16.5" customHeight="1">
      <c r="A13" s="650" t="s">
        <v>228</v>
      </c>
      <c r="B13" s="651">
        <f>+Q38</f>
        <v>2103.242552728854</v>
      </c>
      <c r="C13" s="636">
        <f t="shared" si="7"/>
        <v>0.052654601295643755</v>
      </c>
      <c r="D13" s="652">
        <f>+AA38</f>
        <v>5471.150842864361</v>
      </c>
      <c r="E13" s="638">
        <f t="shared" si="8"/>
        <v>0.13326540601997797</v>
      </c>
      <c r="F13" s="652">
        <f>+AK38</f>
        <v>6525.691971976571</v>
      </c>
      <c r="G13" s="638">
        <f t="shared" si="9"/>
        <v>0.16180326132230607</v>
      </c>
      <c r="H13" s="652">
        <f>+AU38</f>
        <v>4992.791827992421</v>
      </c>
      <c r="I13" s="638">
        <f t="shared" si="10"/>
        <v>0.12105745985699078</v>
      </c>
      <c r="J13" s="652">
        <f>+BE38</f>
        <v>835.5701965182099</v>
      </c>
      <c r="K13" s="640">
        <f t="shared" si="11"/>
        <v>0.020476837815378422</v>
      </c>
      <c r="P13" s="641" t="s">
        <v>229</v>
      </c>
      <c r="Q13" s="653">
        <v>913207</v>
      </c>
      <c r="R13" s="643">
        <v>2035</v>
      </c>
      <c r="S13" s="643">
        <v>4074592</v>
      </c>
      <c r="T13" s="643">
        <v>216902</v>
      </c>
      <c r="U13" s="643">
        <v>28292</v>
      </c>
      <c r="V13" s="643">
        <v>564041</v>
      </c>
      <c r="W13" s="643">
        <v>6641</v>
      </c>
      <c r="X13" s="643"/>
      <c r="Y13" s="643">
        <v>62399</v>
      </c>
      <c r="Z13" s="644">
        <v>644880</v>
      </c>
      <c r="AA13" s="645">
        <v>946071</v>
      </c>
      <c r="AB13" s="645">
        <v>22109</v>
      </c>
      <c r="AC13" s="645">
        <v>4987055</v>
      </c>
      <c r="AD13" s="645">
        <v>251975</v>
      </c>
      <c r="AE13" s="646">
        <v>14374</v>
      </c>
      <c r="AF13" s="645">
        <v>660771</v>
      </c>
      <c r="AG13" s="645">
        <v>0</v>
      </c>
      <c r="AH13" s="645">
        <v>0</v>
      </c>
      <c r="AI13" s="645">
        <v>57147</v>
      </c>
      <c r="AJ13" s="645">
        <v>521318</v>
      </c>
      <c r="AK13" s="645">
        <v>615102</v>
      </c>
      <c r="AL13" s="645">
        <v>9521</v>
      </c>
      <c r="AM13" s="645">
        <v>2205315</v>
      </c>
      <c r="AN13" s="645">
        <v>153232</v>
      </c>
      <c r="AO13" s="646">
        <v>3560</v>
      </c>
      <c r="AP13" s="645">
        <v>379284</v>
      </c>
      <c r="AQ13" s="645">
        <v>23179</v>
      </c>
      <c r="AR13" s="645">
        <v>0</v>
      </c>
      <c r="AS13" s="645">
        <v>33152</v>
      </c>
      <c r="AT13" s="645">
        <v>235950</v>
      </c>
      <c r="AU13" s="654">
        <v>1266327</v>
      </c>
      <c r="AV13" s="655">
        <v>27816</v>
      </c>
      <c r="AW13" s="655">
        <v>4050047</v>
      </c>
      <c r="AX13" s="655">
        <v>199977</v>
      </c>
      <c r="AY13" s="655">
        <v>11271</v>
      </c>
      <c r="AZ13" s="654">
        <v>530439</v>
      </c>
      <c r="BA13" s="655">
        <v>28165</v>
      </c>
      <c r="BB13" s="655">
        <v>0</v>
      </c>
      <c r="BC13" s="655">
        <v>4646</v>
      </c>
      <c r="BD13" s="655">
        <v>405206</v>
      </c>
      <c r="BE13" s="645">
        <v>742330</v>
      </c>
      <c r="BF13" s="645">
        <v>11338</v>
      </c>
      <c r="BG13" s="645">
        <v>3768579</v>
      </c>
      <c r="BH13" s="645">
        <v>176173</v>
      </c>
      <c r="BI13" s="646">
        <v>16899</v>
      </c>
      <c r="BJ13" s="645">
        <v>374546</v>
      </c>
      <c r="BK13" s="645"/>
      <c r="BL13" s="645"/>
      <c r="BM13" s="645">
        <v>17547</v>
      </c>
      <c r="BN13" s="645">
        <v>573743</v>
      </c>
      <c r="BO13" s="628">
        <f t="shared" si="2"/>
        <v>6512989</v>
      </c>
      <c r="BP13" s="629">
        <f t="shared" si="3"/>
        <v>7460820</v>
      </c>
      <c r="BQ13" s="629">
        <f t="shared" si="4"/>
        <v>3658295</v>
      </c>
      <c r="BR13" s="629">
        <f t="shared" si="5"/>
        <v>6523894</v>
      </c>
      <c r="BS13" s="631">
        <f t="shared" si="6"/>
        <v>5681155</v>
      </c>
    </row>
    <row r="14" spans="1:71" s="609" customFormat="1" ht="16.5" customHeight="1">
      <c r="A14" s="656" t="s">
        <v>230</v>
      </c>
      <c r="B14" s="651">
        <f>+Q26+Q27+Q30+Q31+Q32+Q33+Q25</f>
        <v>2072.1182594042184</v>
      </c>
      <c r="C14" s="636">
        <f t="shared" si="7"/>
        <v>0.05187540573710437</v>
      </c>
      <c r="D14" s="652">
        <f>+AA26+AA27+AA30+AA31+AA32+AA33+AA25</f>
        <v>2121.8955261586516</v>
      </c>
      <c r="E14" s="638">
        <f t="shared" si="8"/>
        <v>0.051684787524056565</v>
      </c>
      <c r="F14" s="652">
        <f>+AK26+AK27+AK30+AK31+AK32+AK33+AK25</f>
        <v>1672.1478886719499</v>
      </c>
      <c r="G14" s="638">
        <f t="shared" si="9"/>
        <v>0.04146058118620945</v>
      </c>
      <c r="H14" s="652">
        <f>+AU26+AU27+AU30+AU31+AU32+AU33+AU25</f>
        <v>2614.8543262761896</v>
      </c>
      <c r="I14" s="638">
        <f t="shared" si="10"/>
        <v>0.06340092548227488</v>
      </c>
      <c r="J14" s="652">
        <f>+BE26+BE27+BE30+BE31+BE32+BE33+BE25</f>
        <v>1810.3312239666773</v>
      </c>
      <c r="K14" s="640">
        <f t="shared" si="11"/>
        <v>0.04436474520004411</v>
      </c>
      <c r="P14" s="641" t="s">
        <v>231</v>
      </c>
      <c r="Q14" s="653">
        <v>413861</v>
      </c>
      <c r="R14" s="643">
        <v>0</v>
      </c>
      <c r="S14" s="643">
        <v>1848417</v>
      </c>
      <c r="T14" s="643">
        <v>119077</v>
      </c>
      <c r="U14" s="643">
        <v>15798</v>
      </c>
      <c r="V14" s="643">
        <v>253833</v>
      </c>
      <c r="W14" s="643">
        <v>2138</v>
      </c>
      <c r="X14" s="643"/>
      <c r="Y14" s="643">
        <v>23887</v>
      </c>
      <c r="Z14" s="644">
        <v>290368</v>
      </c>
      <c r="AA14" s="645">
        <v>446471</v>
      </c>
      <c r="AB14" s="645">
        <v>20049</v>
      </c>
      <c r="AC14" s="645">
        <v>2246445</v>
      </c>
      <c r="AD14" s="645">
        <v>104683</v>
      </c>
      <c r="AE14" s="646">
        <v>2643</v>
      </c>
      <c r="AF14" s="645">
        <v>297920</v>
      </c>
      <c r="AG14" s="645">
        <v>0</v>
      </c>
      <c r="AH14" s="645">
        <v>0</v>
      </c>
      <c r="AI14" s="645">
        <v>24798</v>
      </c>
      <c r="AJ14" s="645">
        <v>258986</v>
      </c>
      <c r="AK14" s="645">
        <v>256459</v>
      </c>
      <c r="AL14" s="645">
        <v>2856</v>
      </c>
      <c r="AM14" s="645">
        <v>1036407</v>
      </c>
      <c r="AN14" s="645">
        <v>65903</v>
      </c>
      <c r="AO14" s="646">
        <v>0</v>
      </c>
      <c r="AP14" s="645">
        <v>167853</v>
      </c>
      <c r="AQ14" s="645">
        <v>4130</v>
      </c>
      <c r="AR14" s="645">
        <v>0</v>
      </c>
      <c r="AS14" s="645">
        <v>14551</v>
      </c>
      <c r="AT14" s="645">
        <v>107165</v>
      </c>
      <c r="AU14" s="654">
        <v>586083</v>
      </c>
      <c r="AV14" s="655">
        <v>13992</v>
      </c>
      <c r="AW14" s="655">
        <v>1817717</v>
      </c>
      <c r="AX14" s="655">
        <v>87205</v>
      </c>
      <c r="AY14" s="655">
        <v>0</v>
      </c>
      <c r="AZ14" s="654">
        <v>241798</v>
      </c>
      <c r="BA14" s="655">
        <v>14285</v>
      </c>
      <c r="BB14" s="655">
        <v>0</v>
      </c>
      <c r="BC14" s="655">
        <v>1021</v>
      </c>
      <c r="BD14" s="655">
        <v>172226</v>
      </c>
      <c r="BE14" s="645">
        <v>322894</v>
      </c>
      <c r="BF14" s="645">
        <v>0</v>
      </c>
      <c r="BG14" s="645">
        <v>1627918</v>
      </c>
      <c r="BH14" s="645">
        <v>83756</v>
      </c>
      <c r="BI14" s="646">
        <v>8406</v>
      </c>
      <c r="BJ14" s="645">
        <v>175031</v>
      </c>
      <c r="BK14" s="645"/>
      <c r="BL14" s="645"/>
      <c r="BM14" s="645">
        <v>5527</v>
      </c>
      <c r="BN14" s="645">
        <v>259502</v>
      </c>
      <c r="BO14" s="628">
        <f t="shared" si="2"/>
        <v>2967379</v>
      </c>
      <c r="BP14" s="629">
        <f t="shared" si="3"/>
        <v>3401995</v>
      </c>
      <c r="BQ14" s="629">
        <f t="shared" si="4"/>
        <v>1655324</v>
      </c>
      <c r="BR14" s="629">
        <f t="shared" si="5"/>
        <v>2934327</v>
      </c>
      <c r="BS14" s="631">
        <f t="shared" si="6"/>
        <v>2483034</v>
      </c>
    </row>
    <row r="15" spans="1:71" s="609" customFormat="1" ht="16.5" customHeight="1" thickBot="1">
      <c r="A15" s="657" t="s">
        <v>232</v>
      </c>
      <c r="B15" s="658">
        <f>+Q35</f>
        <v>5295.939334637965</v>
      </c>
      <c r="C15" s="659">
        <f t="shared" si="7"/>
        <v>0.1325836498455575</v>
      </c>
      <c r="D15" s="660"/>
      <c r="E15" s="659"/>
      <c r="F15" s="660"/>
      <c r="G15" s="659"/>
      <c r="H15" s="660"/>
      <c r="I15" s="659"/>
      <c r="J15" s="660"/>
      <c r="K15" s="661"/>
      <c r="P15" s="641" t="s">
        <v>233</v>
      </c>
      <c r="Q15" s="653">
        <v>5521</v>
      </c>
      <c r="R15" s="643">
        <v>436</v>
      </c>
      <c r="S15" s="643">
        <v>3146696</v>
      </c>
      <c r="T15" s="643">
        <v>74432</v>
      </c>
      <c r="U15" s="643">
        <v>0</v>
      </c>
      <c r="V15" s="643">
        <v>257378</v>
      </c>
      <c r="W15" s="643">
        <v>0</v>
      </c>
      <c r="X15" s="643"/>
      <c r="Y15" s="643">
        <v>46020</v>
      </c>
      <c r="Z15" s="644">
        <v>12615</v>
      </c>
      <c r="AA15" s="645">
        <v>864268</v>
      </c>
      <c r="AB15" s="645">
        <v>0</v>
      </c>
      <c r="AC15" s="645">
        <v>4434525</v>
      </c>
      <c r="AD15" s="645">
        <v>139567</v>
      </c>
      <c r="AE15" s="646">
        <v>128</v>
      </c>
      <c r="AF15" s="645">
        <v>372771</v>
      </c>
      <c r="AG15" s="645">
        <v>0</v>
      </c>
      <c r="AH15" s="645">
        <v>0</v>
      </c>
      <c r="AI15" s="645">
        <v>721</v>
      </c>
      <c r="AJ15" s="645">
        <v>128385</v>
      </c>
      <c r="AK15" s="645">
        <v>178730</v>
      </c>
      <c r="AL15" s="645">
        <v>0</v>
      </c>
      <c r="AM15" s="645">
        <v>1664239</v>
      </c>
      <c r="AN15" s="645">
        <v>21242</v>
      </c>
      <c r="AO15" s="646">
        <v>0</v>
      </c>
      <c r="AP15" s="645">
        <v>194873</v>
      </c>
      <c r="AQ15" s="645">
        <v>983</v>
      </c>
      <c r="AR15" s="645">
        <v>0</v>
      </c>
      <c r="AS15" s="645">
        <v>386</v>
      </c>
      <c r="AT15" s="645">
        <v>57067</v>
      </c>
      <c r="AU15" s="654">
        <v>588706</v>
      </c>
      <c r="AV15" s="655">
        <v>0</v>
      </c>
      <c r="AW15" s="655">
        <v>3444266</v>
      </c>
      <c r="AX15" s="655">
        <v>83319</v>
      </c>
      <c r="AY15" s="655">
        <v>0</v>
      </c>
      <c r="AZ15" s="654">
        <v>411244</v>
      </c>
      <c r="BA15" s="655">
        <v>4734</v>
      </c>
      <c r="BB15" s="655">
        <v>0</v>
      </c>
      <c r="BC15" s="655">
        <v>95</v>
      </c>
      <c r="BD15" s="655">
        <v>187709</v>
      </c>
      <c r="BE15" s="645">
        <v>389871</v>
      </c>
      <c r="BF15" s="645">
        <v>0</v>
      </c>
      <c r="BG15" s="645">
        <v>3386784</v>
      </c>
      <c r="BH15" s="645">
        <v>51891</v>
      </c>
      <c r="BI15" s="646">
        <v>0</v>
      </c>
      <c r="BJ15" s="645">
        <v>180603</v>
      </c>
      <c r="BK15" s="645"/>
      <c r="BL15" s="645"/>
      <c r="BM15" s="645">
        <v>4447</v>
      </c>
      <c r="BN15" s="645">
        <v>100323</v>
      </c>
      <c r="BO15" s="628">
        <f t="shared" si="2"/>
        <v>3543098</v>
      </c>
      <c r="BP15" s="629">
        <f t="shared" si="3"/>
        <v>5940365</v>
      </c>
      <c r="BQ15" s="629">
        <f t="shared" si="4"/>
        <v>2117520</v>
      </c>
      <c r="BR15" s="629">
        <f t="shared" si="5"/>
        <v>4720073</v>
      </c>
      <c r="BS15" s="631">
        <f t="shared" si="6"/>
        <v>4113919</v>
      </c>
    </row>
    <row r="16" spans="1:71" s="609" customFormat="1" ht="17.25" customHeight="1">
      <c r="A16" s="662"/>
      <c r="B16" s="662"/>
      <c r="C16" s="663"/>
      <c r="D16" s="662"/>
      <c r="E16" s="663"/>
      <c r="F16" s="662"/>
      <c r="G16" s="663"/>
      <c r="H16" s="662"/>
      <c r="I16" s="663"/>
      <c r="J16" s="662"/>
      <c r="K16" s="663"/>
      <c r="P16" s="641" t="s">
        <v>234</v>
      </c>
      <c r="Q16" s="653">
        <v>0</v>
      </c>
      <c r="R16" s="643">
        <v>0</v>
      </c>
      <c r="S16" s="643">
        <v>0</v>
      </c>
      <c r="T16" s="643">
        <v>0</v>
      </c>
      <c r="U16" s="643">
        <v>0</v>
      </c>
      <c r="V16" s="643">
        <v>0</v>
      </c>
      <c r="W16" s="643">
        <v>0</v>
      </c>
      <c r="X16" s="643"/>
      <c r="Y16" s="643">
        <v>0</v>
      </c>
      <c r="Z16" s="644">
        <v>0</v>
      </c>
      <c r="AA16" s="645">
        <v>0</v>
      </c>
      <c r="AB16" s="645">
        <v>0</v>
      </c>
      <c r="AC16" s="645">
        <v>0</v>
      </c>
      <c r="AD16" s="645">
        <v>0</v>
      </c>
      <c r="AE16" s="646">
        <v>0</v>
      </c>
      <c r="AF16" s="645">
        <v>0</v>
      </c>
      <c r="AG16" s="645">
        <v>0</v>
      </c>
      <c r="AH16" s="645">
        <v>0</v>
      </c>
      <c r="AI16" s="645">
        <v>0</v>
      </c>
      <c r="AJ16" s="645">
        <v>25180</v>
      </c>
      <c r="AK16" s="645">
        <v>0</v>
      </c>
      <c r="AL16" s="645">
        <v>0</v>
      </c>
      <c r="AM16" s="645">
        <v>0</v>
      </c>
      <c r="AN16" s="645">
        <v>0</v>
      </c>
      <c r="AO16" s="646">
        <v>0</v>
      </c>
      <c r="AP16" s="645">
        <v>0</v>
      </c>
      <c r="AQ16" s="645">
        <v>0</v>
      </c>
      <c r="AR16" s="645">
        <v>0</v>
      </c>
      <c r="AS16" s="645">
        <v>0</v>
      </c>
      <c r="AT16" s="645">
        <v>0</v>
      </c>
      <c r="AU16" s="654">
        <v>0</v>
      </c>
      <c r="AV16" s="655">
        <v>0</v>
      </c>
      <c r="AW16" s="655">
        <v>0</v>
      </c>
      <c r="AX16" s="655">
        <v>0</v>
      </c>
      <c r="AY16" s="655">
        <v>0</v>
      </c>
      <c r="AZ16" s="654">
        <v>0</v>
      </c>
      <c r="BA16" s="655">
        <v>0</v>
      </c>
      <c r="BB16" s="655">
        <v>0</v>
      </c>
      <c r="BC16" s="655">
        <v>0</v>
      </c>
      <c r="BD16" s="655">
        <v>0</v>
      </c>
      <c r="BE16" s="645">
        <v>0</v>
      </c>
      <c r="BF16" s="645">
        <v>0</v>
      </c>
      <c r="BG16" s="645"/>
      <c r="BH16" s="645"/>
      <c r="BI16" s="646"/>
      <c r="BJ16" s="645">
        <v>4880</v>
      </c>
      <c r="BK16" s="645"/>
      <c r="BL16" s="645"/>
      <c r="BM16" s="645">
        <v>0</v>
      </c>
      <c r="BN16" s="645">
        <v>0</v>
      </c>
      <c r="BO16" s="628">
        <f t="shared" si="2"/>
        <v>0</v>
      </c>
      <c r="BP16" s="629">
        <f t="shared" si="3"/>
        <v>25180</v>
      </c>
      <c r="BQ16" s="629">
        <f t="shared" si="4"/>
        <v>0</v>
      </c>
      <c r="BR16" s="629">
        <f t="shared" si="5"/>
        <v>0</v>
      </c>
      <c r="BS16" s="631">
        <f t="shared" si="6"/>
        <v>4880</v>
      </c>
    </row>
    <row r="17" spans="1:71" s="609" customFormat="1" ht="17.25" customHeight="1" hidden="1">
      <c r="A17" s="662"/>
      <c r="B17" s="662"/>
      <c r="C17" s="663"/>
      <c r="D17" s="662"/>
      <c r="E17" s="663"/>
      <c r="F17" s="662"/>
      <c r="G17" s="663"/>
      <c r="H17" s="662"/>
      <c r="I17" s="663"/>
      <c r="J17" s="662"/>
      <c r="K17" s="663"/>
      <c r="P17" s="641" t="s">
        <v>235</v>
      </c>
      <c r="Q17" s="653">
        <v>0</v>
      </c>
      <c r="R17" s="643">
        <v>0</v>
      </c>
      <c r="S17" s="643">
        <v>0</v>
      </c>
      <c r="T17" s="643">
        <v>0</v>
      </c>
      <c r="U17" s="643">
        <v>0</v>
      </c>
      <c r="V17" s="643">
        <v>0</v>
      </c>
      <c r="W17" s="643">
        <v>0</v>
      </c>
      <c r="X17" s="643"/>
      <c r="Y17" s="643">
        <v>0</v>
      </c>
      <c r="Z17" s="644">
        <v>0</v>
      </c>
      <c r="AA17" s="664">
        <v>0</v>
      </c>
      <c r="AB17" s="664">
        <v>0</v>
      </c>
      <c r="AC17" s="664">
        <v>0</v>
      </c>
      <c r="AD17" s="664">
        <v>0</v>
      </c>
      <c r="AE17" s="665">
        <v>0</v>
      </c>
      <c r="AF17" s="645">
        <v>0</v>
      </c>
      <c r="AG17" s="645">
        <v>0</v>
      </c>
      <c r="AH17" s="645">
        <v>0</v>
      </c>
      <c r="AI17" s="645">
        <v>0</v>
      </c>
      <c r="AJ17" s="645">
        <v>0</v>
      </c>
      <c r="AK17" s="664">
        <v>0</v>
      </c>
      <c r="AL17" s="664">
        <v>0</v>
      </c>
      <c r="AM17" s="664">
        <v>0</v>
      </c>
      <c r="AN17" s="664">
        <v>0</v>
      </c>
      <c r="AO17" s="665">
        <v>0</v>
      </c>
      <c r="AP17" s="645">
        <v>0</v>
      </c>
      <c r="AQ17" s="645">
        <v>0</v>
      </c>
      <c r="AR17" s="645">
        <v>0</v>
      </c>
      <c r="AS17" s="645">
        <v>0</v>
      </c>
      <c r="AT17" s="645">
        <v>0</v>
      </c>
      <c r="AU17" s="654">
        <v>0</v>
      </c>
      <c r="AV17" s="655">
        <v>0</v>
      </c>
      <c r="AW17" s="655">
        <v>0</v>
      </c>
      <c r="AX17" s="655">
        <v>0</v>
      </c>
      <c r="AY17" s="655">
        <v>0</v>
      </c>
      <c r="AZ17" s="654">
        <v>0</v>
      </c>
      <c r="BA17" s="655">
        <v>0</v>
      </c>
      <c r="BB17" s="655">
        <v>0</v>
      </c>
      <c r="BC17" s="655">
        <v>0</v>
      </c>
      <c r="BD17" s="655">
        <v>0</v>
      </c>
      <c r="BE17" s="664">
        <v>0</v>
      </c>
      <c r="BF17" s="664">
        <v>0</v>
      </c>
      <c r="BG17" s="664"/>
      <c r="BH17" s="664"/>
      <c r="BI17" s="665"/>
      <c r="BJ17" s="645">
        <v>0</v>
      </c>
      <c r="BK17" s="645"/>
      <c r="BL17" s="645"/>
      <c r="BM17" s="645">
        <v>0</v>
      </c>
      <c r="BN17" s="645">
        <v>0</v>
      </c>
      <c r="BO17" s="628">
        <f t="shared" si="2"/>
        <v>0</v>
      </c>
      <c r="BP17" s="629">
        <f t="shared" si="3"/>
        <v>0</v>
      </c>
      <c r="BQ17" s="629">
        <f t="shared" si="4"/>
        <v>0</v>
      </c>
      <c r="BR17" s="629">
        <f t="shared" si="5"/>
        <v>0</v>
      </c>
      <c r="BS17" s="631">
        <f t="shared" si="6"/>
        <v>0</v>
      </c>
    </row>
    <row r="18" spans="1:71" s="609" customFormat="1" ht="17.25" customHeight="1" hidden="1">
      <c r="A18" s="662"/>
      <c r="B18" s="662"/>
      <c r="C18" s="663"/>
      <c r="D18" s="662"/>
      <c r="E18" s="663"/>
      <c r="F18" s="662"/>
      <c r="G18" s="663"/>
      <c r="H18" s="662"/>
      <c r="I18" s="663"/>
      <c r="J18" s="662"/>
      <c r="K18" s="663"/>
      <c r="P18" s="641" t="s">
        <v>222</v>
      </c>
      <c r="Q18" s="653">
        <v>7793928</v>
      </c>
      <c r="R18" s="643">
        <v>0</v>
      </c>
      <c r="S18" s="643">
        <v>0</v>
      </c>
      <c r="T18" s="643">
        <v>0</v>
      </c>
      <c r="U18" s="643">
        <v>0</v>
      </c>
      <c r="V18" s="643">
        <v>0</v>
      </c>
      <c r="W18" s="643">
        <v>0</v>
      </c>
      <c r="X18" s="643"/>
      <c r="Y18" s="643">
        <v>0</v>
      </c>
      <c r="Z18" s="644">
        <v>0</v>
      </c>
      <c r="AA18" s="645">
        <v>0</v>
      </c>
      <c r="AB18" s="645">
        <v>0</v>
      </c>
      <c r="AC18" s="645">
        <v>0</v>
      </c>
      <c r="AD18" s="645">
        <v>0</v>
      </c>
      <c r="AE18" s="646">
        <v>0</v>
      </c>
      <c r="AF18" s="645">
        <v>0</v>
      </c>
      <c r="AG18" s="645">
        <v>0</v>
      </c>
      <c r="AH18" s="645">
        <v>0</v>
      </c>
      <c r="AI18" s="645">
        <v>0</v>
      </c>
      <c r="AJ18" s="645">
        <v>0</v>
      </c>
      <c r="AK18" s="645">
        <v>0</v>
      </c>
      <c r="AL18" s="645">
        <v>0</v>
      </c>
      <c r="AM18" s="645">
        <v>0</v>
      </c>
      <c r="AN18" s="645">
        <v>0</v>
      </c>
      <c r="AO18" s="646">
        <v>0</v>
      </c>
      <c r="AP18" s="645">
        <v>0</v>
      </c>
      <c r="AQ18" s="645">
        <v>0</v>
      </c>
      <c r="AR18" s="645">
        <v>0</v>
      </c>
      <c r="AS18" s="645">
        <v>0</v>
      </c>
      <c r="AT18" s="645">
        <v>0</v>
      </c>
      <c r="AU18" s="666">
        <v>0</v>
      </c>
      <c r="AV18" s="667">
        <v>0</v>
      </c>
      <c r="AW18" s="667">
        <v>0</v>
      </c>
      <c r="AX18" s="667">
        <v>0</v>
      </c>
      <c r="AY18" s="667">
        <v>0</v>
      </c>
      <c r="AZ18" s="666">
        <v>0</v>
      </c>
      <c r="BA18" s="667">
        <v>0</v>
      </c>
      <c r="BB18" s="667">
        <v>0</v>
      </c>
      <c r="BC18" s="667">
        <v>0</v>
      </c>
      <c r="BD18" s="667">
        <v>0</v>
      </c>
      <c r="BE18" s="645">
        <v>0</v>
      </c>
      <c r="BF18" s="645">
        <v>0</v>
      </c>
      <c r="BG18" s="645"/>
      <c r="BH18" s="645"/>
      <c r="BI18" s="646"/>
      <c r="BJ18" s="645">
        <v>0</v>
      </c>
      <c r="BK18" s="645"/>
      <c r="BL18" s="645"/>
      <c r="BM18" s="645">
        <v>0</v>
      </c>
      <c r="BN18" s="645">
        <v>0</v>
      </c>
      <c r="BO18" s="628">
        <f t="shared" si="2"/>
        <v>7793928</v>
      </c>
      <c r="BP18" s="629">
        <f t="shared" si="3"/>
        <v>0</v>
      </c>
      <c r="BQ18" s="629">
        <f t="shared" si="4"/>
        <v>0</v>
      </c>
      <c r="BR18" s="629">
        <f t="shared" si="5"/>
        <v>0</v>
      </c>
      <c r="BS18" s="631">
        <f t="shared" si="6"/>
        <v>0</v>
      </c>
    </row>
    <row r="19" spans="1:71" s="609" customFormat="1" ht="17.25" customHeight="1" hidden="1">
      <c r="A19" s="662"/>
      <c r="B19" s="662"/>
      <c r="C19" s="663"/>
      <c r="D19" s="662"/>
      <c r="E19" s="663"/>
      <c r="F19" s="662"/>
      <c r="G19" s="663"/>
      <c r="H19" s="662"/>
      <c r="I19" s="663"/>
      <c r="J19" s="662"/>
      <c r="K19" s="663"/>
      <c r="P19" s="641" t="s">
        <v>236</v>
      </c>
      <c r="Q19" s="653">
        <v>4682763</v>
      </c>
      <c r="R19" s="643">
        <v>196170</v>
      </c>
      <c r="S19" s="643">
        <v>10973298</v>
      </c>
      <c r="T19" s="643">
        <v>1566650</v>
      </c>
      <c r="U19" s="643">
        <v>669931</v>
      </c>
      <c r="V19" s="643">
        <v>1815456</v>
      </c>
      <c r="W19" s="643">
        <v>72278</v>
      </c>
      <c r="X19" s="643"/>
      <c r="Y19" s="643">
        <v>1191173</v>
      </c>
      <c r="Z19" s="644">
        <v>2338882</v>
      </c>
      <c r="AA19" s="645">
        <v>6250327</v>
      </c>
      <c r="AB19" s="645">
        <v>213568</v>
      </c>
      <c r="AC19" s="645">
        <v>12648110</v>
      </c>
      <c r="AD19" s="645">
        <v>1886454</v>
      </c>
      <c r="AE19" s="646">
        <v>647836</v>
      </c>
      <c r="AF19" s="645">
        <v>2080802</v>
      </c>
      <c r="AG19" s="645">
        <v>0</v>
      </c>
      <c r="AH19" s="645">
        <v>0</v>
      </c>
      <c r="AI19" s="645">
        <v>1377939</v>
      </c>
      <c r="AJ19" s="645">
        <v>1447157</v>
      </c>
      <c r="AK19" s="645">
        <v>3709215</v>
      </c>
      <c r="AL19" s="645">
        <v>111229</v>
      </c>
      <c r="AM19" s="645">
        <v>6060446</v>
      </c>
      <c r="AN19" s="645">
        <v>958292</v>
      </c>
      <c r="AO19" s="646">
        <v>302514</v>
      </c>
      <c r="AP19" s="645">
        <v>1305266</v>
      </c>
      <c r="AQ19" s="645">
        <v>325808</v>
      </c>
      <c r="AR19" s="645">
        <v>0</v>
      </c>
      <c r="AS19" s="645">
        <v>1087043</v>
      </c>
      <c r="AT19" s="645">
        <v>1042783</v>
      </c>
      <c r="AU19" s="647">
        <v>4931076</v>
      </c>
      <c r="AV19" s="648">
        <v>182350</v>
      </c>
      <c r="AW19" s="648">
        <v>9696111</v>
      </c>
      <c r="AX19" s="648">
        <v>1190123</v>
      </c>
      <c r="AY19" s="648">
        <v>448128</v>
      </c>
      <c r="AZ19" s="647">
        <v>1626670</v>
      </c>
      <c r="BA19" s="648">
        <v>260796</v>
      </c>
      <c r="BB19" s="648">
        <v>0</v>
      </c>
      <c r="BC19" s="648">
        <v>1420275</v>
      </c>
      <c r="BD19" s="648">
        <v>966387</v>
      </c>
      <c r="BE19" s="645">
        <v>4925673</v>
      </c>
      <c r="BF19" s="645">
        <v>139194</v>
      </c>
      <c r="BG19" s="645">
        <v>9380182</v>
      </c>
      <c r="BH19" s="645">
        <v>1710053</v>
      </c>
      <c r="BI19" s="646">
        <v>572747</v>
      </c>
      <c r="BJ19" s="645">
        <v>1411973</v>
      </c>
      <c r="BK19" s="645"/>
      <c r="BL19" s="645"/>
      <c r="BM19" s="645">
        <v>1109921</v>
      </c>
      <c r="BN19" s="645">
        <v>1853618</v>
      </c>
      <c r="BO19" s="628">
        <f t="shared" si="2"/>
        <v>23506601</v>
      </c>
      <c r="BP19" s="629">
        <f t="shared" si="3"/>
        <v>26552193</v>
      </c>
      <c r="BQ19" s="629">
        <f t="shared" si="4"/>
        <v>14902596</v>
      </c>
      <c r="BR19" s="629">
        <f t="shared" si="5"/>
        <v>20721916</v>
      </c>
      <c r="BS19" s="631">
        <f t="shared" si="6"/>
        <v>21103361</v>
      </c>
    </row>
    <row r="20" spans="1:71" s="609" customFormat="1" ht="17.25" customHeight="1" hidden="1">
      <c r="A20" s="662"/>
      <c r="B20" s="662"/>
      <c r="C20" s="663"/>
      <c r="D20" s="662"/>
      <c r="E20" s="663"/>
      <c r="F20" s="662"/>
      <c r="G20" s="663"/>
      <c r="H20" s="662"/>
      <c r="I20" s="663"/>
      <c r="J20" s="662"/>
      <c r="K20" s="663"/>
      <c r="P20" s="641" t="s">
        <v>226</v>
      </c>
      <c r="Q20" s="653">
        <v>4936256</v>
      </c>
      <c r="R20" s="643">
        <v>249716</v>
      </c>
      <c r="S20" s="643">
        <v>685573</v>
      </c>
      <c r="T20" s="643">
        <v>169781</v>
      </c>
      <c r="U20" s="643">
        <v>393683</v>
      </c>
      <c r="V20" s="643">
        <v>241193</v>
      </c>
      <c r="W20" s="643">
        <v>14141</v>
      </c>
      <c r="X20" s="643"/>
      <c r="Y20" s="643">
        <v>2404028</v>
      </c>
      <c r="Z20" s="644">
        <v>1205609</v>
      </c>
      <c r="AA20" s="645">
        <v>2364080</v>
      </c>
      <c r="AB20" s="645">
        <v>293897</v>
      </c>
      <c r="AC20" s="645">
        <v>878179</v>
      </c>
      <c r="AD20" s="645">
        <v>231108</v>
      </c>
      <c r="AE20" s="646">
        <v>221885</v>
      </c>
      <c r="AF20" s="645">
        <v>15837</v>
      </c>
      <c r="AG20" s="645">
        <v>0</v>
      </c>
      <c r="AH20" s="645">
        <v>0</v>
      </c>
      <c r="AI20" s="645">
        <v>1442297</v>
      </c>
      <c r="AJ20" s="645">
        <v>4329</v>
      </c>
      <c r="AK20" s="645">
        <v>219397</v>
      </c>
      <c r="AL20" s="645">
        <v>10745</v>
      </c>
      <c r="AM20" s="645">
        <v>56699</v>
      </c>
      <c r="AN20" s="645">
        <v>3213</v>
      </c>
      <c r="AO20" s="646">
        <v>5991</v>
      </c>
      <c r="AP20" s="645">
        <v>19350</v>
      </c>
      <c r="AQ20" s="645">
        <v>4000</v>
      </c>
      <c r="AR20" s="645">
        <v>0</v>
      </c>
      <c r="AS20" s="645">
        <v>563984</v>
      </c>
      <c r="AT20" s="645">
        <v>17078</v>
      </c>
      <c r="AU20" s="654">
        <v>2052692</v>
      </c>
      <c r="AV20" s="655">
        <v>321132</v>
      </c>
      <c r="AW20" s="655">
        <v>554530</v>
      </c>
      <c r="AX20" s="655">
        <v>96350</v>
      </c>
      <c r="AY20" s="655">
        <v>437596</v>
      </c>
      <c r="AZ20" s="654">
        <v>58207</v>
      </c>
      <c r="BA20" s="655">
        <v>38425</v>
      </c>
      <c r="BB20" s="655">
        <v>0</v>
      </c>
      <c r="BC20" s="655">
        <v>2666303</v>
      </c>
      <c r="BD20" s="655">
        <v>537539</v>
      </c>
      <c r="BE20" s="645">
        <v>11976195</v>
      </c>
      <c r="BF20" s="645">
        <v>235610</v>
      </c>
      <c r="BG20" s="645">
        <v>3778257</v>
      </c>
      <c r="BH20" s="645">
        <v>770241</v>
      </c>
      <c r="BI20" s="646">
        <v>407763</v>
      </c>
      <c r="BJ20" s="645">
        <v>662995</v>
      </c>
      <c r="BK20" s="645"/>
      <c r="BL20" s="645"/>
      <c r="BM20" s="645">
        <v>1588413</v>
      </c>
      <c r="BN20" s="645">
        <v>1280239</v>
      </c>
      <c r="BO20" s="628">
        <f t="shared" si="2"/>
        <v>10299980</v>
      </c>
      <c r="BP20" s="629">
        <f t="shared" si="3"/>
        <v>5451612</v>
      </c>
      <c r="BQ20" s="629">
        <f t="shared" si="4"/>
        <v>900457</v>
      </c>
      <c r="BR20" s="629">
        <f t="shared" si="5"/>
        <v>6762774</v>
      </c>
      <c r="BS20" s="631">
        <f t="shared" si="6"/>
        <v>20699713</v>
      </c>
    </row>
    <row r="21" spans="1:71" s="609" customFormat="1" ht="17.25" customHeight="1" hidden="1">
      <c r="A21" s="662"/>
      <c r="B21" s="662"/>
      <c r="C21" s="663"/>
      <c r="D21" s="662"/>
      <c r="E21" s="663"/>
      <c r="F21" s="662"/>
      <c r="G21" s="663"/>
      <c r="H21" s="662"/>
      <c r="I21" s="663"/>
      <c r="J21" s="662"/>
      <c r="K21" s="663"/>
      <c r="P21" s="641" t="s">
        <v>228</v>
      </c>
      <c r="Q21" s="653">
        <v>3095300</v>
      </c>
      <c r="R21" s="643">
        <v>242000</v>
      </c>
      <c r="S21" s="643">
        <v>941352</v>
      </c>
      <c r="T21" s="643">
        <v>282875</v>
      </c>
      <c r="U21" s="643">
        <v>284100</v>
      </c>
      <c r="V21" s="643">
        <v>203180</v>
      </c>
      <c r="W21" s="643">
        <v>3000</v>
      </c>
      <c r="X21" s="643"/>
      <c r="Y21" s="643">
        <v>661800</v>
      </c>
      <c r="Z21" s="644">
        <v>890300</v>
      </c>
      <c r="AA21" s="645">
        <v>9528994</v>
      </c>
      <c r="AB21" s="645">
        <v>80438</v>
      </c>
      <c r="AC21" s="645">
        <v>1135640</v>
      </c>
      <c r="AD21" s="645">
        <v>494605</v>
      </c>
      <c r="AE21" s="646">
        <v>45072</v>
      </c>
      <c r="AF21" s="645">
        <v>128156</v>
      </c>
      <c r="AG21" s="645">
        <v>0</v>
      </c>
      <c r="AH21" s="645">
        <v>0</v>
      </c>
      <c r="AI21" s="645">
        <v>953791</v>
      </c>
      <c r="AJ21" s="645">
        <v>532350</v>
      </c>
      <c r="AK21" s="645">
        <v>6818304</v>
      </c>
      <c r="AL21" s="645">
        <v>88000</v>
      </c>
      <c r="AM21" s="645">
        <v>1363460</v>
      </c>
      <c r="AN21" s="645">
        <v>509880</v>
      </c>
      <c r="AO21" s="646">
        <v>0</v>
      </c>
      <c r="AP21" s="645">
        <v>640030</v>
      </c>
      <c r="AQ21" s="645">
        <v>63620</v>
      </c>
      <c r="AR21" s="645">
        <v>0</v>
      </c>
      <c r="AS21" s="645">
        <v>1112422</v>
      </c>
      <c r="AT21" s="645">
        <v>408080</v>
      </c>
      <c r="AU21" s="654">
        <v>7272900</v>
      </c>
      <c r="AV21" s="655">
        <v>32500</v>
      </c>
      <c r="AW21" s="655">
        <v>766817</v>
      </c>
      <c r="AX21" s="655">
        <v>109537</v>
      </c>
      <c r="AY21" s="655">
        <v>105300</v>
      </c>
      <c r="AZ21" s="666">
        <v>31282</v>
      </c>
      <c r="BA21" s="667">
        <v>32600</v>
      </c>
      <c r="BB21" s="667">
        <v>0</v>
      </c>
      <c r="BC21" s="667">
        <v>885744</v>
      </c>
      <c r="BD21" s="667">
        <v>40600</v>
      </c>
      <c r="BE21" s="645">
        <v>1251751</v>
      </c>
      <c r="BF21" s="645">
        <v>38815</v>
      </c>
      <c r="BG21" s="645">
        <v>1031849</v>
      </c>
      <c r="BH21" s="645">
        <v>177918</v>
      </c>
      <c r="BI21" s="646">
        <v>85293</v>
      </c>
      <c r="BJ21" s="645">
        <v>232487</v>
      </c>
      <c r="BK21" s="645"/>
      <c r="BL21" s="645"/>
      <c r="BM21" s="645">
        <v>599843</v>
      </c>
      <c r="BN21" s="645">
        <v>339292</v>
      </c>
      <c r="BO21" s="628">
        <f t="shared" si="2"/>
        <v>6603907</v>
      </c>
      <c r="BP21" s="629">
        <f t="shared" si="3"/>
        <v>12899046</v>
      </c>
      <c r="BQ21" s="629">
        <f t="shared" si="4"/>
        <v>11003796</v>
      </c>
      <c r="BR21" s="629">
        <f t="shared" si="5"/>
        <v>9277280</v>
      </c>
      <c r="BS21" s="631">
        <f t="shared" si="6"/>
        <v>3757248</v>
      </c>
    </row>
    <row r="22" spans="1:71" s="609" customFormat="1" ht="17.25" customHeight="1" hidden="1" thickBot="1">
      <c r="A22" s="662"/>
      <c r="B22" s="662"/>
      <c r="C22" s="663"/>
      <c r="D22" s="662"/>
      <c r="E22" s="663"/>
      <c r="F22" s="662"/>
      <c r="G22" s="663"/>
      <c r="H22" s="662"/>
      <c r="I22" s="663"/>
      <c r="J22" s="662"/>
      <c r="K22" s="663"/>
      <c r="P22" s="668" t="s">
        <v>237</v>
      </c>
      <c r="Q22" s="669">
        <v>122.64</v>
      </c>
      <c r="R22" s="670">
        <v>5.69</v>
      </c>
      <c r="S22" s="670">
        <v>426.12</v>
      </c>
      <c r="T22" s="670">
        <v>56.94</v>
      </c>
      <c r="U22" s="670">
        <v>24.45</v>
      </c>
      <c r="V22" s="670">
        <v>115.32</v>
      </c>
      <c r="W22" s="670">
        <v>2.69</v>
      </c>
      <c r="X22" s="670"/>
      <c r="Y22" s="670">
        <v>56.47</v>
      </c>
      <c r="Z22" s="671">
        <v>171.87</v>
      </c>
      <c r="AA22" s="664">
        <v>145.14</v>
      </c>
      <c r="AB22" s="664">
        <v>5.86</v>
      </c>
      <c r="AC22" s="664">
        <v>529.58</v>
      </c>
      <c r="AD22" s="664">
        <v>71.29</v>
      </c>
      <c r="AE22" s="665">
        <v>29.03</v>
      </c>
      <c r="AF22" s="645">
        <v>146.55</v>
      </c>
      <c r="AG22" s="645" t="s">
        <v>267</v>
      </c>
      <c r="AH22" s="645" t="s">
        <v>267</v>
      </c>
      <c r="AI22" s="645">
        <v>67.99</v>
      </c>
      <c r="AJ22" s="645">
        <v>119.59</v>
      </c>
      <c r="AK22" s="664">
        <v>87.07</v>
      </c>
      <c r="AL22" s="664">
        <v>3.94</v>
      </c>
      <c r="AM22" s="664">
        <v>262.65</v>
      </c>
      <c r="AN22" s="664">
        <v>42.28</v>
      </c>
      <c r="AO22" s="665">
        <v>12.49</v>
      </c>
      <c r="AP22" s="645">
        <v>79.94</v>
      </c>
      <c r="AQ22" s="645">
        <v>11.96</v>
      </c>
      <c r="AR22" s="645">
        <v>0</v>
      </c>
      <c r="AS22" s="645">
        <v>53.81</v>
      </c>
      <c r="AT22" s="645">
        <v>79.56</v>
      </c>
      <c r="AU22" s="647">
        <v>121.39</v>
      </c>
      <c r="AV22" s="648">
        <v>3.83</v>
      </c>
      <c r="AW22" s="648">
        <v>427.47</v>
      </c>
      <c r="AX22" s="648">
        <v>45.57</v>
      </c>
      <c r="AY22" s="648">
        <v>15.44</v>
      </c>
      <c r="AZ22" s="654">
        <v>114.59</v>
      </c>
      <c r="BA22" s="655">
        <v>11.32</v>
      </c>
      <c r="BB22" s="655">
        <v>0</v>
      </c>
      <c r="BC22" s="655">
        <v>60.86</v>
      </c>
      <c r="BD22" s="655">
        <v>80.42</v>
      </c>
      <c r="BE22" s="664">
        <v>124.84</v>
      </c>
      <c r="BF22" s="664">
        <v>4.87</v>
      </c>
      <c r="BG22" s="664">
        <v>397.55</v>
      </c>
      <c r="BH22" s="664">
        <v>63.66</v>
      </c>
      <c r="BI22" s="665">
        <v>19.62</v>
      </c>
      <c r="BJ22" s="645">
        <v>94.05</v>
      </c>
      <c r="BK22" s="645"/>
      <c r="BL22" s="645"/>
      <c r="BM22" s="645">
        <v>61.04</v>
      </c>
      <c r="BN22" s="645">
        <v>156.18</v>
      </c>
      <c r="BO22" s="672">
        <f t="shared" si="2"/>
        <v>982.1900000000002</v>
      </c>
      <c r="BP22" s="673">
        <f t="shared" si="3"/>
        <v>1115.03</v>
      </c>
      <c r="BQ22" s="673">
        <f t="shared" si="4"/>
        <v>633.6999999999998</v>
      </c>
      <c r="BR22" s="673">
        <f t="shared" si="5"/>
        <v>880.8900000000002</v>
      </c>
      <c r="BS22" s="674">
        <f t="shared" si="6"/>
        <v>921.81</v>
      </c>
    </row>
    <row r="23" spans="1:93" s="609" customFormat="1" ht="17.25" customHeight="1" hidden="1" thickBot="1">
      <c r="A23" s="662"/>
      <c r="B23" s="662"/>
      <c r="C23" s="663"/>
      <c r="D23" s="662"/>
      <c r="E23" s="663"/>
      <c r="F23" s="662"/>
      <c r="G23" s="663"/>
      <c r="H23" s="662"/>
      <c r="I23" s="663"/>
      <c r="J23" s="662"/>
      <c r="K23" s="663"/>
      <c r="P23" s="675" t="s">
        <v>67</v>
      </c>
      <c r="Q23" s="676">
        <f>+Q6/Q22/12</f>
        <v>39944.13595346815</v>
      </c>
      <c r="R23" s="677">
        <f aca="true" t="shared" si="12" ref="R23:R38">+R6/$R$22/12</f>
        <v>29957.190978324546</v>
      </c>
      <c r="S23" s="677">
        <f aca="true" t="shared" si="13" ref="S23:S38">+S6/$S$22/12</f>
        <v>19414.43294533621</v>
      </c>
      <c r="T23" s="677">
        <f>+T6/$T22/12</f>
        <v>20523.523299379463</v>
      </c>
      <c r="U23" s="677">
        <f aca="true" t="shared" si="14" ref="U23:U38">+U6/$U$22/12</f>
        <v>21836.952965235174</v>
      </c>
      <c r="V23" s="677">
        <f aca="true" t="shared" si="15" ref="V23:V38">+V6/$V$22/12</f>
        <v>13068.997861024398</v>
      </c>
      <c r="W23" s="677">
        <f>+W6/W22/12</f>
        <v>21497.645600991327</v>
      </c>
      <c r="X23" s="677"/>
      <c r="Y23" s="677">
        <f>+Y6/Y22/12</f>
        <v>18573.595124254767</v>
      </c>
      <c r="Z23" s="678">
        <f>+Z6/$Z22/12</f>
        <v>11140.393902368067</v>
      </c>
      <c r="AA23" s="676">
        <f aca="true" t="shared" si="16" ref="AA23:AG23">+AA6/AA22/12</f>
        <v>41054.54675945065</v>
      </c>
      <c r="AB23" s="677">
        <f t="shared" si="16"/>
        <v>32877.65927189988</v>
      </c>
      <c r="AC23" s="677">
        <f t="shared" si="16"/>
        <v>19458.150798746174</v>
      </c>
      <c r="AD23" s="677">
        <f t="shared" si="16"/>
        <v>21888.990975826437</v>
      </c>
      <c r="AE23" s="677">
        <f t="shared" si="16"/>
        <v>18761.597198300606</v>
      </c>
      <c r="AF23" s="677">
        <f t="shared" si="16"/>
        <v>12383.311725235983</v>
      </c>
      <c r="AG23" s="677" t="e">
        <f t="shared" si="16"/>
        <v>#VALUE!</v>
      </c>
      <c r="AH23" s="677"/>
      <c r="AI23" s="677">
        <f>+AI6/AI22/12</f>
        <v>16975.96827964897</v>
      </c>
      <c r="AJ23" s="678">
        <f>+AJ6/AJ22/12</f>
        <v>10812.565153162193</v>
      </c>
      <c r="AK23" s="679">
        <f>+AK6/AK22/12</f>
        <v>40331.02867424678</v>
      </c>
      <c r="AL23" s="677">
        <f aca="true" t="shared" si="17" ref="AL23:AL38">+AL6/$AL$22/12</f>
        <v>26187.14043993232</v>
      </c>
      <c r="AM23" s="677">
        <f aca="true" t="shared" si="18" ref="AM23:AM38">+AM6/$AM$22/12</f>
        <v>20206.332254584686</v>
      </c>
      <c r="AN23" s="677">
        <f aca="true" t="shared" si="19" ref="AN23:AN38">+AN6/$AN$22/12</f>
        <v>21287.32458215074</v>
      </c>
      <c r="AO23" s="677">
        <f aca="true" t="shared" si="20" ref="AO23:AO38">+AO6/$AO$22/12</f>
        <v>15880.911395783294</v>
      </c>
      <c r="AP23" s="677">
        <f aca="true" t="shared" si="21" ref="AP23:AP38">+AP6/$AP$22/12</f>
        <v>15225.33879576349</v>
      </c>
      <c r="AQ23" s="677">
        <f>+AQ6/AQ22/12</f>
        <v>21745.33862876254</v>
      </c>
      <c r="AR23" s="677" t="e">
        <f>+AR6/AR22/12</f>
        <v>#DIV/0!</v>
      </c>
      <c r="AS23" s="677">
        <f aca="true" t="shared" si="22" ref="AS23:AS38">+AS6/$AS$22/12</f>
        <v>17581.718082140866</v>
      </c>
      <c r="AT23" s="677">
        <f aca="true" t="shared" si="23" ref="AT23:AT38">+AT6/$AT$22/12</f>
        <v>12097.74069884364</v>
      </c>
      <c r="AU23" s="677">
        <f aca="true" t="shared" si="24" ref="AU23:BK23">+AU6/AU22/12</f>
        <v>41243.1570420408</v>
      </c>
      <c r="AV23" s="677">
        <f t="shared" si="24"/>
        <v>39178.48128807659</v>
      </c>
      <c r="AW23" s="677">
        <f t="shared" si="24"/>
        <v>19519.263535062888</v>
      </c>
      <c r="AX23" s="677">
        <f t="shared" si="24"/>
        <v>22427.026186818814</v>
      </c>
      <c r="AY23" s="677">
        <f t="shared" si="24"/>
        <v>20646.56196027634</v>
      </c>
      <c r="AZ23" s="677">
        <f t="shared" si="24"/>
        <v>11791.753207086133</v>
      </c>
      <c r="BA23" s="677">
        <f t="shared" si="24"/>
        <v>18403.73969375736</v>
      </c>
      <c r="BB23" s="677" t="e">
        <f t="shared" si="24"/>
        <v>#DIV/0!</v>
      </c>
      <c r="BC23" s="677">
        <f t="shared" si="24"/>
        <v>19323.584182276263</v>
      </c>
      <c r="BD23" s="680">
        <f t="shared" si="24"/>
        <v>11292.168200281854</v>
      </c>
      <c r="BE23" s="676">
        <f t="shared" si="24"/>
        <v>40805.626535298514</v>
      </c>
      <c r="BF23" s="677">
        <f t="shared" si="24"/>
        <v>29946.338124572212</v>
      </c>
      <c r="BG23" s="677">
        <f t="shared" si="24"/>
        <v>19532.190290529492</v>
      </c>
      <c r="BH23" s="677">
        <f t="shared" si="24"/>
        <v>21271.68944392083</v>
      </c>
      <c r="BI23" s="677">
        <f t="shared" si="24"/>
        <v>21068.582229018008</v>
      </c>
      <c r="BJ23" s="677">
        <f t="shared" si="24"/>
        <v>12594.13166755272</v>
      </c>
      <c r="BK23" s="677" t="e">
        <f t="shared" si="24"/>
        <v>#DIV/0!</v>
      </c>
      <c r="BL23" s="677"/>
      <c r="BM23" s="677">
        <f aca="true" t="shared" si="25" ref="BM23:BS23">+BM6/BM22/12</f>
        <v>15936.458333333334</v>
      </c>
      <c r="BN23" s="678">
        <f t="shared" si="25"/>
        <v>9829.893925812097</v>
      </c>
      <c r="BO23" s="681">
        <f t="shared" si="25"/>
        <v>19928.020291389646</v>
      </c>
      <c r="BP23" s="678">
        <f t="shared" si="25"/>
        <v>20468.62229416847</v>
      </c>
      <c r="BQ23" s="678">
        <f t="shared" si="25"/>
        <v>21155.326126979122</v>
      </c>
      <c r="BR23" s="678">
        <f t="shared" si="25"/>
        <v>20984.390029780483</v>
      </c>
      <c r="BS23" s="678">
        <f t="shared" si="25"/>
        <v>20031.274340699278</v>
      </c>
      <c r="BT23" s="682"/>
      <c r="BU23" s="682"/>
      <c r="BV23" s="682"/>
      <c r="BW23" s="682"/>
      <c r="BX23" s="682"/>
      <c r="BY23" s="682"/>
      <c r="BZ23" s="682"/>
      <c r="CA23" s="682"/>
      <c r="CB23" s="682"/>
      <c r="CC23" s="682"/>
      <c r="CD23" s="682"/>
      <c r="CE23" s="682"/>
      <c r="CF23" s="682"/>
      <c r="CG23" s="682"/>
      <c r="CH23" s="682"/>
      <c r="CI23" s="682"/>
      <c r="CJ23" s="682"/>
      <c r="CK23" s="682"/>
      <c r="CL23" s="682"/>
      <c r="CM23" s="682"/>
      <c r="CN23" s="682"/>
      <c r="CO23" s="682"/>
    </row>
    <row r="24" spans="1:71" s="609" customFormat="1" ht="17.25" customHeight="1" hidden="1">
      <c r="A24" s="662"/>
      <c r="B24" s="662"/>
      <c r="C24" s="663"/>
      <c r="D24" s="662"/>
      <c r="E24" s="663"/>
      <c r="F24" s="662"/>
      <c r="G24" s="663"/>
      <c r="H24" s="662"/>
      <c r="I24" s="663"/>
      <c r="J24" s="662"/>
      <c r="K24" s="663"/>
      <c r="P24" s="683" t="s">
        <v>217</v>
      </c>
      <c r="Q24" s="684">
        <f aca="true" t="shared" si="26" ref="Q24:Q38">+Q7/$Q$22/12</f>
        <v>20488.28209936943</v>
      </c>
      <c r="R24" s="685">
        <f t="shared" si="12"/>
        <v>18503.998242530753</v>
      </c>
      <c r="S24" s="685">
        <f t="shared" si="13"/>
        <v>13822.775470133609</v>
      </c>
      <c r="T24" s="685">
        <f aca="true" t="shared" si="27" ref="T24:T38">+T7/$T$22/12</f>
        <v>13475.16830581899</v>
      </c>
      <c r="U24" s="685">
        <f t="shared" si="14"/>
        <v>16033.166325835038</v>
      </c>
      <c r="V24" s="685">
        <f t="shared" si="15"/>
        <v>8909.34717886461</v>
      </c>
      <c r="W24" s="685">
        <f aca="true" t="shared" si="28" ref="W24:W38">+W7/$W$22/12</f>
        <v>16525.371747211895</v>
      </c>
      <c r="X24" s="686"/>
      <c r="Y24" s="685">
        <f aca="true" t="shared" si="29" ref="Y24:Y38">+Y7/$Y$22/12</f>
        <v>10911.767310076148</v>
      </c>
      <c r="Z24" s="687">
        <f aca="true" t="shared" si="30" ref="Z24:Z38">+Z7/$Z$22/12</f>
        <v>7490.911735614126</v>
      </c>
      <c r="AA24" s="684">
        <f aca="true" t="shared" si="31" ref="AA24:AA38">+AA7/$AA$22/12</f>
        <v>19877.900073492263</v>
      </c>
      <c r="AB24" s="685">
        <f aca="true" t="shared" si="32" ref="AB24:AB38">+AB7/$AB$22/12</f>
        <v>21052.189988623435</v>
      </c>
      <c r="AC24" s="685">
        <f aca="true" t="shared" si="33" ref="AC24:AC38">+AC7/$AC$22/12</f>
        <v>14005.900745244659</v>
      </c>
      <c r="AD24" s="685">
        <f aca="true" t="shared" si="34" ref="AD24:AD38">+AD7/$AD$22/12</f>
        <v>14571.504886145789</v>
      </c>
      <c r="AE24" s="685">
        <f aca="true" t="shared" si="35" ref="AE24:AE38">+AE7/$AE$22/12</f>
        <v>15617.806292341256</v>
      </c>
      <c r="AF24" s="685">
        <f aca="true" t="shared" si="36" ref="AF24:AF38">+AF7/$AF$22/12</f>
        <v>9519.093028545432</v>
      </c>
      <c r="AG24" s="685" t="e">
        <f aca="true" t="shared" si="37" ref="AG24:AG38">+AG7/$AG$22/12</f>
        <v>#VALUE!</v>
      </c>
      <c r="AH24" s="686"/>
      <c r="AI24" s="685">
        <f aca="true" t="shared" si="38" ref="AI24:AI38">+AI7/$AI$22/12</f>
        <v>11568.290680001963</v>
      </c>
      <c r="AJ24" s="687">
        <f aca="true" t="shared" si="39" ref="AJ24:AJ38">+AJ7/$AJ$22/12</f>
        <v>8187.573515065363</v>
      </c>
      <c r="AK24" s="688">
        <f aca="true" t="shared" si="40" ref="AK24:AK38">+AK7/$AK$22/12</f>
        <v>20937.75506297615</v>
      </c>
      <c r="AL24" s="685">
        <f t="shared" si="17"/>
        <v>20095.11421319797</v>
      </c>
      <c r="AM24" s="685">
        <f t="shared" si="18"/>
        <v>14605.995304270577</v>
      </c>
      <c r="AN24" s="685">
        <f t="shared" si="19"/>
        <v>14152.491327656891</v>
      </c>
      <c r="AO24" s="685">
        <f t="shared" si="20"/>
        <v>13512.176407792902</v>
      </c>
      <c r="AP24" s="685">
        <f t="shared" si="21"/>
        <v>10468.43465932783</v>
      </c>
      <c r="AQ24" s="686"/>
      <c r="AR24" s="686"/>
      <c r="AS24" s="685">
        <f t="shared" si="22"/>
        <v>12114.884160317166</v>
      </c>
      <c r="AT24" s="685">
        <f t="shared" si="23"/>
        <v>8701.750251382604</v>
      </c>
      <c r="AU24" s="685">
        <f aca="true" t="shared" si="41" ref="AU24:AU38">+AU7/$AU$22/12</f>
        <v>20503.7640387731</v>
      </c>
      <c r="AV24" s="685">
        <f aca="true" t="shared" si="42" ref="AV24:AV38">+AV7/$AV$22/12</f>
        <v>20932.506527415142</v>
      </c>
      <c r="AW24" s="685">
        <f aca="true" t="shared" si="43" ref="AW24:AW38">+AW7/$AW$22/12</f>
        <v>14632.644201152516</v>
      </c>
      <c r="AX24" s="685">
        <f aca="true" t="shared" si="44" ref="AX24:AX38">+AX7/$AX$22/12</f>
        <v>15326.9182941994</v>
      </c>
      <c r="AY24" s="685">
        <f aca="true" t="shared" si="45" ref="AY24:AY38">+AY7/$AY$22/12</f>
        <v>14930.86139896373</v>
      </c>
      <c r="AZ24" s="685">
        <f aca="true" t="shared" si="46" ref="AZ24:AZ38">+AZ7/$AZ$22/12</f>
        <v>9216.85647380516</v>
      </c>
      <c r="BA24" s="685">
        <f aca="true" t="shared" si="47" ref="BA24:BA38">+BA7/$BA$22/12</f>
        <v>14527.841578327445</v>
      </c>
      <c r="BB24" s="685" t="e">
        <f>+BB7/$BB$22/12</f>
        <v>#DIV/0!</v>
      </c>
      <c r="BC24" s="685">
        <f aca="true" t="shared" si="48" ref="BC24:BC38">+BC7/$BC$22/12</f>
        <v>11560.206484828568</v>
      </c>
      <c r="BD24" s="689">
        <f aca="true" t="shared" si="49" ref="BD24:BD38">+BD7/$BD$22/12</f>
        <v>8435.062795324546</v>
      </c>
      <c r="BE24" s="684">
        <f aca="true" t="shared" si="50" ref="BE24:BE38">+BE7/$BE$22/12</f>
        <v>21109.797207091742</v>
      </c>
      <c r="BF24" s="685">
        <f aca="true" t="shared" si="51" ref="BF24:BF38">+BF7/$BF$22/12</f>
        <v>20675.068446269677</v>
      </c>
      <c r="BG24" s="685">
        <f aca="true" t="shared" si="52" ref="BG24:BG38">+BG7/$BG$22/12</f>
        <v>14050.854819100323</v>
      </c>
      <c r="BH24" s="685">
        <f aca="true" t="shared" si="53" ref="BH24:BH38">+BH7/$BH$22/12</f>
        <v>14111.071839983246</v>
      </c>
      <c r="BI24" s="685">
        <f aca="true" t="shared" si="54" ref="BI24:BI38">+BI7/$BI$22/12</f>
        <v>15771.292048929661</v>
      </c>
      <c r="BJ24" s="685">
        <f aca="true" t="shared" si="55" ref="BJ24:BJ38">+BJ7/$BJ$22/12</f>
        <v>9261.10756689704</v>
      </c>
      <c r="BK24" s="685" t="e">
        <f>+$BK$7/$BK$22/12</f>
        <v>#DIV/0!</v>
      </c>
      <c r="BL24" s="685"/>
      <c r="BM24" s="685">
        <f aca="true" t="shared" si="56" ref="BM24:BM38">+BM7/$BM$22/12</f>
        <v>10673.345347313238</v>
      </c>
      <c r="BN24" s="687">
        <f aca="true" t="shared" si="57" ref="BN24:BN38">+BN7/$BN$22/12</f>
        <v>6914.1946258590515</v>
      </c>
      <c r="BO24" s="684">
        <f aca="true" t="shared" si="58" ref="BO24:BO38">+BO7/$BO$22/12</f>
        <v>12872.202340348267</v>
      </c>
      <c r="BP24" s="685">
        <f aca="true" t="shared" si="59" ref="BP24:BP38">+BP7/$BP$22/12</f>
        <v>13523.026062079049</v>
      </c>
      <c r="BQ24" s="685">
        <f aca="true" t="shared" si="60" ref="BQ24:BQ38">+BQ7/$BQ$22/12</f>
        <v>14026.023223396985</v>
      </c>
      <c r="BR24" s="685">
        <f aca="true" t="shared" si="61" ref="BR24:BR38">+BR7/$BR$22/12</f>
        <v>14026.310511717313</v>
      </c>
      <c r="BS24" s="687">
        <f aca="true" t="shared" si="62" ref="BS24:BS38">+BS7/$BS$22/12</f>
        <v>13161.13154193019</v>
      </c>
    </row>
    <row r="25" spans="1:71" s="609" customFormat="1" ht="17.25" customHeight="1" hidden="1">
      <c r="A25" s="662"/>
      <c r="B25" s="662"/>
      <c r="C25" s="663"/>
      <c r="D25" s="662"/>
      <c r="E25" s="663"/>
      <c r="F25" s="662"/>
      <c r="G25" s="663"/>
      <c r="H25" s="662"/>
      <c r="I25" s="663"/>
      <c r="J25" s="662"/>
      <c r="K25" s="663"/>
      <c r="P25" s="641" t="s">
        <v>219</v>
      </c>
      <c r="Q25" s="690">
        <f t="shared" si="26"/>
        <v>464.1668025657752</v>
      </c>
      <c r="R25" s="691">
        <f t="shared" si="12"/>
        <v>633.465143526655</v>
      </c>
      <c r="S25" s="691">
        <f t="shared" si="13"/>
        <v>107.22703307362558</v>
      </c>
      <c r="T25" s="691">
        <f t="shared" si="27"/>
        <v>189.5621121648519</v>
      </c>
      <c r="U25" s="691">
        <f t="shared" si="14"/>
        <v>375.71233810497614</v>
      </c>
      <c r="V25" s="691">
        <f t="shared" si="15"/>
        <v>0</v>
      </c>
      <c r="W25" s="691">
        <f t="shared" si="28"/>
        <v>249.81412639405207</v>
      </c>
      <c r="X25" s="692"/>
      <c r="Y25" s="691">
        <f t="shared" si="29"/>
        <v>549.6591110324066</v>
      </c>
      <c r="Z25" s="693">
        <f t="shared" si="30"/>
        <v>59.767556874381796</v>
      </c>
      <c r="AA25" s="684">
        <f t="shared" si="31"/>
        <v>427.87251389463046</v>
      </c>
      <c r="AB25" s="685">
        <f t="shared" si="32"/>
        <v>695.3924914675767</v>
      </c>
      <c r="AC25" s="685">
        <f t="shared" si="33"/>
        <v>59.566858013268366</v>
      </c>
      <c r="AD25" s="685">
        <f t="shared" si="34"/>
        <v>117.88820311404123</v>
      </c>
      <c r="AE25" s="685">
        <f t="shared" si="35"/>
        <v>46.47491101159719</v>
      </c>
      <c r="AF25" s="685">
        <f t="shared" si="36"/>
        <v>0</v>
      </c>
      <c r="AG25" s="685" t="e">
        <f t="shared" si="37"/>
        <v>#VALUE!</v>
      </c>
      <c r="AH25" s="686"/>
      <c r="AI25" s="685">
        <f t="shared" si="38"/>
        <v>330.98494876697555</v>
      </c>
      <c r="AJ25" s="687">
        <f t="shared" si="39"/>
        <v>20.787691278534993</v>
      </c>
      <c r="AK25" s="694">
        <f t="shared" si="40"/>
        <v>323.3212740706711</v>
      </c>
      <c r="AL25" s="691">
        <f t="shared" si="17"/>
        <v>159.94077834179356</v>
      </c>
      <c r="AM25" s="691">
        <f t="shared" si="18"/>
        <v>85.03014150644077</v>
      </c>
      <c r="AN25" s="691">
        <f t="shared" si="19"/>
        <v>62.336408073163035</v>
      </c>
      <c r="AO25" s="691">
        <f t="shared" si="20"/>
        <v>36.52255137443288</v>
      </c>
      <c r="AP25" s="691">
        <f t="shared" si="21"/>
        <v>0</v>
      </c>
      <c r="AQ25" s="692"/>
      <c r="AR25" s="692"/>
      <c r="AS25" s="691">
        <f t="shared" si="22"/>
        <v>266.2562720683888</v>
      </c>
      <c r="AT25" s="691">
        <f t="shared" si="23"/>
        <v>15.80253896430367</v>
      </c>
      <c r="AU25" s="691">
        <f t="shared" si="41"/>
        <v>654.8795892028448</v>
      </c>
      <c r="AV25" s="691">
        <f t="shared" si="42"/>
        <v>1270.2349869451698</v>
      </c>
      <c r="AW25" s="691">
        <f t="shared" si="43"/>
        <v>198.00687767562636</v>
      </c>
      <c r="AX25" s="691">
        <f t="shared" si="44"/>
        <v>320.7995025967376</v>
      </c>
      <c r="AY25" s="691">
        <f t="shared" si="45"/>
        <v>172.01532815198618</v>
      </c>
      <c r="AZ25" s="691">
        <f t="shared" si="46"/>
        <v>0</v>
      </c>
      <c r="BA25" s="691">
        <f t="shared" si="47"/>
        <v>0</v>
      </c>
      <c r="BB25" s="691">
        <f aca="true" t="shared" si="63" ref="BB25:BB35">+BB8/$AU$22/12</f>
        <v>0</v>
      </c>
      <c r="BC25" s="691">
        <f t="shared" si="48"/>
        <v>752.2496987621865</v>
      </c>
      <c r="BD25" s="695">
        <f t="shared" si="49"/>
        <v>3.8557987233689794</v>
      </c>
      <c r="BE25" s="684">
        <f t="shared" si="50"/>
        <v>393.49567446331304</v>
      </c>
      <c r="BF25" s="685">
        <f t="shared" si="51"/>
        <v>779.1409993155372</v>
      </c>
      <c r="BG25" s="685">
        <f t="shared" si="52"/>
        <v>67.4831258122668</v>
      </c>
      <c r="BH25" s="685">
        <f t="shared" si="53"/>
        <v>58.754843439103574</v>
      </c>
      <c r="BI25" s="685">
        <f t="shared" si="54"/>
        <v>26.006625891946992</v>
      </c>
      <c r="BJ25" s="685">
        <f t="shared" si="55"/>
        <v>0</v>
      </c>
      <c r="BK25" s="685" t="e">
        <f aca="true" t="shared" si="64" ref="BK25:BK38">+BK8/$BK$22/12</f>
        <v>#DIV/0!</v>
      </c>
      <c r="BL25" s="685"/>
      <c r="BM25" s="685">
        <f t="shared" si="56"/>
        <v>462.90820227173435</v>
      </c>
      <c r="BN25" s="687">
        <f t="shared" si="57"/>
        <v>10.811243437059803</v>
      </c>
      <c r="BO25" s="684">
        <f t="shared" si="58"/>
        <v>171.23443529256045</v>
      </c>
      <c r="BP25" s="685">
        <f t="shared" si="59"/>
        <v>118.79941944760829</v>
      </c>
      <c r="BQ25" s="685">
        <f t="shared" si="60"/>
        <v>111.54436904949769</v>
      </c>
      <c r="BR25" s="685">
        <f t="shared" si="61"/>
        <v>263.7895575308305</v>
      </c>
      <c r="BS25" s="687">
        <f t="shared" si="62"/>
        <v>123.60609380819619</v>
      </c>
    </row>
    <row r="26" spans="1:71" s="609" customFormat="1" ht="17.25" customHeight="1" hidden="1">
      <c r="A26" s="662"/>
      <c r="B26" s="662"/>
      <c r="C26" s="663"/>
      <c r="D26" s="662"/>
      <c r="E26" s="663"/>
      <c r="F26" s="662"/>
      <c r="G26" s="663"/>
      <c r="H26" s="662"/>
      <c r="I26" s="663"/>
      <c r="J26" s="662"/>
      <c r="K26" s="663"/>
      <c r="P26" s="641" t="s">
        <v>221</v>
      </c>
      <c r="Q26" s="690">
        <f t="shared" si="26"/>
        <v>0</v>
      </c>
      <c r="R26" s="691">
        <f t="shared" si="12"/>
        <v>0</v>
      </c>
      <c r="S26" s="691">
        <f t="shared" si="13"/>
        <v>0</v>
      </c>
      <c r="T26" s="691">
        <f t="shared" si="27"/>
        <v>0</v>
      </c>
      <c r="U26" s="691">
        <f t="shared" si="14"/>
        <v>0</v>
      </c>
      <c r="V26" s="691">
        <f t="shared" si="15"/>
        <v>0</v>
      </c>
      <c r="W26" s="691">
        <f t="shared" si="28"/>
        <v>0</v>
      </c>
      <c r="X26" s="692"/>
      <c r="Y26" s="691">
        <f t="shared" si="29"/>
        <v>0</v>
      </c>
      <c r="Z26" s="693">
        <f t="shared" si="30"/>
        <v>0</v>
      </c>
      <c r="AA26" s="684">
        <f t="shared" si="31"/>
        <v>0</v>
      </c>
      <c r="AB26" s="685">
        <f t="shared" si="32"/>
        <v>0</v>
      </c>
      <c r="AC26" s="685">
        <f t="shared" si="33"/>
        <v>0</v>
      </c>
      <c r="AD26" s="685">
        <f t="shared" si="34"/>
        <v>0</v>
      </c>
      <c r="AE26" s="685">
        <f t="shared" si="35"/>
        <v>0</v>
      </c>
      <c r="AF26" s="685">
        <f t="shared" si="36"/>
        <v>0</v>
      </c>
      <c r="AG26" s="685" t="e">
        <f t="shared" si="37"/>
        <v>#VALUE!</v>
      </c>
      <c r="AH26" s="686"/>
      <c r="AI26" s="685">
        <f t="shared" si="38"/>
        <v>0</v>
      </c>
      <c r="AJ26" s="687">
        <f t="shared" si="39"/>
        <v>0</v>
      </c>
      <c r="AK26" s="694">
        <f t="shared" si="40"/>
        <v>0</v>
      </c>
      <c r="AL26" s="691">
        <f t="shared" si="17"/>
        <v>0</v>
      </c>
      <c r="AM26" s="691">
        <f t="shared" si="18"/>
        <v>0</v>
      </c>
      <c r="AN26" s="691">
        <f t="shared" si="19"/>
        <v>0</v>
      </c>
      <c r="AO26" s="691">
        <f t="shared" si="20"/>
        <v>0</v>
      </c>
      <c r="AP26" s="691">
        <f t="shared" si="21"/>
        <v>0</v>
      </c>
      <c r="AQ26" s="692"/>
      <c r="AR26" s="692"/>
      <c r="AS26" s="691">
        <f t="shared" si="22"/>
        <v>6.752152635817382</v>
      </c>
      <c r="AT26" s="691">
        <f t="shared" si="23"/>
        <v>0</v>
      </c>
      <c r="AU26" s="691">
        <f t="shared" si="41"/>
        <v>0</v>
      </c>
      <c r="AV26" s="691">
        <f t="shared" si="42"/>
        <v>0</v>
      </c>
      <c r="AW26" s="691">
        <f t="shared" si="43"/>
        <v>0</v>
      </c>
      <c r="AX26" s="691">
        <f t="shared" si="44"/>
        <v>0</v>
      </c>
      <c r="AY26" s="691">
        <f t="shared" si="45"/>
        <v>0</v>
      </c>
      <c r="AZ26" s="691">
        <f t="shared" si="46"/>
        <v>0</v>
      </c>
      <c r="BA26" s="691">
        <f t="shared" si="47"/>
        <v>0</v>
      </c>
      <c r="BB26" s="691">
        <f t="shared" si="63"/>
        <v>0</v>
      </c>
      <c r="BC26" s="691">
        <f t="shared" si="48"/>
        <v>0</v>
      </c>
      <c r="BD26" s="695">
        <f t="shared" si="49"/>
        <v>0</v>
      </c>
      <c r="BE26" s="684">
        <f t="shared" si="50"/>
        <v>0</v>
      </c>
      <c r="BF26" s="685">
        <f t="shared" si="51"/>
        <v>0</v>
      </c>
      <c r="BG26" s="685">
        <f t="shared" si="52"/>
        <v>0</v>
      </c>
      <c r="BH26" s="685">
        <f t="shared" si="53"/>
        <v>0</v>
      </c>
      <c r="BI26" s="685">
        <f t="shared" si="54"/>
        <v>0</v>
      </c>
      <c r="BJ26" s="685">
        <f t="shared" si="55"/>
        <v>0</v>
      </c>
      <c r="BK26" s="685" t="e">
        <f t="shared" si="64"/>
        <v>#DIV/0!</v>
      </c>
      <c r="BL26" s="685"/>
      <c r="BM26" s="685">
        <f t="shared" si="56"/>
        <v>0</v>
      </c>
      <c r="BN26" s="687">
        <f t="shared" si="57"/>
        <v>0</v>
      </c>
      <c r="BO26" s="684">
        <f t="shared" si="58"/>
        <v>0</v>
      </c>
      <c r="BP26" s="685">
        <f t="shared" si="59"/>
        <v>0</v>
      </c>
      <c r="BQ26" s="685">
        <f t="shared" si="60"/>
        <v>0.5733522697385726</v>
      </c>
      <c r="BR26" s="685">
        <f t="shared" si="61"/>
        <v>0</v>
      </c>
      <c r="BS26" s="687">
        <f t="shared" si="62"/>
        <v>0</v>
      </c>
    </row>
    <row r="27" spans="1:71" s="609" customFormat="1" ht="17.25" customHeight="1" hidden="1">
      <c r="A27" s="662"/>
      <c r="B27" s="662"/>
      <c r="C27" s="663"/>
      <c r="D27" s="662"/>
      <c r="E27" s="663"/>
      <c r="F27" s="662"/>
      <c r="G27" s="663"/>
      <c r="H27" s="662"/>
      <c r="I27" s="663"/>
      <c r="J27" s="662"/>
      <c r="K27" s="663"/>
      <c r="P27" s="641" t="s">
        <v>223</v>
      </c>
      <c r="Q27" s="690">
        <f t="shared" si="26"/>
        <v>702.463171341596</v>
      </c>
      <c r="R27" s="691">
        <f t="shared" si="12"/>
        <v>417.79437609841824</v>
      </c>
      <c r="S27" s="691">
        <f t="shared" si="13"/>
        <v>619.6912450326981</v>
      </c>
      <c r="T27" s="691">
        <f t="shared" si="27"/>
        <v>413.78497833977286</v>
      </c>
      <c r="U27" s="691">
        <f t="shared" si="14"/>
        <v>361.0293115201091</v>
      </c>
      <c r="V27" s="691">
        <f t="shared" si="15"/>
        <v>561.0778702740201</v>
      </c>
      <c r="W27" s="691">
        <f t="shared" si="28"/>
        <v>480.91697645600993</v>
      </c>
      <c r="X27" s="692"/>
      <c r="Y27" s="691">
        <f t="shared" si="29"/>
        <v>232.05684434212856</v>
      </c>
      <c r="Z27" s="693">
        <f t="shared" si="30"/>
        <v>336.613428754291</v>
      </c>
      <c r="AA27" s="684">
        <f t="shared" si="31"/>
        <v>398.25685544991046</v>
      </c>
      <c r="AB27" s="685">
        <f t="shared" si="32"/>
        <v>89.1353811149033</v>
      </c>
      <c r="AC27" s="685">
        <f t="shared" si="33"/>
        <v>587.7262799451137</v>
      </c>
      <c r="AD27" s="685">
        <f t="shared" si="34"/>
        <v>341.32066208444377</v>
      </c>
      <c r="AE27" s="685">
        <f t="shared" si="35"/>
        <v>241.32219543001494</v>
      </c>
      <c r="AF27" s="685">
        <f t="shared" si="36"/>
        <v>325.4185147276242</v>
      </c>
      <c r="AG27" s="685" t="e">
        <f t="shared" si="37"/>
        <v>#VALUE!</v>
      </c>
      <c r="AH27" s="686"/>
      <c r="AI27" s="685">
        <f t="shared" si="38"/>
        <v>43.03696622052263</v>
      </c>
      <c r="AJ27" s="687">
        <f t="shared" si="39"/>
        <v>80.01505142570448</v>
      </c>
      <c r="AK27" s="694">
        <f t="shared" si="40"/>
        <v>343.6095478733586</v>
      </c>
      <c r="AL27" s="691">
        <f t="shared" si="17"/>
        <v>0</v>
      </c>
      <c r="AM27" s="691">
        <f t="shared" si="18"/>
        <v>353.28478964401296</v>
      </c>
      <c r="AN27" s="691">
        <f t="shared" si="19"/>
        <v>268.4937716808578</v>
      </c>
      <c r="AO27" s="691">
        <f t="shared" si="20"/>
        <v>117.0336269015212</v>
      </c>
      <c r="AP27" s="691">
        <f t="shared" si="21"/>
        <v>264.83821199232756</v>
      </c>
      <c r="AQ27" s="692"/>
      <c r="AR27" s="692"/>
      <c r="AS27" s="691">
        <f t="shared" si="22"/>
        <v>10.187077990460262</v>
      </c>
      <c r="AT27" s="691">
        <f t="shared" si="23"/>
        <v>73.40581531758002</v>
      </c>
      <c r="AU27" s="691">
        <f t="shared" si="41"/>
        <v>284.16673531592386</v>
      </c>
      <c r="AV27" s="691">
        <f t="shared" si="42"/>
        <v>277.80678851174935</v>
      </c>
      <c r="AW27" s="691">
        <f t="shared" si="43"/>
        <v>296.1868669146373</v>
      </c>
      <c r="AX27" s="691">
        <f t="shared" si="44"/>
        <v>313.79928315412184</v>
      </c>
      <c r="AY27" s="691">
        <f t="shared" si="45"/>
        <v>125.83657167530225</v>
      </c>
      <c r="AZ27" s="691">
        <f t="shared" si="46"/>
        <v>276.29447013991916</v>
      </c>
      <c r="BA27" s="691">
        <f t="shared" si="47"/>
        <v>270.58303886925796</v>
      </c>
      <c r="BB27" s="691">
        <f t="shared" si="63"/>
        <v>0</v>
      </c>
      <c r="BC27" s="691">
        <f t="shared" si="48"/>
        <v>19.366852886405958</v>
      </c>
      <c r="BD27" s="695">
        <f t="shared" si="49"/>
        <v>54.38220177401973</v>
      </c>
      <c r="BE27" s="684">
        <f t="shared" si="50"/>
        <v>445.5289437146214</v>
      </c>
      <c r="BF27" s="685">
        <f t="shared" si="51"/>
        <v>110.19849418206707</v>
      </c>
      <c r="BG27" s="685">
        <f t="shared" si="52"/>
        <v>566.9083553431434</v>
      </c>
      <c r="BH27" s="685">
        <f t="shared" si="53"/>
        <v>268.6721122630642</v>
      </c>
      <c r="BI27" s="685">
        <f t="shared" si="54"/>
        <v>251.82636765205572</v>
      </c>
      <c r="BJ27" s="685">
        <f t="shared" si="55"/>
        <v>330.25518341307816</v>
      </c>
      <c r="BK27" s="685" t="e">
        <f t="shared" si="64"/>
        <v>#DIV/0!</v>
      </c>
      <c r="BL27" s="685"/>
      <c r="BM27" s="685">
        <f t="shared" si="56"/>
        <v>28.20281782437746</v>
      </c>
      <c r="BN27" s="687">
        <f t="shared" si="57"/>
        <v>184.9009689674307</v>
      </c>
      <c r="BO27" s="684">
        <f t="shared" si="58"/>
        <v>531.3976080663278</v>
      </c>
      <c r="BP27" s="685">
        <f t="shared" si="59"/>
        <v>413.5287092425017</v>
      </c>
      <c r="BQ27" s="685">
        <f t="shared" si="60"/>
        <v>262.91410236179064</v>
      </c>
      <c r="BR27" s="685">
        <f t="shared" si="61"/>
        <v>248.258484790004</v>
      </c>
      <c r="BS27" s="687">
        <f t="shared" si="62"/>
        <v>396.21532636877447</v>
      </c>
    </row>
    <row r="28" spans="1:71" s="609" customFormat="1" ht="17.25" customHeight="1" hidden="1">
      <c r="A28" s="662"/>
      <c r="B28" s="662"/>
      <c r="C28" s="663"/>
      <c r="D28" s="662"/>
      <c r="E28" s="663"/>
      <c r="F28" s="662"/>
      <c r="G28" s="663"/>
      <c r="H28" s="662"/>
      <c r="I28" s="663"/>
      <c r="J28" s="662"/>
      <c r="K28" s="663"/>
      <c r="P28" s="641" t="s">
        <v>225</v>
      </c>
      <c r="Q28" s="690">
        <f t="shared" si="26"/>
        <v>3137.861491628615</v>
      </c>
      <c r="R28" s="691">
        <f t="shared" si="12"/>
        <v>254.11540714704157</v>
      </c>
      <c r="S28" s="691">
        <f t="shared" si="13"/>
        <v>457.88490722488183</v>
      </c>
      <c r="T28" s="691">
        <f t="shared" si="27"/>
        <v>1880.038929867697</v>
      </c>
      <c r="U28" s="691">
        <f t="shared" si="14"/>
        <v>323.3367416496251</v>
      </c>
      <c r="V28" s="691">
        <f t="shared" si="15"/>
        <v>943.117701468378</v>
      </c>
      <c r="W28" s="691">
        <f t="shared" si="28"/>
        <v>1199.4733581164808</v>
      </c>
      <c r="X28" s="692"/>
      <c r="Y28" s="691">
        <f t="shared" si="29"/>
        <v>175.61389528363142</v>
      </c>
      <c r="Z28" s="693">
        <f t="shared" si="30"/>
        <v>562.884738465119</v>
      </c>
      <c r="AA28" s="684">
        <f t="shared" si="31"/>
        <v>5327.409168159479</v>
      </c>
      <c r="AB28" s="685">
        <f t="shared" si="32"/>
        <v>2081.0295790671216</v>
      </c>
      <c r="AC28" s="685">
        <f t="shared" si="33"/>
        <v>594.9515024484812</v>
      </c>
      <c r="AD28" s="685">
        <f t="shared" si="34"/>
        <v>2236.4228269509513</v>
      </c>
      <c r="AE28" s="685">
        <f t="shared" si="35"/>
        <v>180.77850499483293</v>
      </c>
      <c r="AF28" s="685">
        <f t="shared" si="36"/>
        <v>516.591038325941</v>
      </c>
      <c r="AG28" s="685" t="e">
        <f t="shared" si="37"/>
        <v>#VALUE!</v>
      </c>
      <c r="AH28" s="686"/>
      <c r="AI28" s="685">
        <f t="shared" si="38"/>
        <v>102.82026768642449</v>
      </c>
      <c r="AJ28" s="687">
        <f t="shared" si="39"/>
        <v>247.8753797697689</v>
      </c>
      <c r="AK28" s="694">
        <f t="shared" si="40"/>
        <v>3954.4446996669353</v>
      </c>
      <c r="AL28" s="691">
        <f t="shared" si="17"/>
        <v>1229.2301184433165</v>
      </c>
      <c r="AM28" s="691">
        <f t="shared" si="18"/>
        <v>729.1398565898852</v>
      </c>
      <c r="AN28" s="691">
        <f t="shared" si="19"/>
        <v>2167.204746136865</v>
      </c>
      <c r="AO28" s="691">
        <f t="shared" si="20"/>
        <v>133.07979717107017</v>
      </c>
      <c r="AP28" s="691">
        <f t="shared" si="21"/>
        <v>1024.5580018347093</v>
      </c>
      <c r="AQ28" s="692"/>
      <c r="AR28" s="692"/>
      <c r="AS28" s="691">
        <f t="shared" si="22"/>
        <v>315.8489747878337</v>
      </c>
      <c r="AT28" s="691">
        <f t="shared" si="23"/>
        <v>958.1468912351265</v>
      </c>
      <c r="AU28" s="691">
        <f t="shared" si="41"/>
        <v>4973.627014855699</v>
      </c>
      <c r="AV28" s="691">
        <f t="shared" si="42"/>
        <v>3010.8572671888596</v>
      </c>
      <c r="AW28" s="691">
        <f t="shared" si="43"/>
        <v>284.97204482185884</v>
      </c>
      <c r="AX28" s="691">
        <f t="shared" si="44"/>
        <v>2185.1492209787143</v>
      </c>
      <c r="AY28" s="691">
        <f t="shared" si="45"/>
        <v>8.22538860103627</v>
      </c>
      <c r="AZ28" s="691">
        <f t="shared" si="46"/>
        <v>175.89303895046103</v>
      </c>
      <c r="BA28" s="691">
        <f t="shared" si="47"/>
        <v>745.649293286219</v>
      </c>
      <c r="BB28" s="691">
        <f t="shared" si="63"/>
        <v>0</v>
      </c>
      <c r="BC28" s="691">
        <f t="shared" si="48"/>
        <v>27.201774564574436</v>
      </c>
      <c r="BD28" s="695">
        <f t="shared" si="49"/>
        <v>373.46845726602004</v>
      </c>
      <c r="BE28" s="684">
        <f t="shared" si="50"/>
        <v>2948.8064722845243</v>
      </c>
      <c r="BF28" s="685">
        <f t="shared" si="51"/>
        <v>1110.2498288843258</v>
      </c>
      <c r="BG28" s="685">
        <f t="shared" si="52"/>
        <v>17.278958621557035</v>
      </c>
      <c r="BH28" s="685">
        <f t="shared" si="53"/>
        <v>2037.0941983453765</v>
      </c>
      <c r="BI28" s="685">
        <f t="shared" si="54"/>
        <v>383.83452259599045</v>
      </c>
      <c r="BJ28" s="685">
        <f t="shared" si="55"/>
        <v>262.05918837497785</v>
      </c>
      <c r="BK28" s="685" t="e">
        <f t="shared" si="64"/>
        <v>#DIV/0!</v>
      </c>
      <c r="BL28" s="685"/>
      <c r="BM28" s="685">
        <f t="shared" si="56"/>
        <v>122.10981869812144</v>
      </c>
      <c r="BN28" s="687">
        <f t="shared" si="57"/>
        <v>243.81696333290645</v>
      </c>
      <c r="BO28" s="684">
        <f t="shared" si="58"/>
        <v>931.5804477748702</v>
      </c>
      <c r="BP28" s="685">
        <f t="shared" si="59"/>
        <v>1235.4040548983735</v>
      </c>
      <c r="BQ28" s="685">
        <f t="shared" si="60"/>
        <v>1297.806664562622</v>
      </c>
      <c r="BR28" s="685">
        <f t="shared" si="61"/>
        <v>1018.3877479972904</v>
      </c>
      <c r="BS28" s="687">
        <f t="shared" si="62"/>
        <v>637.6552651847995</v>
      </c>
    </row>
    <row r="29" spans="1:71" s="609" customFormat="1" ht="17.25" customHeight="1" hidden="1">
      <c r="A29" s="662"/>
      <c r="B29" s="662"/>
      <c r="C29" s="663"/>
      <c r="D29" s="662"/>
      <c r="E29" s="663"/>
      <c r="F29" s="662"/>
      <c r="G29" s="663"/>
      <c r="H29" s="662"/>
      <c r="I29" s="663"/>
      <c r="J29" s="662"/>
      <c r="K29" s="663"/>
      <c r="P29" s="641" t="s">
        <v>227</v>
      </c>
      <c r="Q29" s="690">
        <f t="shared" si="26"/>
        <v>310.61168188736684</v>
      </c>
      <c r="R29" s="691">
        <f t="shared" si="12"/>
        <v>37.14118336262448</v>
      </c>
      <c r="S29" s="691">
        <f t="shared" si="13"/>
        <v>169.0167480209018</v>
      </c>
      <c r="T29" s="691">
        <f t="shared" si="27"/>
        <v>1009.0080201381571</v>
      </c>
      <c r="U29" s="691">
        <f t="shared" si="14"/>
        <v>0</v>
      </c>
      <c r="V29" s="691">
        <f t="shared" si="15"/>
        <v>245.435888542028</v>
      </c>
      <c r="W29" s="691">
        <f t="shared" si="28"/>
        <v>0</v>
      </c>
      <c r="X29" s="692"/>
      <c r="Y29" s="691">
        <f t="shared" si="29"/>
        <v>227.1545363319757</v>
      </c>
      <c r="Z29" s="693">
        <f t="shared" si="30"/>
        <v>80.36888345842787</v>
      </c>
      <c r="AA29" s="684">
        <f t="shared" si="31"/>
        <v>3310.158008359745</v>
      </c>
      <c r="AB29" s="685">
        <f t="shared" si="32"/>
        <v>0</v>
      </c>
      <c r="AC29" s="685">
        <f t="shared" si="33"/>
        <v>66.79223787403855</v>
      </c>
      <c r="AD29" s="685">
        <f t="shared" si="34"/>
        <v>988.3480619067658</v>
      </c>
      <c r="AE29" s="685">
        <f t="shared" si="35"/>
        <v>0</v>
      </c>
      <c r="AF29" s="685">
        <f t="shared" si="36"/>
        <v>0</v>
      </c>
      <c r="AG29" s="685" t="e">
        <f t="shared" si="37"/>
        <v>#VALUE!</v>
      </c>
      <c r="AH29" s="686"/>
      <c r="AI29" s="685">
        <f t="shared" si="38"/>
        <v>203.8008040398098</v>
      </c>
      <c r="AJ29" s="687">
        <f t="shared" si="39"/>
        <v>243.18295844134124</v>
      </c>
      <c r="AK29" s="694">
        <f t="shared" si="40"/>
        <v>3480.97603460817</v>
      </c>
      <c r="AL29" s="691">
        <f t="shared" si="17"/>
        <v>0</v>
      </c>
      <c r="AM29" s="691">
        <f t="shared" si="18"/>
        <v>502.88470080588877</v>
      </c>
      <c r="AN29" s="691">
        <f t="shared" si="19"/>
        <v>1262.937559129612</v>
      </c>
      <c r="AO29" s="691">
        <f t="shared" si="20"/>
        <v>0</v>
      </c>
      <c r="AP29" s="691">
        <f t="shared" si="21"/>
        <v>645.9584271536986</v>
      </c>
      <c r="AQ29" s="692"/>
      <c r="AR29" s="692"/>
      <c r="AS29" s="691">
        <f t="shared" si="22"/>
        <v>513.6762064052531</v>
      </c>
      <c r="AT29" s="691">
        <f t="shared" si="23"/>
        <v>391.9117647058824</v>
      </c>
      <c r="AU29" s="691">
        <f t="shared" si="41"/>
        <v>3363.8149765219537</v>
      </c>
      <c r="AV29" s="691">
        <f t="shared" si="42"/>
        <v>1115.491731940818</v>
      </c>
      <c r="AW29" s="691">
        <f t="shared" si="43"/>
        <v>144.31227142645488</v>
      </c>
      <c r="AX29" s="691">
        <f t="shared" si="44"/>
        <v>1049.9615975422428</v>
      </c>
      <c r="AY29" s="691">
        <f t="shared" si="45"/>
        <v>0</v>
      </c>
      <c r="AZ29" s="691">
        <f t="shared" si="46"/>
        <v>14.002821654012857</v>
      </c>
      <c r="BA29" s="691">
        <f t="shared" si="47"/>
        <v>69.58186101295642</v>
      </c>
      <c r="BB29" s="691">
        <f t="shared" si="63"/>
        <v>0</v>
      </c>
      <c r="BC29" s="691">
        <f t="shared" si="48"/>
        <v>148.25418994413408</v>
      </c>
      <c r="BD29" s="695">
        <f t="shared" si="49"/>
        <v>32.06084721876813</v>
      </c>
      <c r="BE29" s="684">
        <f t="shared" si="50"/>
        <v>2818.768023069529</v>
      </c>
      <c r="BF29" s="685">
        <f t="shared" si="51"/>
        <v>0</v>
      </c>
      <c r="BG29" s="685">
        <f t="shared" si="52"/>
        <v>14.008929694378066</v>
      </c>
      <c r="BH29" s="685">
        <f t="shared" si="53"/>
        <v>908.2129018745419</v>
      </c>
      <c r="BI29" s="685">
        <f t="shared" si="54"/>
        <v>1.2869520897043831</v>
      </c>
      <c r="BJ29" s="685">
        <f t="shared" si="55"/>
        <v>44.878610668084356</v>
      </c>
      <c r="BK29" s="685" t="e">
        <f t="shared" si="64"/>
        <v>#DIV/0!</v>
      </c>
      <c r="BL29" s="685"/>
      <c r="BM29" s="685">
        <f t="shared" si="56"/>
        <v>109.56613149847095</v>
      </c>
      <c r="BN29" s="687">
        <f t="shared" si="57"/>
        <v>124.86767405130831</v>
      </c>
      <c r="BO29" s="684">
        <f t="shared" si="58"/>
        <v>226.7617942217561</v>
      </c>
      <c r="BP29" s="685">
        <f t="shared" si="59"/>
        <v>564.295280545516</v>
      </c>
      <c r="BQ29" s="685">
        <f t="shared" si="60"/>
        <v>954.0726421545423</v>
      </c>
      <c r="BR29" s="685">
        <f t="shared" si="61"/>
        <v>608.6288677738801</v>
      </c>
      <c r="BS29" s="687">
        <f t="shared" si="62"/>
        <v>483.5236292366829</v>
      </c>
    </row>
    <row r="30" spans="1:71" s="609" customFormat="1" ht="17.25" customHeight="1" thickBot="1">
      <c r="A30" s="662"/>
      <c r="B30" s="662"/>
      <c r="C30" s="663"/>
      <c r="D30" s="662"/>
      <c r="E30" s="663"/>
      <c r="F30" s="662"/>
      <c r="G30" s="663"/>
      <c r="H30" s="662"/>
      <c r="I30" s="663"/>
      <c r="J30" s="662"/>
      <c r="K30" s="663"/>
      <c r="P30" s="641" t="s">
        <v>229</v>
      </c>
      <c r="Q30" s="690">
        <f t="shared" si="26"/>
        <v>620.5200858882366</v>
      </c>
      <c r="R30" s="691">
        <f t="shared" si="12"/>
        <v>29.803749267721145</v>
      </c>
      <c r="S30" s="691">
        <f t="shared" si="13"/>
        <v>796.8397008667356</v>
      </c>
      <c r="T30" s="691">
        <f t="shared" si="27"/>
        <v>317.4423369628849</v>
      </c>
      <c r="U30" s="691">
        <f t="shared" si="14"/>
        <v>96.42808452624404</v>
      </c>
      <c r="V30" s="691">
        <f t="shared" si="15"/>
        <v>407.59119551393223</v>
      </c>
      <c r="W30" s="691">
        <f t="shared" si="28"/>
        <v>205.73110285006194</v>
      </c>
      <c r="X30" s="692"/>
      <c r="Y30" s="691">
        <f t="shared" si="29"/>
        <v>92.08281683489759</v>
      </c>
      <c r="Z30" s="693">
        <f t="shared" si="30"/>
        <v>312.6781870018037</v>
      </c>
      <c r="AA30" s="684">
        <f t="shared" si="31"/>
        <v>543.1945018602729</v>
      </c>
      <c r="AB30" s="685">
        <f t="shared" si="32"/>
        <v>314.405574516496</v>
      </c>
      <c r="AC30" s="685">
        <f t="shared" si="33"/>
        <v>784.7500220300363</v>
      </c>
      <c r="AD30" s="685">
        <f t="shared" si="34"/>
        <v>294.54224528919434</v>
      </c>
      <c r="AE30" s="685">
        <f t="shared" si="35"/>
        <v>41.26191296360087</v>
      </c>
      <c r="AF30" s="685">
        <f t="shared" si="36"/>
        <v>375.7369498464688</v>
      </c>
      <c r="AG30" s="685" t="e">
        <f t="shared" si="37"/>
        <v>#VALUE!</v>
      </c>
      <c r="AH30" s="686"/>
      <c r="AI30" s="685">
        <f t="shared" si="38"/>
        <v>70.0433887336373</v>
      </c>
      <c r="AJ30" s="687">
        <f t="shared" si="39"/>
        <v>363.2675530284026</v>
      </c>
      <c r="AK30" s="694">
        <f t="shared" si="40"/>
        <v>588.7044906397152</v>
      </c>
      <c r="AL30" s="691">
        <f t="shared" si="17"/>
        <v>201.37478849407785</v>
      </c>
      <c r="AM30" s="691">
        <f t="shared" si="18"/>
        <v>699.7001713306682</v>
      </c>
      <c r="AN30" s="691">
        <f t="shared" si="19"/>
        <v>302.0182907600126</v>
      </c>
      <c r="AO30" s="691">
        <f t="shared" si="20"/>
        <v>23.752335201494528</v>
      </c>
      <c r="AP30" s="691">
        <f t="shared" si="21"/>
        <v>395.3840380285214</v>
      </c>
      <c r="AQ30" s="692"/>
      <c r="AR30" s="692"/>
      <c r="AS30" s="691">
        <f t="shared" si="22"/>
        <v>51.34113857399492</v>
      </c>
      <c r="AT30" s="691">
        <f t="shared" si="23"/>
        <v>247.14052287581697</v>
      </c>
      <c r="AU30" s="691">
        <f t="shared" si="41"/>
        <v>869.3240794134607</v>
      </c>
      <c r="AV30" s="691">
        <f t="shared" si="42"/>
        <v>605.2219321148825</v>
      </c>
      <c r="AW30" s="691">
        <f t="shared" si="43"/>
        <v>789.5382521970351</v>
      </c>
      <c r="AX30" s="691">
        <f t="shared" si="44"/>
        <v>365.6956330919465</v>
      </c>
      <c r="AY30" s="691">
        <f t="shared" si="45"/>
        <v>60.83225388601036</v>
      </c>
      <c r="AZ30" s="691">
        <f t="shared" si="46"/>
        <v>385.75137446548564</v>
      </c>
      <c r="BA30" s="691">
        <f t="shared" si="47"/>
        <v>207.33951707891637</v>
      </c>
      <c r="BB30" s="691">
        <f t="shared" si="63"/>
        <v>0</v>
      </c>
      <c r="BC30" s="691">
        <f t="shared" si="48"/>
        <v>6.361594917296528</v>
      </c>
      <c r="BD30" s="695">
        <f t="shared" si="49"/>
        <v>419.88518610627534</v>
      </c>
      <c r="BE30" s="684">
        <f t="shared" si="50"/>
        <v>495.5209334614974</v>
      </c>
      <c r="BF30" s="685">
        <f t="shared" si="51"/>
        <v>194.0109514031485</v>
      </c>
      <c r="BG30" s="685">
        <f t="shared" si="52"/>
        <v>789.9591246384102</v>
      </c>
      <c r="BH30" s="685">
        <f t="shared" si="53"/>
        <v>230.61708032254685</v>
      </c>
      <c r="BI30" s="685">
        <f t="shared" si="54"/>
        <v>71.77624872579001</v>
      </c>
      <c r="BJ30" s="685">
        <f t="shared" si="55"/>
        <v>331.86780081516923</v>
      </c>
      <c r="BK30" s="685" t="e">
        <f t="shared" si="64"/>
        <v>#DIV/0!</v>
      </c>
      <c r="BL30" s="685"/>
      <c r="BM30" s="685">
        <f t="shared" si="56"/>
        <v>23.95560288335518</v>
      </c>
      <c r="BN30" s="687">
        <f t="shared" si="57"/>
        <v>306.13341443633414</v>
      </c>
      <c r="BO30" s="684">
        <f t="shared" si="58"/>
        <v>552.5907241300902</v>
      </c>
      <c r="BP30" s="685">
        <f t="shared" si="59"/>
        <v>557.5948629184865</v>
      </c>
      <c r="BQ30" s="685">
        <f t="shared" si="60"/>
        <v>481.07608752827326</v>
      </c>
      <c r="BR30" s="685">
        <f t="shared" si="61"/>
        <v>617.1688103319747</v>
      </c>
      <c r="BS30" s="687">
        <f t="shared" si="62"/>
        <v>513.5869466954506</v>
      </c>
    </row>
    <row r="31" spans="1:71" s="609" customFormat="1" ht="19.5" customHeight="1" thickBot="1">
      <c r="A31" s="1764" t="s">
        <v>238</v>
      </c>
      <c r="B31" s="1751" t="s">
        <v>269</v>
      </c>
      <c r="C31" s="1752"/>
      <c r="D31" s="1752"/>
      <c r="E31" s="1752"/>
      <c r="F31" s="1752"/>
      <c r="G31" s="1752"/>
      <c r="H31" s="1752"/>
      <c r="I31" s="1752"/>
      <c r="J31" s="1752"/>
      <c r="K31" s="1753"/>
      <c r="O31" s="609">
        <v>32</v>
      </c>
      <c r="P31" s="641" t="s">
        <v>231</v>
      </c>
      <c r="Q31" s="690">
        <f t="shared" si="26"/>
        <v>281.216704718417</v>
      </c>
      <c r="R31" s="691">
        <f t="shared" si="12"/>
        <v>0</v>
      </c>
      <c r="S31" s="691">
        <f t="shared" si="13"/>
        <v>361.4820942457524</v>
      </c>
      <c r="T31" s="691">
        <f t="shared" si="27"/>
        <v>174.2726261561878</v>
      </c>
      <c r="U31" s="691">
        <f t="shared" si="14"/>
        <v>53.84458077709612</v>
      </c>
      <c r="V31" s="691">
        <f t="shared" si="15"/>
        <v>183.42655220256677</v>
      </c>
      <c r="W31" s="691">
        <f t="shared" si="28"/>
        <v>66.23296158612145</v>
      </c>
      <c r="X31" s="692"/>
      <c r="Y31" s="691">
        <f t="shared" si="29"/>
        <v>35.25028038486512</v>
      </c>
      <c r="Z31" s="693">
        <f t="shared" si="30"/>
        <v>140.78858051628168</v>
      </c>
      <c r="AA31" s="684">
        <f t="shared" si="31"/>
        <v>256.3450231959947</v>
      </c>
      <c r="AB31" s="685">
        <f t="shared" si="32"/>
        <v>285.11092150170646</v>
      </c>
      <c r="AC31" s="685">
        <f t="shared" si="33"/>
        <v>353.49475055704517</v>
      </c>
      <c r="AD31" s="685">
        <f t="shared" si="34"/>
        <v>122.3675597325478</v>
      </c>
      <c r="AE31" s="685">
        <f t="shared" si="35"/>
        <v>7.586978987254564</v>
      </c>
      <c r="AF31" s="685">
        <f t="shared" si="36"/>
        <v>169.40748322529285</v>
      </c>
      <c r="AG31" s="685" t="e">
        <f t="shared" si="37"/>
        <v>#VALUE!</v>
      </c>
      <c r="AH31" s="686"/>
      <c r="AI31" s="685">
        <f t="shared" si="38"/>
        <v>30.394175614060895</v>
      </c>
      <c r="AJ31" s="687">
        <f t="shared" si="39"/>
        <v>180.46798784736737</v>
      </c>
      <c r="AK31" s="694">
        <f t="shared" si="40"/>
        <v>245.4528923088703</v>
      </c>
      <c r="AL31" s="691">
        <f t="shared" si="17"/>
        <v>60.40609137055838</v>
      </c>
      <c r="AM31" s="691">
        <f t="shared" si="18"/>
        <v>328.8301922710832</v>
      </c>
      <c r="AN31" s="691">
        <f t="shared" si="19"/>
        <v>129.89396089561652</v>
      </c>
      <c r="AO31" s="691">
        <f t="shared" si="20"/>
        <v>0</v>
      </c>
      <c r="AP31" s="691">
        <f t="shared" si="21"/>
        <v>174.9781085814361</v>
      </c>
      <c r="AQ31" s="692"/>
      <c r="AR31" s="692"/>
      <c r="AS31" s="691">
        <f t="shared" si="22"/>
        <v>22.5345350926098</v>
      </c>
      <c r="AT31" s="691">
        <f t="shared" si="23"/>
        <v>112.2475699681582</v>
      </c>
      <c r="AU31" s="691">
        <f t="shared" si="41"/>
        <v>402.3416261636049</v>
      </c>
      <c r="AV31" s="691">
        <f t="shared" si="42"/>
        <v>304.4386422976501</v>
      </c>
      <c r="AW31" s="691">
        <f t="shared" si="43"/>
        <v>354.35566628457354</v>
      </c>
      <c r="AX31" s="691">
        <f t="shared" si="44"/>
        <v>159.47077755833516</v>
      </c>
      <c r="AY31" s="691">
        <f t="shared" si="45"/>
        <v>0</v>
      </c>
      <c r="AZ31" s="691">
        <f t="shared" si="46"/>
        <v>175.84286005177879</v>
      </c>
      <c r="BA31" s="691">
        <f t="shared" si="47"/>
        <v>105.16048292108361</v>
      </c>
      <c r="BB31" s="691">
        <f t="shared" si="63"/>
        <v>0</v>
      </c>
      <c r="BC31" s="691">
        <f t="shared" si="48"/>
        <v>1.398017307481652</v>
      </c>
      <c r="BD31" s="695">
        <f t="shared" si="49"/>
        <v>178.46514134129154</v>
      </c>
      <c r="BE31" s="684">
        <f t="shared" si="50"/>
        <v>215.53855601837017</v>
      </c>
      <c r="BF31" s="685">
        <f t="shared" si="51"/>
        <v>0</v>
      </c>
      <c r="BG31" s="685">
        <f t="shared" si="52"/>
        <v>341.2396763509831</v>
      </c>
      <c r="BH31" s="685">
        <f t="shared" si="53"/>
        <v>109.63975285370196</v>
      </c>
      <c r="BI31" s="685">
        <f t="shared" si="54"/>
        <v>35.703363914373085</v>
      </c>
      <c r="BJ31" s="685">
        <f t="shared" si="55"/>
        <v>155.08683324472798</v>
      </c>
      <c r="BK31" s="685" t="e">
        <f t="shared" si="64"/>
        <v>#DIV/0!</v>
      </c>
      <c r="BL31" s="685"/>
      <c r="BM31" s="685">
        <f t="shared" si="56"/>
        <v>7.545598514635212</v>
      </c>
      <c r="BN31" s="687">
        <f t="shared" si="57"/>
        <v>138.46309813463097</v>
      </c>
      <c r="BO31" s="684">
        <f t="shared" si="58"/>
        <v>251.76552737589805</v>
      </c>
      <c r="BP31" s="685">
        <f t="shared" si="59"/>
        <v>254.25287510948885</v>
      </c>
      <c r="BQ31" s="685">
        <f t="shared" si="60"/>
        <v>217.67976434695709</v>
      </c>
      <c r="BR31" s="685">
        <f t="shared" si="61"/>
        <v>277.59112942592145</v>
      </c>
      <c r="BS31" s="687">
        <f t="shared" si="62"/>
        <v>224.47087794664844</v>
      </c>
    </row>
    <row r="32" spans="1:71" ht="23.25" customHeight="1" thickBot="1">
      <c r="A32" s="1765"/>
      <c r="B32" s="1754" t="s">
        <v>207</v>
      </c>
      <c r="C32" s="1757"/>
      <c r="D32" s="1756" t="s">
        <v>22</v>
      </c>
      <c r="E32" s="1757"/>
      <c r="F32" s="1756" t="s">
        <v>21</v>
      </c>
      <c r="G32" s="1757"/>
      <c r="H32" s="1756" t="s">
        <v>20</v>
      </c>
      <c r="I32" s="1758"/>
      <c r="J32" s="1756" t="s">
        <v>205</v>
      </c>
      <c r="K32" s="1759"/>
      <c r="O32" s="609">
        <v>33</v>
      </c>
      <c r="P32" s="641" t="s">
        <v>233</v>
      </c>
      <c r="Q32" s="690">
        <f t="shared" si="26"/>
        <v>3.7514948901935203</v>
      </c>
      <c r="R32" s="691">
        <f t="shared" si="12"/>
        <v>6.38547158758055</v>
      </c>
      <c r="S32" s="691">
        <f t="shared" si="13"/>
        <v>615.3775149410181</v>
      </c>
      <c r="T32" s="691">
        <f t="shared" si="27"/>
        <v>108.93338016625688</v>
      </c>
      <c r="U32" s="691">
        <f t="shared" si="14"/>
        <v>0</v>
      </c>
      <c r="V32" s="691">
        <f t="shared" si="15"/>
        <v>185.9882645392531</v>
      </c>
      <c r="W32" s="691">
        <f t="shared" si="28"/>
        <v>0</v>
      </c>
      <c r="X32" s="692"/>
      <c r="Y32" s="691">
        <f t="shared" si="29"/>
        <v>67.91216575172659</v>
      </c>
      <c r="Z32" s="693">
        <f t="shared" si="30"/>
        <v>6.116541572118462</v>
      </c>
      <c r="AA32" s="684">
        <f t="shared" si="31"/>
        <v>496.22663175784305</v>
      </c>
      <c r="AB32" s="685">
        <f t="shared" si="32"/>
        <v>0</v>
      </c>
      <c r="AC32" s="685">
        <f t="shared" si="33"/>
        <v>697.805336304241</v>
      </c>
      <c r="AD32" s="685">
        <f t="shared" si="34"/>
        <v>163.1446673212699</v>
      </c>
      <c r="AE32" s="685">
        <f t="shared" si="35"/>
        <v>0.3674359857618555</v>
      </c>
      <c r="AF32" s="685">
        <f t="shared" si="36"/>
        <v>211.97031729785056</v>
      </c>
      <c r="AG32" s="685" t="e">
        <f t="shared" si="37"/>
        <v>#VALUE!</v>
      </c>
      <c r="AH32" s="686"/>
      <c r="AI32" s="685">
        <f t="shared" si="38"/>
        <v>0.8837083884885032</v>
      </c>
      <c r="AJ32" s="687">
        <f t="shared" si="39"/>
        <v>89.46191153106446</v>
      </c>
      <c r="AK32" s="694">
        <f t="shared" si="40"/>
        <v>171.05968377933468</v>
      </c>
      <c r="AL32" s="691">
        <f t="shared" si="17"/>
        <v>0</v>
      </c>
      <c r="AM32" s="691">
        <f t="shared" si="18"/>
        <v>528.0281109207438</v>
      </c>
      <c r="AN32" s="691">
        <f t="shared" si="19"/>
        <v>41.8677073478398</v>
      </c>
      <c r="AO32" s="691">
        <f t="shared" si="20"/>
        <v>0</v>
      </c>
      <c r="AP32" s="691">
        <f t="shared" si="21"/>
        <v>203.1450671336836</v>
      </c>
      <c r="AQ32" s="696"/>
      <c r="AR32" s="696"/>
      <c r="AS32" s="691">
        <f t="shared" si="22"/>
        <v>0.5977823205104379</v>
      </c>
      <c r="AT32" s="691">
        <f t="shared" si="23"/>
        <v>59.773546170604995</v>
      </c>
      <c r="AU32" s="691">
        <f t="shared" si="41"/>
        <v>404.14229618035534</v>
      </c>
      <c r="AV32" s="691">
        <f t="shared" si="42"/>
        <v>0</v>
      </c>
      <c r="AW32" s="691">
        <f t="shared" si="43"/>
        <v>671.4439999688087</v>
      </c>
      <c r="AX32" s="691">
        <f t="shared" si="44"/>
        <v>152.36449418477068</v>
      </c>
      <c r="AY32" s="691">
        <f t="shared" si="45"/>
        <v>0</v>
      </c>
      <c r="AZ32" s="691">
        <f t="shared" si="46"/>
        <v>299.06914506792333</v>
      </c>
      <c r="BA32" s="691">
        <f t="shared" si="47"/>
        <v>34.84982332155477</v>
      </c>
      <c r="BB32" s="691">
        <f t="shared" si="63"/>
        <v>0</v>
      </c>
      <c r="BC32" s="691">
        <f t="shared" si="48"/>
        <v>0.1300799649468726</v>
      </c>
      <c r="BD32" s="695">
        <f t="shared" si="49"/>
        <v>194.5090358948852</v>
      </c>
      <c r="BE32" s="684">
        <f t="shared" si="50"/>
        <v>260.2471163088754</v>
      </c>
      <c r="BF32" s="685">
        <f t="shared" si="51"/>
        <v>0</v>
      </c>
      <c r="BG32" s="685">
        <f t="shared" si="52"/>
        <v>709.9283109042887</v>
      </c>
      <c r="BH32" s="685">
        <f t="shared" si="53"/>
        <v>67.9272698711907</v>
      </c>
      <c r="BI32" s="685">
        <f t="shared" si="54"/>
        <v>0</v>
      </c>
      <c r="BJ32" s="685">
        <f t="shared" si="55"/>
        <v>160.02392344497608</v>
      </c>
      <c r="BK32" s="685" t="e">
        <f t="shared" si="64"/>
        <v>#DIV/0!</v>
      </c>
      <c r="BL32" s="685"/>
      <c r="BM32" s="685">
        <f t="shared" si="56"/>
        <v>6.071155526430755</v>
      </c>
      <c r="BN32" s="687">
        <f t="shared" si="57"/>
        <v>53.52958125240107</v>
      </c>
      <c r="BO32" s="684">
        <f t="shared" si="58"/>
        <v>300.61206759045257</v>
      </c>
      <c r="BP32" s="685">
        <f t="shared" si="59"/>
        <v>443.96152270940394</v>
      </c>
      <c r="BQ32" s="685">
        <f t="shared" si="60"/>
        <v>278.45983904055555</v>
      </c>
      <c r="BR32" s="685">
        <f t="shared" si="61"/>
        <v>446.5250106899461</v>
      </c>
      <c r="BS32" s="687">
        <f t="shared" si="62"/>
        <v>371.90590613394664</v>
      </c>
    </row>
    <row r="33" spans="1:71" s="609" customFormat="1" ht="16.5" customHeight="1" thickBot="1">
      <c r="A33" s="622" t="s">
        <v>213</v>
      </c>
      <c r="B33" s="623">
        <f>+R23</f>
        <v>29957.190978324546</v>
      </c>
      <c r="C33" s="697" t="s">
        <v>214</v>
      </c>
      <c r="D33" s="625">
        <f>+AB23</f>
        <v>32877.65927189988</v>
      </c>
      <c r="E33" s="624" t="s">
        <v>214</v>
      </c>
      <c r="F33" s="625">
        <f>+AL23</f>
        <v>26187.14043993232</v>
      </c>
      <c r="G33" s="624" t="s">
        <v>214</v>
      </c>
      <c r="H33" s="625">
        <f>+AV23</f>
        <v>39178.48128807659</v>
      </c>
      <c r="I33" s="624" t="s">
        <v>214</v>
      </c>
      <c r="J33" s="625">
        <f>+BF23</f>
        <v>29946.338124572212</v>
      </c>
      <c r="K33" s="626" t="s">
        <v>214</v>
      </c>
      <c r="O33" s="609">
        <v>34</v>
      </c>
      <c r="P33" s="641" t="s">
        <v>234</v>
      </c>
      <c r="Q33" s="690">
        <f t="shared" si="26"/>
        <v>0</v>
      </c>
      <c r="R33" s="691">
        <f t="shared" si="12"/>
        <v>0</v>
      </c>
      <c r="S33" s="691">
        <f t="shared" si="13"/>
        <v>0</v>
      </c>
      <c r="T33" s="691">
        <f t="shared" si="27"/>
        <v>0</v>
      </c>
      <c r="U33" s="691">
        <f t="shared" si="14"/>
        <v>0</v>
      </c>
      <c r="V33" s="691">
        <f t="shared" si="15"/>
        <v>0</v>
      </c>
      <c r="W33" s="691">
        <f t="shared" si="28"/>
        <v>0</v>
      </c>
      <c r="X33" s="692"/>
      <c r="Y33" s="691">
        <f t="shared" si="29"/>
        <v>0</v>
      </c>
      <c r="Z33" s="693">
        <f t="shared" si="30"/>
        <v>0</v>
      </c>
      <c r="AA33" s="684">
        <f t="shared" si="31"/>
        <v>0</v>
      </c>
      <c r="AB33" s="685">
        <f t="shared" si="32"/>
        <v>0</v>
      </c>
      <c r="AC33" s="685">
        <f t="shared" si="33"/>
        <v>0</v>
      </c>
      <c r="AD33" s="685">
        <f t="shared" si="34"/>
        <v>0</v>
      </c>
      <c r="AE33" s="685">
        <f t="shared" si="35"/>
        <v>0</v>
      </c>
      <c r="AF33" s="685">
        <f t="shared" si="36"/>
        <v>0</v>
      </c>
      <c r="AG33" s="685" t="e">
        <f t="shared" si="37"/>
        <v>#VALUE!</v>
      </c>
      <c r="AH33" s="686"/>
      <c r="AI33" s="685">
        <f t="shared" si="38"/>
        <v>0</v>
      </c>
      <c r="AJ33" s="687">
        <f t="shared" si="39"/>
        <v>17.546060149956798</v>
      </c>
      <c r="AK33" s="694">
        <f t="shared" si="40"/>
        <v>0</v>
      </c>
      <c r="AL33" s="691">
        <f t="shared" si="17"/>
        <v>0</v>
      </c>
      <c r="AM33" s="691">
        <f t="shared" si="18"/>
        <v>0</v>
      </c>
      <c r="AN33" s="691">
        <f t="shared" si="19"/>
        <v>0</v>
      </c>
      <c r="AO33" s="691">
        <f t="shared" si="20"/>
        <v>0</v>
      </c>
      <c r="AP33" s="691">
        <f t="shared" si="21"/>
        <v>0</v>
      </c>
      <c r="AQ33" s="692"/>
      <c r="AR33" s="692"/>
      <c r="AS33" s="691">
        <f t="shared" si="22"/>
        <v>0</v>
      </c>
      <c r="AT33" s="691">
        <f t="shared" si="23"/>
        <v>0</v>
      </c>
      <c r="AU33" s="691">
        <f t="shared" si="41"/>
        <v>0</v>
      </c>
      <c r="AV33" s="691">
        <f t="shared" si="42"/>
        <v>0</v>
      </c>
      <c r="AW33" s="691">
        <f t="shared" si="43"/>
        <v>0</v>
      </c>
      <c r="AX33" s="691">
        <f t="shared" si="44"/>
        <v>0</v>
      </c>
      <c r="AY33" s="691">
        <f t="shared" si="45"/>
        <v>0</v>
      </c>
      <c r="AZ33" s="691">
        <f t="shared" si="46"/>
        <v>0</v>
      </c>
      <c r="BA33" s="691">
        <f t="shared" si="47"/>
        <v>0</v>
      </c>
      <c r="BB33" s="691">
        <f t="shared" si="63"/>
        <v>0</v>
      </c>
      <c r="BC33" s="691">
        <f t="shared" si="48"/>
        <v>0</v>
      </c>
      <c r="BD33" s="695">
        <f t="shared" si="49"/>
        <v>0</v>
      </c>
      <c r="BE33" s="684">
        <f t="shared" si="50"/>
        <v>0</v>
      </c>
      <c r="BF33" s="685">
        <f t="shared" si="51"/>
        <v>0</v>
      </c>
      <c r="BG33" s="685">
        <f t="shared" si="52"/>
        <v>0</v>
      </c>
      <c r="BH33" s="685">
        <f t="shared" si="53"/>
        <v>0</v>
      </c>
      <c r="BI33" s="685">
        <f t="shared" si="54"/>
        <v>0</v>
      </c>
      <c r="BJ33" s="685">
        <f t="shared" si="55"/>
        <v>4.3239411660464295</v>
      </c>
      <c r="BK33" s="685" t="e">
        <f t="shared" si="64"/>
        <v>#DIV/0!</v>
      </c>
      <c r="BL33" s="685"/>
      <c r="BM33" s="685">
        <f t="shared" si="56"/>
        <v>0</v>
      </c>
      <c r="BN33" s="687">
        <f t="shared" si="57"/>
        <v>0</v>
      </c>
      <c r="BO33" s="684">
        <f t="shared" si="58"/>
        <v>0</v>
      </c>
      <c r="BP33" s="685">
        <f t="shared" si="59"/>
        <v>1.8818626703616346</v>
      </c>
      <c r="BQ33" s="685">
        <f t="shared" si="60"/>
        <v>0</v>
      </c>
      <c r="BR33" s="685">
        <f t="shared" si="61"/>
        <v>0</v>
      </c>
      <c r="BS33" s="687">
        <f t="shared" si="62"/>
        <v>0.441161049095439</v>
      </c>
    </row>
    <row r="34" spans="1:71" s="609" customFormat="1" ht="16.5" customHeight="1">
      <c r="A34" s="634" t="s">
        <v>216</v>
      </c>
      <c r="B34" s="635">
        <f>+R24</f>
        <v>18503.998242530753</v>
      </c>
      <c r="C34" s="636">
        <f aca="true" t="shared" si="65" ref="C34:C41">+B34/$B$33</f>
        <v>0.6176813525647074</v>
      </c>
      <c r="D34" s="639">
        <f>+AB24</f>
        <v>21052.189988623435</v>
      </c>
      <c r="E34" s="638">
        <f aca="true" t="shared" si="66" ref="E34:E41">+D34/$D$33</f>
        <v>0.6403190024727969</v>
      </c>
      <c r="F34" s="639">
        <f>+AL24</f>
        <v>20095.11421319797</v>
      </c>
      <c r="G34" s="638">
        <f aca="true" t="shared" si="67" ref="G34:G41">+F34/$F$33</f>
        <v>0.7673657327836862</v>
      </c>
      <c r="H34" s="639">
        <f>+AV24</f>
        <v>20932.506527415142</v>
      </c>
      <c r="I34" s="638">
        <f aca="true" t="shared" si="68" ref="I34:I41">+H34/$H$33</f>
        <v>0.5342858079030657</v>
      </c>
      <c r="J34" s="639">
        <f>+BF24</f>
        <v>20675.068446269677</v>
      </c>
      <c r="K34" s="640">
        <f aca="true" t="shared" si="69" ref="K34:K41">+J34/$J$33</f>
        <v>0.6904038938004552</v>
      </c>
      <c r="O34" s="609">
        <v>35</v>
      </c>
      <c r="P34" s="641" t="s">
        <v>235</v>
      </c>
      <c r="Q34" s="690">
        <f t="shared" si="26"/>
        <v>0</v>
      </c>
      <c r="R34" s="691">
        <f t="shared" si="12"/>
        <v>0</v>
      </c>
      <c r="S34" s="691">
        <f t="shared" si="13"/>
        <v>0</v>
      </c>
      <c r="T34" s="691">
        <f t="shared" si="27"/>
        <v>0</v>
      </c>
      <c r="U34" s="691">
        <f t="shared" si="14"/>
        <v>0</v>
      </c>
      <c r="V34" s="691">
        <f t="shared" si="15"/>
        <v>0</v>
      </c>
      <c r="W34" s="691">
        <f t="shared" si="28"/>
        <v>0</v>
      </c>
      <c r="X34" s="692"/>
      <c r="Y34" s="691">
        <f t="shared" si="29"/>
        <v>0</v>
      </c>
      <c r="Z34" s="693">
        <f t="shared" si="30"/>
        <v>0</v>
      </c>
      <c r="AA34" s="684">
        <f t="shared" si="31"/>
        <v>0</v>
      </c>
      <c r="AB34" s="685">
        <f t="shared" si="32"/>
        <v>0</v>
      </c>
      <c r="AC34" s="685">
        <f t="shared" si="33"/>
        <v>0</v>
      </c>
      <c r="AD34" s="685">
        <f t="shared" si="34"/>
        <v>0</v>
      </c>
      <c r="AE34" s="685">
        <f t="shared" si="35"/>
        <v>0</v>
      </c>
      <c r="AF34" s="685">
        <f t="shared" si="36"/>
        <v>0</v>
      </c>
      <c r="AG34" s="685" t="e">
        <f t="shared" si="37"/>
        <v>#VALUE!</v>
      </c>
      <c r="AH34" s="686"/>
      <c r="AI34" s="685">
        <f t="shared" si="38"/>
        <v>0</v>
      </c>
      <c r="AJ34" s="687">
        <f t="shared" si="39"/>
        <v>0</v>
      </c>
      <c r="AK34" s="694">
        <f t="shared" si="40"/>
        <v>0</v>
      </c>
      <c r="AL34" s="691">
        <f t="shared" si="17"/>
        <v>0</v>
      </c>
      <c r="AM34" s="691">
        <f t="shared" si="18"/>
        <v>0</v>
      </c>
      <c r="AN34" s="691">
        <f t="shared" si="19"/>
        <v>0</v>
      </c>
      <c r="AO34" s="691">
        <f t="shared" si="20"/>
        <v>0</v>
      </c>
      <c r="AP34" s="691">
        <f t="shared" si="21"/>
        <v>0</v>
      </c>
      <c r="AQ34" s="692"/>
      <c r="AR34" s="692"/>
      <c r="AS34" s="691">
        <f t="shared" si="22"/>
        <v>0</v>
      </c>
      <c r="AT34" s="691">
        <f t="shared" si="23"/>
        <v>0</v>
      </c>
      <c r="AU34" s="691">
        <f t="shared" si="41"/>
        <v>0</v>
      </c>
      <c r="AV34" s="691">
        <f t="shared" si="42"/>
        <v>0</v>
      </c>
      <c r="AW34" s="691">
        <f t="shared" si="43"/>
        <v>0</v>
      </c>
      <c r="AX34" s="691">
        <f t="shared" si="44"/>
        <v>0</v>
      </c>
      <c r="AY34" s="691">
        <f t="shared" si="45"/>
        <v>0</v>
      </c>
      <c r="AZ34" s="691">
        <f t="shared" si="46"/>
        <v>0</v>
      </c>
      <c r="BA34" s="691">
        <f t="shared" si="47"/>
        <v>0</v>
      </c>
      <c r="BB34" s="691">
        <f t="shared" si="63"/>
        <v>0</v>
      </c>
      <c r="BC34" s="691">
        <f t="shared" si="48"/>
        <v>0</v>
      </c>
      <c r="BD34" s="695">
        <f t="shared" si="49"/>
        <v>0</v>
      </c>
      <c r="BE34" s="684">
        <f t="shared" si="50"/>
        <v>0</v>
      </c>
      <c r="BF34" s="685">
        <f t="shared" si="51"/>
        <v>0</v>
      </c>
      <c r="BG34" s="685">
        <f t="shared" si="52"/>
        <v>0</v>
      </c>
      <c r="BH34" s="685">
        <f t="shared" si="53"/>
        <v>0</v>
      </c>
      <c r="BI34" s="685">
        <f t="shared" si="54"/>
        <v>0</v>
      </c>
      <c r="BJ34" s="685">
        <f t="shared" si="55"/>
        <v>0</v>
      </c>
      <c r="BK34" s="685" t="e">
        <f t="shared" si="64"/>
        <v>#DIV/0!</v>
      </c>
      <c r="BL34" s="685"/>
      <c r="BM34" s="685">
        <f t="shared" si="56"/>
        <v>0</v>
      </c>
      <c r="BN34" s="687">
        <f t="shared" si="57"/>
        <v>0</v>
      </c>
      <c r="BO34" s="684">
        <f t="shared" si="58"/>
        <v>0</v>
      </c>
      <c r="BP34" s="685">
        <f t="shared" si="59"/>
        <v>0</v>
      </c>
      <c r="BQ34" s="685">
        <f t="shared" si="60"/>
        <v>0</v>
      </c>
      <c r="BR34" s="685">
        <f t="shared" si="61"/>
        <v>0</v>
      </c>
      <c r="BS34" s="687">
        <f t="shared" si="62"/>
        <v>0</v>
      </c>
    </row>
    <row r="35" spans="1:71" s="609" customFormat="1" ht="16.5" customHeight="1">
      <c r="A35" s="650" t="s">
        <v>218</v>
      </c>
      <c r="B35" s="635">
        <f>+R28</f>
        <v>254.11540714704157</v>
      </c>
      <c r="C35" s="636">
        <f t="shared" si="65"/>
        <v>0.008482617990815833</v>
      </c>
      <c r="D35" s="639">
        <f>+AB28</f>
        <v>2081.0295790671216</v>
      </c>
      <c r="E35" s="638">
        <f t="shared" si="66"/>
        <v>0.06329615991992932</v>
      </c>
      <c r="F35" s="639">
        <f>+AL28</f>
        <v>1229.2301184433165</v>
      </c>
      <c r="G35" s="638">
        <f t="shared" si="67"/>
        <v>0.046940219428039755</v>
      </c>
      <c r="H35" s="639">
        <f>+AV28</f>
        <v>3010.8572671888596</v>
      </c>
      <c r="I35" s="638">
        <f t="shared" si="68"/>
        <v>0.07684976977668533</v>
      </c>
      <c r="J35" s="639">
        <f>+BF28</f>
        <v>1110.2498288843258</v>
      </c>
      <c r="K35" s="640">
        <f t="shared" si="69"/>
        <v>0.037074644127300486</v>
      </c>
      <c r="O35" s="609">
        <v>36</v>
      </c>
      <c r="P35" s="641" t="s">
        <v>222</v>
      </c>
      <c r="Q35" s="690">
        <f t="shared" si="26"/>
        <v>5295.939334637965</v>
      </c>
      <c r="R35" s="691">
        <f t="shared" si="12"/>
        <v>0</v>
      </c>
      <c r="S35" s="691">
        <f t="shared" si="13"/>
        <v>0</v>
      </c>
      <c r="T35" s="691">
        <f t="shared" si="27"/>
        <v>0</v>
      </c>
      <c r="U35" s="691">
        <f t="shared" si="14"/>
        <v>0</v>
      </c>
      <c r="V35" s="691">
        <f t="shared" si="15"/>
        <v>0</v>
      </c>
      <c r="W35" s="691">
        <f t="shared" si="28"/>
        <v>0</v>
      </c>
      <c r="X35" s="692"/>
      <c r="Y35" s="691">
        <f t="shared" si="29"/>
        <v>0</v>
      </c>
      <c r="Z35" s="693">
        <f t="shared" si="30"/>
        <v>0</v>
      </c>
      <c r="AA35" s="684">
        <f t="shared" si="31"/>
        <v>0</v>
      </c>
      <c r="AB35" s="685">
        <f t="shared" si="32"/>
        <v>0</v>
      </c>
      <c r="AC35" s="685">
        <f t="shared" si="33"/>
        <v>0</v>
      </c>
      <c r="AD35" s="685">
        <f t="shared" si="34"/>
        <v>0</v>
      </c>
      <c r="AE35" s="685">
        <f t="shared" si="35"/>
        <v>0</v>
      </c>
      <c r="AF35" s="685">
        <f t="shared" si="36"/>
        <v>0</v>
      </c>
      <c r="AG35" s="685" t="e">
        <f t="shared" si="37"/>
        <v>#VALUE!</v>
      </c>
      <c r="AH35" s="686"/>
      <c r="AI35" s="685">
        <f t="shared" si="38"/>
        <v>0</v>
      </c>
      <c r="AJ35" s="687">
        <f t="shared" si="39"/>
        <v>0</v>
      </c>
      <c r="AK35" s="694">
        <f t="shared" si="40"/>
        <v>0</v>
      </c>
      <c r="AL35" s="691">
        <f t="shared" si="17"/>
        <v>0</v>
      </c>
      <c r="AM35" s="691">
        <f t="shared" si="18"/>
        <v>0</v>
      </c>
      <c r="AN35" s="691">
        <f t="shared" si="19"/>
        <v>0</v>
      </c>
      <c r="AO35" s="691">
        <f t="shared" si="20"/>
        <v>0</v>
      </c>
      <c r="AP35" s="691">
        <f t="shared" si="21"/>
        <v>0</v>
      </c>
      <c r="AQ35" s="692"/>
      <c r="AR35" s="692"/>
      <c r="AS35" s="691">
        <f t="shared" si="22"/>
        <v>0</v>
      </c>
      <c r="AT35" s="691">
        <f t="shared" si="23"/>
        <v>0</v>
      </c>
      <c r="AU35" s="691">
        <f t="shared" si="41"/>
        <v>0</v>
      </c>
      <c r="AV35" s="691">
        <f t="shared" si="42"/>
        <v>0</v>
      </c>
      <c r="AW35" s="691">
        <f t="shared" si="43"/>
        <v>0</v>
      </c>
      <c r="AX35" s="691">
        <f t="shared" si="44"/>
        <v>0</v>
      </c>
      <c r="AY35" s="691">
        <f t="shared" si="45"/>
        <v>0</v>
      </c>
      <c r="AZ35" s="691">
        <f t="shared" si="46"/>
        <v>0</v>
      </c>
      <c r="BA35" s="691">
        <f t="shared" si="47"/>
        <v>0</v>
      </c>
      <c r="BB35" s="691">
        <f t="shared" si="63"/>
        <v>0</v>
      </c>
      <c r="BC35" s="691">
        <f t="shared" si="48"/>
        <v>0</v>
      </c>
      <c r="BD35" s="695">
        <f t="shared" si="49"/>
        <v>0</v>
      </c>
      <c r="BE35" s="684">
        <f t="shared" si="50"/>
        <v>0</v>
      </c>
      <c r="BF35" s="685">
        <f t="shared" si="51"/>
        <v>0</v>
      </c>
      <c r="BG35" s="685">
        <f t="shared" si="52"/>
        <v>0</v>
      </c>
      <c r="BH35" s="685">
        <f t="shared" si="53"/>
        <v>0</v>
      </c>
      <c r="BI35" s="685">
        <f t="shared" si="54"/>
        <v>0</v>
      </c>
      <c r="BJ35" s="685">
        <f t="shared" si="55"/>
        <v>0</v>
      </c>
      <c r="BK35" s="685" t="e">
        <f t="shared" si="64"/>
        <v>#DIV/0!</v>
      </c>
      <c r="BL35" s="685"/>
      <c r="BM35" s="685">
        <f t="shared" si="56"/>
        <v>0</v>
      </c>
      <c r="BN35" s="687">
        <f t="shared" si="57"/>
        <v>0</v>
      </c>
      <c r="BO35" s="684">
        <f t="shared" si="58"/>
        <v>661.2712407986234</v>
      </c>
      <c r="BP35" s="685">
        <f t="shared" si="59"/>
        <v>0</v>
      </c>
      <c r="BQ35" s="685">
        <f t="shared" si="60"/>
        <v>0</v>
      </c>
      <c r="BR35" s="685">
        <f t="shared" si="61"/>
        <v>0</v>
      </c>
      <c r="BS35" s="687">
        <f t="shared" si="62"/>
        <v>0</v>
      </c>
    </row>
    <row r="36" spans="1:71" s="609" customFormat="1" ht="16.5" customHeight="1">
      <c r="A36" s="650" t="s">
        <v>220</v>
      </c>
      <c r="B36" s="635">
        <f>+R29</f>
        <v>37.14118336262448</v>
      </c>
      <c r="C36" s="636">
        <f t="shared" si="65"/>
        <v>0.0012398086118787937</v>
      </c>
      <c r="D36" s="639">
        <f>+AB29</f>
        <v>0</v>
      </c>
      <c r="E36" s="638">
        <f t="shared" si="66"/>
        <v>0</v>
      </c>
      <c r="F36" s="639">
        <f>+AL29</f>
        <v>0</v>
      </c>
      <c r="G36" s="638">
        <f t="shared" si="67"/>
        <v>0</v>
      </c>
      <c r="H36" s="639">
        <f>+AV29</f>
        <v>1115.491731940818</v>
      </c>
      <c r="I36" s="638">
        <f t="shared" si="68"/>
        <v>0.028472051372759617</v>
      </c>
      <c r="J36" s="639">
        <f>+BF29</f>
        <v>0</v>
      </c>
      <c r="K36" s="640">
        <f t="shared" si="69"/>
        <v>0</v>
      </c>
      <c r="O36" s="609">
        <v>37</v>
      </c>
      <c r="P36" s="641" t="s">
        <v>236</v>
      </c>
      <c r="Q36" s="690">
        <f t="shared" si="26"/>
        <v>3181.9165851272014</v>
      </c>
      <c r="R36" s="691">
        <f t="shared" si="12"/>
        <v>2873.0228471001756</v>
      </c>
      <c r="S36" s="691">
        <f t="shared" si="13"/>
        <v>2145.971791983479</v>
      </c>
      <c r="T36" s="691">
        <f t="shared" si="27"/>
        <v>2292.837489755298</v>
      </c>
      <c r="U36" s="691">
        <f t="shared" si="14"/>
        <v>2283.3367416496253</v>
      </c>
      <c r="V36" s="691">
        <f t="shared" si="15"/>
        <v>1311.8973291710024</v>
      </c>
      <c r="W36" s="691">
        <f t="shared" si="28"/>
        <v>2239.0954151177198</v>
      </c>
      <c r="X36" s="692"/>
      <c r="Y36" s="691">
        <f t="shared" si="29"/>
        <v>1757.8256891564843</v>
      </c>
      <c r="Z36" s="693">
        <f t="shared" si="30"/>
        <v>1134.0363840887492</v>
      </c>
      <c r="AA36" s="684">
        <f t="shared" si="31"/>
        <v>3588.6770244821096</v>
      </c>
      <c r="AB36" s="685">
        <f t="shared" si="32"/>
        <v>3037.0875995449373</v>
      </c>
      <c r="AC36" s="685">
        <f t="shared" si="33"/>
        <v>1990.2737389377744</v>
      </c>
      <c r="AD36" s="685">
        <f t="shared" si="34"/>
        <v>2205.140973488568</v>
      </c>
      <c r="AE36" s="685">
        <f t="shared" si="35"/>
        <v>1859.6739005626362</v>
      </c>
      <c r="AF36" s="685">
        <f t="shared" si="36"/>
        <v>1183.215057432048</v>
      </c>
      <c r="AG36" s="685" t="e">
        <f t="shared" si="37"/>
        <v>#VALUE!</v>
      </c>
      <c r="AH36" s="686"/>
      <c r="AI36" s="685">
        <f t="shared" si="38"/>
        <v>1688.8991028092369</v>
      </c>
      <c r="AJ36" s="687">
        <f t="shared" si="39"/>
        <v>1008.4155587144968</v>
      </c>
      <c r="AK36" s="694">
        <f t="shared" si="40"/>
        <v>3550.0315837831636</v>
      </c>
      <c r="AL36" s="691">
        <f t="shared" si="17"/>
        <v>2352.5592216582068</v>
      </c>
      <c r="AM36" s="691">
        <f t="shared" si="18"/>
        <v>1922.8523383463419</v>
      </c>
      <c r="AN36" s="691">
        <f t="shared" si="19"/>
        <v>1888.781141595711</v>
      </c>
      <c r="AO36" s="691">
        <f t="shared" si="20"/>
        <v>2018.374699759808</v>
      </c>
      <c r="AP36" s="691">
        <f t="shared" si="21"/>
        <v>1360.672587774164</v>
      </c>
      <c r="AQ36" s="692"/>
      <c r="AR36" s="692"/>
      <c r="AS36" s="691">
        <f t="shared" si="22"/>
        <v>1683.458774701109</v>
      </c>
      <c r="AT36" s="691">
        <f t="shared" si="23"/>
        <v>1092.2396095190213</v>
      </c>
      <c r="AU36" s="691">
        <f t="shared" si="41"/>
        <v>3385.147046708955</v>
      </c>
      <c r="AV36" s="691">
        <f t="shared" si="42"/>
        <v>3967.580504786771</v>
      </c>
      <c r="AW36" s="691">
        <f t="shared" si="43"/>
        <v>1890.2127634687813</v>
      </c>
      <c r="AX36" s="691">
        <f t="shared" si="44"/>
        <v>2176.3642015946166</v>
      </c>
      <c r="AY36" s="691">
        <f t="shared" si="45"/>
        <v>2418.6528497409327</v>
      </c>
      <c r="AZ36" s="691">
        <f t="shared" si="46"/>
        <v>1182.9639002821652</v>
      </c>
      <c r="BA36" s="691">
        <f t="shared" si="47"/>
        <v>1919.8763250883392</v>
      </c>
      <c r="BB36" s="691" t="e">
        <f>+BB19/$BB$22/12</f>
        <v>#DIV/0!</v>
      </c>
      <c r="BC36" s="691">
        <f t="shared" si="48"/>
        <v>1944.7297075254683</v>
      </c>
      <c r="BD36" s="695">
        <f t="shared" si="49"/>
        <v>1001.3957970654066</v>
      </c>
      <c r="BE36" s="684">
        <f t="shared" si="50"/>
        <v>3287.990628003845</v>
      </c>
      <c r="BF36" s="685">
        <f t="shared" si="51"/>
        <v>2381.827515400411</v>
      </c>
      <c r="BG36" s="685">
        <f t="shared" si="52"/>
        <v>1966.247851423301</v>
      </c>
      <c r="BH36" s="685">
        <f t="shared" si="53"/>
        <v>2238.523667399728</v>
      </c>
      <c r="BI36" s="685">
        <f t="shared" si="54"/>
        <v>2432.666496772001</v>
      </c>
      <c r="BJ36" s="685">
        <f t="shared" si="55"/>
        <v>1251.0836434520645</v>
      </c>
      <c r="BK36" s="685" t="e">
        <f t="shared" si="64"/>
        <v>#DIV/0!</v>
      </c>
      <c r="BL36" s="685"/>
      <c r="BM36" s="685">
        <f t="shared" si="56"/>
        <v>1515.291885102665</v>
      </c>
      <c r="BN36" s="687">
        <f t="shared" si="57"/>
        <v>989.0393562982882</v>
      </c>
      <c r="BO36" s="684">
        <f t="shared" si="58"/>
        <v>1994.403747408003</v>
      </c>
      <c r="BP36" s="685">
        <f t="shared" si="59"/>
        <v>1984.4154417369937</v>
      </c>
      <c r="BQ36" s="685">
        <f t="shared" si="60"/>
        <v>1959.7333122928837</v>
      </c>
      <c r="BR36" s="685">
        <f t="shared" si="61"/>
        <v>1960.3200550957927</v>
      </c>
      <c r="BS36" s="687">
        <f t="shared" si="62"/>
        <v>1907.7829668442162</v>
      </c>
    </row>
    <row r="37" spans="1:71" s="609" customFormat="1" ht="16.5" customHeight="1">
      <c r="A37" s="650" t="s">
        <v>222</v>
      </c>
      <c r="B37" s="635">
        <f>+R35</f>
        <v>0</v>
      </c>
      <c r="C37" s="636">
        <f t="shared" si="65"/>
        <v>0</v>
      </c>
      <c r="D37" s="639">
        <f>+AB35</f>
        <v>0</v>
      </c>
      <c r="E37" s="638">
        <f t="shared" si="66"/>
        <v>0</v>
      </c>
      <c r="F37" s="639">
        <f>+AL35</f>
        <v>0</v>
      </c>
      <c r="G37" s="638">
        <f t="shared" si="67"/>
        <v>0</v>
      </c>
      <c r="H37" s="639">
        <f>+AV35</f>
        <v>0</v>
      </c>
      <c r="I37" s="638">
        <f t="shared" si="68"/>
        <v>0</v>
      </c>
      <c r="J37" s="639">
        <f>+BF35</f>
        <v>0</v>
      </c>
      <c r="K37" s="640">
        <f t="shared" si="69"/>
        <v>0</v>
      </c>
      <c r="O37" s="609">
        <v>38</v>
      </c>
      <c r="P37" s="641" t="s">
        <v>226</v>
      </c>
      <c r="Q37" s="690">
        <f t="shared" si="26"/>
        <v>3354.1639486844965</v>
      </c>
      <c r="R37" s="691">
        <f t="shared" si="12"/>
        <v>3657.234915055653</v>
      </c>
      <c r="S37" s="691">
        <f t="shared" si="13"/>
        <v>134.07275728276855</v>
      </c>
      <c r="T37" s="691">
        <f t="shared" si="27"/>
        <v>248.47939351364008</v>
      </c>
      <c r="U37" s="691">
        <f t="shared" si="14"/>
        <v>1341.7961826857534</v>
      </c>
      <c r="V37" s="691">
        <f t="shared" si="15"/>
        <v>174.29254827147648</v>
      </c>
      <c r="W37" s="691">
        <f t="shared" si="28"/>
        <v>438.0731102850062</v>
      </c>
      <c r="X37" s="692"/>
      <c r="Y37" s="691">
        <f t="shared" si="29"/>
        <v>3547.6477185526237</v>
      </c>
      <c r="Z37" s="693">
        <f t="shared" si="30"/>
        <v>584.5547021973972</v>
      </c>
      <c r="AA37" s="684">
        <f t="shared" si="31"/>
        <v>1357.3561159340409</v>
      </c>
      <c r="AB37" s="685">
        <f t="shared" si="32"/>
        <v>4179.422639362912</v>
      </c>
      <c r="AC37" s="685">
        <f t="shared" si="33"/>
        <v>138.18796656469905</v>
      </c>
      <c r="AD37" s="685">
        <f t="shared" si="34"/>
        <v>270.1500911768831</v>
      </c>
      <c r="AE37" s="685">
        <f t="shared" si="35"/>
        <v>636.9416695372603</v>
      </c>
      <c r="AF37" s="685">
        <f t="shared" si="36"/>
        <v>9.00545888775162</v>
      </c>
      <c r="AG37" s="685" t="e">
        <f t="shared" si="37"/>
        <v>#VALUE!</v>
      </c>
      <c r="AH37" s="686"/>
      <c r="AI37" s="685">
        <f t="shared" si="38"/>
        <v>1767.7808010982008</v>
      </c>
      <c r="AJ37" s="687">
        <f t="shared" si="39"/>
        <v>3.0165565682749396</v>
      </c>
      <c r="AK37" s="694">
        <f t="shared" si="40"/>
        <v>209.98143256383753</v>
      </c>
      <c r="AL37" s="691">
        <f t="shared" si="17"/>
        <v>227.26311336717427</v>
      </c>
      <c r="AM37" s="691">
        <f t="shared" si="18"/>
        <v>17.98940288089346</v>
      </c>
      <c r="AN37" s="691">
        <f t="shared" si="19"/>
        <v>6.332781456953643</v>
      </c>
      <c r="AO37" s="691">
        <f t="shared" si="20"/>
        <v>39.971977582065655</v>
      </c>
      <c r="AP37" s="691">
        <f t="shared" si="21"/>
        <v>20.171378533900427</v>
      </c>
      <c r="AQ37" s="692"/>
      <c r="AR37" s="692"/>
      <c r="AS37" s="691">
        <f t="shared" si="22"/>
        <v>873.4188193024839</v>
      </c>
      <c r="AT37" s="691">
        <f t="shared" si="23"/>
        <v>17.887967152673035</v>
      </c>
      <c r="AU37" s="691">
        <f t="shared" si="41"/>
        <v>1409.157810912486</v>
      </c>
      <c r="AV37" s="691">
        <f t="shared" si="42"/>
        <v>6987.206266318538</v>
      </c>
      <c r="AW37" s="691">
        <f t="shared" si="43"/>
        <v>108.10310275185003</v>
      </c>
      <c r="AX37" s="691">
        <f t="shared" si="44"/>
        <v>176.19413356740543</v>
      </c>
      <c r="AY37" s="691">
        <f t="shared" si="45"/>
        <v>2361.809153713299</v>
      </c>
      <c r="AZ37" s="691">
        <f t="shared" si="46"/>
        <v>42.329900805771295</v>
      </c>
      <c r="BA37" s="691">
        <f t="shared" si="47"/>
        <v>282.8695524146054</v>
      </c>
      <c r="BB37" s="691">
        <f>+BB20/$AU$22/12</f>
        <v>0</v>
      </c>
      <c r="BC37" s="691">
        <f t="shared" si="48"/>
        <v>3650.869481870961</v>
      </c>
      <c r="BD37" s="695">
        <f t="shared" si="49"/>
        <v>557.0121445743181</v>
      </c>
      <c r="BE37" s="684">
        <f t="shared" si="50"/>
        <v>7994.362784363985</v>
      </c>
      <c r="BF37" s="685">
        <f t="shared" si="51"/>
        <v>4031.6563997262147</v>
      </c>
      <c r="BG37" s="685">
        <f t="shared" si="52"/>
        <v>791.9878002766947</v>
      </c>
      <c r="BH37" s="685">
        <f t="shared" si="53"/>
        <v>1008.2744266415333</v>
      </c>
      <c r="BI37" s="685">
        <f t="shared" si="54"/>
        <v>1731.9189602446484</v>
      </c>
      <c r="BJ37" s="685">
        <f t="shared" si="55"/>
        <v>587.4490519227362</v>
      </c>
      <c r="BK37" s="685" t="e">
        <f t="shared" si="64"/>
        <v>#DIV/0!</v>
      </c>
      <c r="BL37" s="685"/>
      <c r="BM37" s="685">
        <f t="shared" si="56"/>
        <v>2168.541120576671</v>
      </c>
      <c r="BN37" s="687">
        <f t="shared" si="57"/>
        <v>683.1001622060016</v>
      </c>
      <c r="BO37" s="684">
        <f t="shared" si="58"/>
        <v>873.8957499736981</v>
      </c>
      <c r="BP37" s="685">
        <f t="shared" si="59"/>
        <v>407.43388070276137</v>
      </c>
      <c r="BQ37" s="685">
        <f t="shared" si="60"/>
        <v>118.41262953027199</v>
      </c>
      <c r="BR37" s="685">
        <f t="shared" si="61"/>
        <v>639.7671672967111</v>
      </c>
      <c r="BS37" s="687">
        <f t="shared" si="62"/>
        <v>1871.292439150512</v>
      </c>
    </row>
    <row r="38" spans="1:71" s="609" customFormat="1" ht="16.5" customHeight="1" thickBot="1">
      <c r="A38" s="650" t="s">
        <v>224</v>
      </c>
      <c r="B38" s="635">
        <f>+R36</f>
        <v>2873.0228471001756</v>
      </c>
      <c r="C38" s="636">
        <f t="shared" si="65"/>
        <v>0.09590428051745387</v>
      </c>
      <c r="D38" s="639">
        <f>+AB36</f>
        <v>3037.0875995449373</v>
      </c>
      <c r="E38" s="638">
        <f t="shared" si="66"/>
        <v>0.09237542047711096</v>
      </c>
      <c r="F38" s="639">
        <f>+AL36</f>
        <v>2352.5592216582068</v>
      </c>
      <c r="G38" s="638">
        <f t="shared" si="67"/>
        <v>0.08983643048214725</v>
      </c>
      <c r="H38" s="639">
        <f>+AV36</f>
        <v>3967.580504786771</v>
      </c>
      <c r="I38" s="638">
        <f t="shared" si="68"/>
        <v>0.10126937988263081</v>
      </c>
      <c r="J38" s="639">
        <f>+BF36</f>
        <v>2381.827515400411</v>
      </c>
      <c r="K38" s="640">
        <f t="shared" si="69"/>
        <v>0.07953651980727562</v>
      </c>
      <c r="O38" s="609">
        <v>39</v>
      </c>
      <c r="P38" s="668" t="s">
        <v>228</v>
      </c>
      <c r="Q38" s="698">
        <f t="shared" si="26"/>
        <v>2103.242552728854</v>
      </c>
      <c r="R38" s="699">
        <f t="shared" si="12"/>
        <v>3544.22964264792</v>
      </c>
      <c r="S38" s="699">
        <f t="shared" si="13"/>
        <v>184.0936825307425</v>
      </c>
      <c r="T38" s="699">
        <f t="shared" si="27"/>
        <v>413.9957264957265</v>
      </c>
      <c r="U38" s="699">
        <f t="shared" si="14"/>
        <v>968.3026584867076</v>
      </c>
      <c r="V38" s="699">
        <f t="shared" si="15"/>
        <v>146.8233321771303</v>
      </c>
      <c r="W38" s="699">
        <f t="shared" si="28"/>
        <v>92.9368029739777</v>
      </c>
      <c r="X38" s="700"/>
      <c r="Y38" s="699">
        <f t="shared" si="29"/>
        <v>976.6247565078803</v>
      </c>
      <c r="Z38" s="701">
        <f t="shared" si="30"/>
        <v>431.6731638253719</v>
      </c>
      <c r="AA38" s="702">
        <f t="shared" si="31"/>
        <v>5471.150842864361</v>
      </c>
      <c r="AB38" s="703">
        <f t="shared" si="32"/>
        <v>1143.8850967007963</v>
      </c>
      <c r="AC38" s="703">
        <f t="shared" si="33"/>
        <v>178.70136082681873</v>
      </c>
      <c r="AD38" s="703">
        <f t="shared" si="34"/>
        <v>578.1607986159817</v>
      </c>
      <c r="AE38" s="703">
        <f t="shared" si="35"/>
        <v>129.38339648639337</v>
      </c>
      <c r="AF38" s="703">
        <f t="shared" si="36"/>
        <v>72.87387694757193</v>
      </c>
      <c r="AG38" s="703" t="e">
        <f t="shared" si="37"/>
        <v>#VALUE!</v>
      </c>
      <c r="AH38" s="704"/>
      <c r="AI38" s="703">
        <f t="shared" si="38"/>
        <v>1169.0334362896506</v>
      </c>
      <c r="AJ38" s="705">
        <f t="shared" si="39"/>
        <v>370.9549293419182</v>
      </c>
      <c r="AK38" s="706">
        <f t="shared" si="40"/>
        <v>6525.691971976571</v>
      </c>
      <c r="AL38" s="699">
        <f t="shared" si="17"/>
        <v>1861.2521150592218</v>
      </c>
      <c r="AM38" s="699">
        <f t="shared" si="18"/>
        <v>432.5972460181484</v>
      </c>
      <c r="AN38" s="699">
        <f t="shared" si="19"/>
        <v>1004.9668874172185</v>
      </c>
      <c r="AO38" s="699">
        <f t="shared" si="20"/>
        <v>0</v>
      </c>
      <c r="AP38" s="699">
        <f t="shared" si="21"/>
        <v>667.1983154032191</v>
      </c>
      <c r="AQ38" s="700"/>
      <c r="AR38" s="700"/>
      <c r="AS38" s="699">
        <f t="shared" si="22"/>
        <v>1722.7621879452392</v>
      </c>
      <c r="AT38" s="699">
        <f t="shared" si="23"/>
        <v>427.43422155186863</v>
      </c>
      <c r="AU38" s="699">
        <f t="shared" si="41"/>
        <v>4992.791827992421</v>
      </c>
      <c r="AV38" s="699">
        <f t="shared" si="42"/>
        <v>707.1366405570061</v>
      </c>
      <c r="AW38" s="699">
        <f t="shared" si="43"/>
        <v>149.48748840074546</v>
      </c>
      <c r="AX38" s="699">
        <f t="shared" si="44"/>
        <v>200.309048350523</v>
      </c>
      <c r="AY38" s="699">
        <f t="shared" si="45"/>
        <v>568.3290155440415</v>
      </c>
      <c r="AZ38" s="699">
        <f t="shared" si="46"/>
        <v>22.74922186345522</v>
      </c>
      <c r="BA38" s="699">
        <f t="shared" si="47"/>
        <v>239.98822143698467</v>
      </c>
      <c r="BB38" s="699">
        <f>+BB21/$AU$22/12</f>
        <v>0</v>
      </c>
      <c r="BC38" s="699">
        <f t="shared" si="48"/>
        <v>1212.8162997042393</v>
      </c>
      <c r="BD38" s="707">
        <f t="shared" si="49"/>
        <v>42.07079499295366</v>
      </c>
      <c r="BE38" s="684">
        <f t="shared" si="50"/>
        <v>835.5701965182099</v>
      </c>
      <c r="BF38" s="685">
        <f t="shared" si="51"/>
        <v>664.1854893908281</v>
      </c>
      <c r="BG38" s="685">
        <f t="shared" si="52"/>
        <v>216.29333836414708</v>
      </c>
      <c r="BH38" s="685">
        <f t="shared" si="53"/>
        <v>232.9013509267986</v>
      </c>
      <c r="BI38" s="685">
        <f t="shared" si="54"/>
        <v>362.27064220183485</v>
      </c>
      <c r="BJ38" s="685">
        <f t="shared" si="55"/>
        <v>205.9959241538189</v>
      </c>
      <c r="BK38" s="685" t="e">
        <f t="shared" si="64"/>
        <v>#DIV/0!</v>
      </c>
      <c r="BL38" s="685"/>
      <c r="BM38" s="685">
        <f t="shared" si="56"/>
        <v>818.9206531236347</v>
      </c>
      <c r="BN38" s="687">
        <f t="shared" si="57"/>
        <v>181.03683783668416</v>
      </c>
      <c r="BO38" s="684">
        <f t="shared" si="58"/>
        <v>560.3046084090993</v>
      </c>
      <c r="BP38" s="685">
        <f t="shared" si="59"/>
        <v>964.0283221079253</v>
      </c>
      <c r="BQ38" s="685">
        <f t="shared" si="60"/>
        <v>1447.0301404450058</v>
      </c>
      <c r="BR38" s="685">
        <f t="shared" si="61"/>
        <v>877.6426871308182</v>
      </c>
      <c r="BS38" s="687">
        <f t="shared" si="62"/>
        <v>339.66218635076643</v>
      </c>
    </row>
    <row r="39" spans="1:71" s="609" customFormat="1" ht="16.5" customHeight="1" thickBot="1">
      <c r="A39" s="650" t="s">
        <v>226</v>
      </c>
      <c r="B39" s="635">
        <f>+R37</f>
        <v>3657.234915055653</v>
      </c>
      <c r="C39" s="636">
        <f t="shared" si="65"/>
        <v>0.12208203758829847</v>
      </c>
      <c r="D39" s="639">
        <f>+AB37</f>
        <v>4179.422639362912</v>
      </c>
      <c r="E39" s="638">
        <f t="shared" si="66"/>
        <v>0.12712044384908544</v>
      </c>
      <c r="F39" s="639">
        <f>+AL37</f>
        <v>227.26311336717427</v>
      </c>
      <c r="G39" s="638">
        <f t="shared" si="67"/>
        <v>0.008678424201698048</v>
      </c>
      <c r="H39" s="639">
        <f>+AV37</f>
        <v>6987.206266318538</v>
      </c>
      <c r="I39" s="638">
        <f t="shared" si="68"/>
        <v>0.17834295859867835</v>
      </c>
      <c r="J39" s="639">
        <f>+BF37</f>
        <v>4031.6563997262147</v>
      </c>
      <c r="K39" s="640">
        <f t="shared" si="69"/>
        <v>0.1346293621261851</v>
      </c>
      <c r="P39" s="675" t="s">
        <v>67</v>
      </c>
      <c r="Q39" s="676">
        <f>SUM(Q24:Q38)</f>
        <v>39944.135953468154</v>
      </c>
      <c r="R39" s="677">
        <f aca="true" t="shared" si="70" ref="R39:Z39">+R23</f>
        <v>29957.190978324546</v>
      </c>
      <c r="S39" s="677">
        <f t="shared" si="70"/>
        <v>19414.43294533621</v>
      </c>
      <c r="T39" s="677">
        <f t="shared" si="70"/>
        <v>20523.523299379463</v>
      </c>
      <c r="U39" s="677">
        <f t="shared" si="70"/>
        <v>21836.952965235174</v>
      </c>
      <c r="V39" s="677">
        <f t="shared" si="70"/>
        <v>13068.997861024398</v>
      </c>
      <c r="W39" s="677">
        <f t="shared" si="70"/>
        <v>21497.645600991327</v>
      </c>
      <c r="X39" s="677">
        <f t="shared" si="70"/>
        <v>0</v>
      </c>
      <c r="Y39" s="677">
        <f t="shared" si="70"/>
        <v>18573.595124254767</v>
      </c>
      <c r="Z39" s="680">
        <f t="shared" si="70"/>
        <v>11140.393902368067</v>
      </c>
      <c r="AA39" s="708">
        <f aca="true" t="shared" si="71" ref="AA39:BK39">SUM(AA24:AA38)</f>
        <v>41054.54675945065</v>
      </c>
      <c r="AB39" s="709">
        <f t="shared" si="71"/>
        <v>32877.65927189989</v>
      </c>
      <c r="AC39" s="709">
        <f t="shared" si="71"/>
        <v>19458.150798746174</v>
      </c>
      <c r="AD39" s="709">
        <f t="shared" si="71"/>
        <v>21888.99097582644</v>
      </c>
      <c r="AE39" s="709">
        <f t="shared" si="71"/>
        <v>18761.597198300606</v>
      </c>
      <c r="AF39" s="709">
        <f t="shared" si="71"/>
        <v>12383.31172523598</v>
      </c>
      <c r="AG39" s="709" t="e">
        <f t="shared" si="71"/>
        <v>#VALUE!</v>
      </c>
      <c r="AH39" s="709">
        <f t="shared" si="71"/>
        <v>0</v>
      </c>
      <c r="AI39" s="709">
        <f t="shared" si="71"/>
        <v>16975.96827964897</v>
      </c>
      <c r="AJ39" s="710">
        <f t="shared" si="71"/>
        <v>10812.565153162192</v>
      </c>
      <c r="AK39" s="679">
        <f t="shared" si="71"/>
        <v>40331.02867424678</v>
      </c>
      <c r="AL39" s="677">
        <f t="shared" si="71"/>
        <v>26187.14043993232</v>
      </c>
      <c r="AM39" s="677">
        <f t="shared" si="71"/>
        <v>20206.33225458468</v>
      </c>
      <c r="AN39" s="677">
        <f t="shared" si="71"/>
        <v>21287.324582150744</v>
      </c>
      <c r="AO39" s="677">
        <f t="shared" si="71"/>
        <v>15880.911395783294</v>
      </c>
      <c r="AP39" s="677">
        <f t="shared" si="71"/>
        <v>15225.338795763491</v>
      </c>
      <c r="AQ39" s="677">
        <f t="shared" si="71"/>
        <v>0</v>
      </c>
      <c r="AR39" s="677">
        <f t="shared" si="71"/>
        <v>0</v>
      </c>
      <c r="AS39" s="677">
        <f t="shared" si="71"/>
        <v>17581.718082140866</v>
      </c>
      <c r="AT39" s="677">
        <f t="shared" si="71"/>
        <v>12097.740698843641</v>
      </c>
      <c r="AU39" s="677">
        <f t="shared" si="71"/>
        <v>41243.15704204081</v>
      </c>
      <c r="AV39" s="677">
        <f t="shared" si="71"/>
        <v>39178.48128807659</v>
      </c>
      <c r="AW39" s="677">
        <f t="shared" si="71"/>
        <v>19519.263535062888</v>
      </c>
      <c r="AX39" s="677">
        <f t="shared" si="71"/>
        <v>22427.02618681881</v>
      </c>
      <c r="AY39" s="677">
        <f t="shared" si="71"/>
        <v>20646.56196027634</v>
      </c>
      <c r="AZ39" s="677">
        <f t="shared" si="71"/>
        <v>11791.753207086133</v>
      </c>
      <c r="BA39" s="677">
        <f t="shared" si="71"/>
        <v>18403.739693757365</v>
      </c>
      <c r="BB39" s="677" t="e">
        <f t="shared" si="71"/>
        <v>#DIV/0!</v>
      </c>
      <c r="BC39" s="677">
        <f t="shared" si="71"/>
        <v>19323.584182276263</v>
      </c>
      <c r="BD39" s="680">
        <f t="shared" si="71"/>
        <v>11292.168200281856</v>
      </c>
      <c r="BE39" s="676">
        <f t="shared" si="71"/>
        <v>40805.62653529851</v>
      </c>
      <c r="BF39" s="677">
        <f t="shared" si="71"/>
        <v>29946.33812457221</v>
      </c>
      <c r="BG39" s="677">
        <f t="shared" si="71"/>
        <v>19532.190290529492</v>
      </c>
      <c r="BH39" s="677">
        <f t="shared" si="71"/>
        <v>21271.68944392083</v>
      </c>
      <c r="BI39" s="677">
        <f t="shared" si="71"/>
        <v>21068.582229018008</v>
      </c>
      <c r="BJ39" s="677">
        <f t="shared" si="71"/>
        <v>12594.131667552721</v>
      </c>
      <c r="BK39" s="677" t="e">
        <f t="shared" si="71"/>
        <v>#DIV/0!</v>
      </c>
      <c r="BL39" s="677"/>
      <c r="BM39" s="677">
        <f aca="true" t="shared" si="72" ref="BM39:BS39">SUM(BM24:BM38)</f>
        <v>15936.458333333334</v>
      </c>
      <c r="BN39" s="678">
        <f t="shared" si="72"/>
        <v>9829.893925812095</v>
      </c>
      <c r="BO39" s="711">
        <f t="shared" si="72"/>
        <v>19928.020291389646</v>
      </c>
      <c r="BP39" s="712">
        <f t="shared" si="72"/>
        <v>20468.622294168472</v>
      </c>
      <c r="BQ39" s="712">
        <f t="shared" si="72"/>
        <v>21155.326126979126</v>
      </c>
      <c r="BR39" s="712">
        <f t="shared" si="72"/>
        <v>20984.39002978048</v>
      </c>
      <c r="BS39" s="713">
        <f t="shared" si="72"/>
        <v>20031.274340699278</v>
      </c>
    </row>
    <row r="40" spans="1:71" s="609" customFormat="1" ht="16.5" customHeight="1">
      <c r="A40" s="650" t="s">
        <v>228</v>
      </c>
      <c r="B40" s="635">
        <f>+R38</f>
        <v>3544.22964264792</v>
      </c>
      <c r="C40" s="636">
        <f t="shared" si="65"/>
        <v>0.1183098123322824</v>
      </c>
      <c r="D40" s="639">
        <f>+AB38</f>
        <v>1143.8850967007963</v>
      </c>
      <c r="E40" s="638">
        <f t="shared" si="66"/>
        <v>0.034792169577548375</v>
      </c>
      <c r="F40" s="639">
        <f>+AL38</f>
        <v>1861.2521150592218</v>
      </c>
      <c r="G40" s="638">
        <f t="shared" si="67"/>
        <v>0.07107504232195702</v>
      </c>
      <c r="H40" s="639">
        <f>+AV38</f>
        <v>707.1366405570061</v>
      </c>
      <c r="I40" s="638">
        <f t="shared" si="68"/>
        <v>0.01804910801308199</v>
      </c>
      <c r="J40" s="639">
        <f>+BF38</f>
        <v>664.1854893908281</v>
      </c>
      <c r="K40" s="640">
        <f t="shared" si="69"/>
        <v>0.02217918887537827</v>
      </c>
      <c r="P40" s="683" t="s">
        <v>217</v>
      </c>
      <c r="Q40" s="714">
        <f aca="true" t="shared" si="73" ref="Q40:Q54">+Q24/$Q$23</f>
        <v>0.5129234019040168</v>
      </c>
      <c r="R40" s="715">
        <f aca="true" t="shared" si="74" ref="R40:R54">+R24/$R$23</f>
        <v>0.6176813525647074</v>
      </c>
      <c r="S40" s="715">
        <f aca="true" t="shared" si="75" ref="S40:S54">+S24/$S$23</f>
        <v>0.7119845070444951</v>
      </c>
      <c r="T40" s="715">
        <f aca="true" t="shared" si="76" ref="T40:T54">+T24/$T$23</f>
        <v>0.6565718814091934</v>
      </c>
      <c r="U40" s="715">
        <f aca="true" t="shared" si="77" ref="U40:U54">+U24/$U$23</f>
        <v>0.7342217731274199</v>
      </c>
      <c r="V40" s="715">
        <f aca="true" t="shared" si="78" ref="V40:V54">+V24/$V$23</f>
        <v>0.68171617086532</v>
      </c>
      <c r="W40" s="715">
        <f aca="true" t="shared" si="79" ref="W40:W54">+W24/$W$23</f>
        <v>0.7687061203785895</v>
      </c>
      <c r="X40" s="715"/>
      <c r="Y40" s="715">
        <f aca="true" t="shared" si="80" ref="Y40:Y54">+Y24/$Y$23</f>
        <v>0.5874881646271464</v>
      </c>
      <c r="Z40" s="716">
        <f aca="true" t="shared" si="81" ref="Z40:Z54">+Z24/$Z$23</f>
        <v>0.6724099525800263</v>
      </c>
      <c r="AA40" s="717">
        <f aca="true" t="shared" si="82" ref="AA40:AA54">+AA24/$AA$23</f>
        <v>0.4841826701914916</v>
      </c>
      <c r="AB40" s="718">
        <f aca="true" t="shared" si="83" ref="AB40:AB54">+AB24/$AB$23</f>
        <v>0.6403190024727969</v>
      </c>
      <c r="AC40" s="718">
        <f aca="true" t="shared" si="84" ref="AC40:AC54">+AC24/$AC$23</f>
        <v>0.7197960839190926</v>
      </c>
      <c r="AD40" s="718">
        <f aca="true" t="shared" si="85" ref="AD40:AD54">+AD24/$AD$23</f>
        <v>0.6657001641710271</v>
      </c>
      <c r="AE40" s="718">
        <f aca="true" t="shared" si="86" ref="AE40:AE54">+AE24/$AE$23</f>
        <v>0.8324347936515709</v>
      </c>
      <c r="AF40" s="718">
        <f aca="true" t="shared" si="87" ref="AF40:AF54">+AF24/$AF$23</f>
        <v>0.7687033355662402</v>
      </c>
      <c r="AG40" s="718" t="e">
        <f aca="true" t="shared" si="88" ref="AG40:AG54">+AG24/$AG$23</f>
        <v>#VALUE!</v>
      </c>
      <c r="AH40" s="718"/>
      <c r="AI40" s="718">
        <f aca="true" t="shared" si="89" ref="AI40:AI54">+AI24/$AI$23</f>
        <v>0.6814510070609754</v>
      </c>
      <c r="AJ40" s="719">
        <f aca="true" t="shared" si="90" ref="AJ40:AJ54">+AJ24/$AJ$23</f>
        <v>0.7572276697607563</v>
      </c>
      <c r="AK40" s="720">
        <f aca="true" t="shared" si="91" ref="AK40:AK54">+AK24/$AK$23</f>
        <v>0.5191475583747228</v>
      </c>
      <c r="AL40" s="715">
        <f aca="true" t="shared" si="92" ref="AL40:AL54">+AL24/$AL$23</f>
        <v>0.7673657327836862</v>
      </c>
      <c r="AM40" s="715">
        <f aca="true" t="shared" si="93" ref="AM40:AM54">+AM24/$AM$23</f>
        <v>0.7228424792904496</v>
      </c>
      <c r="AN40" s="715">
        <f aca="true" t="shared" si="94" ref="AN40:AN54">+AN24/$AN$23</f>
        <v>0.6648318473766143</v>
      </c>
      <c r="AO40" s="715">
        <f aca="true" t="shared" si="95" ref="AO40:AO54">+AO24/$AO$23</f>
        <v>0.8508438886813927</v>
      </c>
      <c r="AP40" s="715">
        <f aca="true" t="shared" si="96" ref="AP40:AP54">+AP24/$AP$23</f>
        <v>0.6875666150851575</v>
      </c>
      <c r="AQ40" s="715">
        <f>+AQ24/$AK$23</f>
        <v>0</v>
      </c>
      <c r="AR40" s="715">
        <f>+AR24/$AK$23</f>
        <v>0</v>
      </c>
      <c r="AS40" s="715">
        <f aca="true" t="shared" si="97" ref="AS40:AS54">+AS24/$AS$23</f>
        <v>0.6890614502926883</v>
      </c>
      <c r="AT40" s="721">
        <f aca="true" t="shared" si="98" ref="AT40:AT54">+AT24/$AT$23</f>
        <v>0.719287218002148</v>
      </c>
      <c r="AU40" s="722">
        <f aca="true" t="shared" si="99" ref="AU40:AU54">+AU24/$AU$23</f>
        <v>0.4971434174612965</v>
      </c>
      <c r="AV40" s="723">
        <f aca="true" t="shared" si="100" ref="AV40:AV54">+AV24/$AV$23</f>
        <v>0.5342858079030657</v>
      </c>
      <c r="AW40" s="723">
        <f aca="true" t="shared" si="101" ref="AW40:AW54">+AW24/$AW$23</f>
        <v>0.7496514494446765</v>
      </c>
      <c r="AX40" s="723">
        <f aca="true" t="shared" si="102" ref="AX40:AX54">+AX24/$AX$23</f>
        <v>0.6834128683190103</v>
      </c>
      <c r="AY40" s="723">
        <f aca="true" t="shared" si="103" ref="AY40:AY54">+AY24/$AY$23</f>
        <v>0.7231645359498823</v>
      </c>
      <c r="AZ40" s="723">
        <f aca="true" t="shared" si="104" ref="AZ40:AZ54">+AZ24/$AZ$23</f>
        <v>0.7816358018980913</v>
      </c>
      <c r="BA40" s="723">
        <f aca="true" t="shared" si="105" ref="BA40:BA54">+BA24/$BA$23</f>
        <v>0.7893961673048092</v>
      </c>
      <c r="BB40" s="723" t="e">
        <f aca="true" t="shared" si="106" ref="BB40:BB54">+BB24/$AK$23</f>
        <v>#DIV/0!</v>
      </c>
      <c r="BC40" s="723">
        <f aca="true" t="shared" si="107" ref="BC40:BC54">+BC24/$BC$23</f>
        <v>0.5982433887928347</v>
      </c>
      <c r="BD40" s="724">
        <f aca="true" t="shared" si="108" ref="BD40:BD54">+BD24/$BD$23</f>
        <v>0.7469834531081467</v>
      </c>
      <c r="BE40" s="725">
        <f aca="true" t="shared" si="109" ref="BE40:BE54">+BE24/$BE$23</f>
        <v>0.5173256484330884</v>
      </c>
      <c r="BF40" s="726">
        <f aca="true" t="shared" si="110" ref="BF40:BF54">+BF24/$BF$23</f>
        <v>0.6904038938004552</v>
      </c>
      <c r="BG40" s="726">
        <f aca="true" t="shared" si="111" ref="BG40:BG54">+BG24/$BG$23</f>
        <v>0.7193691342395488</v>
      </c>
      <c r="BH40" s="726">
        <f aca="true" t="shared" si="112" ref="BH40:BH54">+BH24/$BH$23</f>
        <v>0.6633733478097578</v>
      </c>
      <c r="BI40" s="726">
        <f aca="true" t="shared" si="113" ref="BI40:BI54">+BI24/$BI$23</f>
        <v>0.7485692144584686</v>
      </c>
      <c r="BJ40" s="726">
        <f aca="true" t="shared" si="114" ref="BJ40:BJ54">+BJ24/$BJ$23</f>
        <v>0.7353510199323373</v>
      </c>
      <c r="BK40" s="726" t="e">
        <f aca="true" t="shared" si="115" ref="BK40:BK54">+BK24/$BK$23</f>
        <v>#DIV/0!</v>
      </c>
      <c r="BL40" s="726"/>
      <c r="BM40" s="726">
        <f aca="true" t="shared" si="116" ref="BM40:BM54">+BM24/$BM$23</f>
        <v>0.6697438743330092</v>
      </c>
      <c r="BN40" s="727">
        <f aca="true" t="shared" si="117" ref="BN40:BN54">+BN24/$BN$23</f>
        <v>0.7033844594907808</v>
      </c>
      <c r="BO40" s="722">
        <f aca="true" t="shared" si="118" ref="BO40:BO54">+BO24/$BO$23</f>
        <v>0.6459348270490267</v>
      </c>
      <c r="BP40" s="723">
        <f aca="true" t="shared" si="119" ref="BP40:BP54">+BP24/$BP$23</f>
        <v>0.6606710440854523</v>
      </c>
      <c r="BQ40" s="723">
        <f aca="true" t="shared" si="120" ref="BQ40:BQ54">+BQ24/$BQ$23</f>
        <v>0.663001985372836</v>
      </c>
      <c r="BR40" s="723">
        <f aca="true" t="shared" si="121" ref="BR40:BR54">+BR24/$BR$23</f>
        <v>0.668416403422332</v>
      </c>
      <c r="BS40" s="728">
        <f aca="true" t="shared" si="122" ref="BS40:BS54">+BS24/$BS$23</f>
        <v>0.6570291693918633</v>
      </c>
    </row>
    <row r="41" spans="1:71" s="609" customFormat="1" ht="16.5" customHeight="1">
      <c r="A41" s="650" t="s">
        <v>230</v>
      </c>
      <c r="B41" s="635">
        <f>+R26+R27+R30+R31+R32+R33+R25</f>
        <v>1087.448740480375</v>
      </c>
      <c r="C41" s="636">
        <f t="shared" si="65"/>
        <v>0.03630009039456322</v>
      </c>
      <c r="D41" s="639">
        <f>+AB26+AB27+AB30+AB31+AB32+AB33+AB25</f>
        <v>1384.0443686006824</v>
      </c>
      <c r="E41" s="638">
        <f t="shared" si="66"/>
        <v>0.04209680370352909</v>
      </c>
      <c r="F41" s="639">
        <f>+AL26+AL27+AL30+AL31+AL32+AL33+AL25</f>
        <v>421.72165820642977</v>
      </c>
      <c r="G41" s="638">
        <f t="shared" si="67"/>
        <v>0.016104150782471603</v>
      </c>
      <c r="H41" s="639">
        <f>+AV26+AV27+AV30+AV31+AV32+AV33+AV25</f>
        <v>2457.7023498694516</v>
      </c>
      <c r="I41" s="638">
        <f t="shared" si="68"/>
        <v>0.06273092445309814</v>
      </c>
      <c r="J41" s="639">
        <f>+BF26+BF27+BF30+BF31+BF32+BF33+BF25</f>
        <v>1083.3504449007528</v>
      </c>
      <c r="K41" s="640">
        <f t="shared" si="69"/>
        <v>0.036176391263405216</v>
      </c>
      <c r="P41" s="641" t="s">
        <v>219</v>
      </c>
      <c r="Q41" s="714">
        <f t="shared" si="73"/>
        <v>0.011620399127083231</v>
      </c>
      <c r="R41" s="715">
        <f t="shared" si="74"/>
        <v>0.021145678978546325</v>
      </c>
      <c r="S41" s="715">
        <f t="shared" si="75"/>
        <v>0.005523057684740875</v>
      </c>
      <c r="T41" s="715">
        <f t="shared" si="76"/>
        <v>0.009236333810705074</v>
      </c>
      <c r="U41" s="715">
        <f t="shared" si="77"/>
        <v>0.017205346309218005</v>
      </c>
      <c r="V41" s="715">
        <f t="shared" si="78"/>
        <v>0</v>
      </c>
      <c r="W41" s="715">
        <f t="shared" si="79"/>
        <v>0.011620534221781584</v>
      </c>
      <c r="X41" s="715"/>
      <c r="Y41" s="715">
        <f t="shared" si="80"/>
        <v>0.02959357665305309</v>
      </c>
      <c r="Z41" s="716">
        <f t="shared" si="81"/>
        <v>0.0053649410782214135</v>
      </c>
      <c r="AA41" s="717">
        <f t="shared" si="82"/>
        <v>0.01042204938716405</v>
      </c>
      <c r="AB41" s="718">
        <f t="shared" si="83"/>
        <v>0.021150912408838058</v>
      </c>
      <c r="AC41" s="718">
        <f t="shared" si="84"/>
        <v>0.0030612805209170586</v>
      </c>
      <c r="AD41" s="718">
        <f t="shared" si="85"/>
        <v>0.0053857303538675455</v>
      </c>
      <c r="AE41" s="718">
        <f t="shared" si="86"/>
        <v>0.002477129773141426</v>
      </c>
      <c r="AF41" s="718">
        <f t="shared" si="87"/>
        <v>0</v>
      </c>
      <c r="AG41" s="718" t="e">
        <f t="shared" si="88"/>
        <v>#VALUE!</v>
      </c>
      <c r="AH41" s="718"/>
      <c r="AI41" s="718">
        <f t="shared" si="89"/>
        <v>0.019497264798954944</v>
      </c>
      <c r="AJ41" s="719">
        <f t="shared" si="90"/>
        <v>0.001922549458345277</v>
      </c>
      <c r="AK41" s="729">
        <f t="shared" si="91"/>
        <v>0.008016688011658047</v>
      </c>
      <c r="AL41" s="718">
        <f t="shared" si="92"/>
        <v>0.0061076076140754425</v>
      </c>
      <c r="AM41" s="718">
        <f t="shared" si="93"/>
        <v>0.004208093801246289</v>
      </c>
      <c r="AN41" s="718">
        <f t="shared" si="94"/>
        <v>0.00292833455104225</v>
      </c>
      <c r="AO41" s="718">
        <f t="shared" si="95"/>
        <v>0.0022997767863707345</v>
      </c>
      <c r="AP41" s="718">
        <f t="shared" si="96"/>
        <v>0</v>
      </c>
      <c r="AQ41" s="692"/>
      <c r="AR41" s="692"/>
      <c r="AS41" s="718">
        <f t="shared" si="97"/>
        <v>0.015143927961104453</v>
      </c>
      <c r="AT41" s="719">
        <f t="shared" si="98"/>
        <v>0.0013062388554760604</v>
      </c>
      <c r="AU41" s="714">
        <f t="shared" si="99"/>
        <v>0.015878502912260083</v>
      </c>
      <c r="AV41" s="715">
        <f t="shared" si="100"/>
        <v>0.032421751563191596</v>
      </c>
      <c r="AW41" s="715">
        <f t="shared" si="101"/>
        <v>0.010144177689898094</v>
      </c>
      <c r="AX41" s="715">
        <f t="shared" si="102"/>
        <v>0.014304148036590034</v>
      </c>
      <c r="AY41" s="715">
        <f t="shared" si="103"/>
        <v>0.008331427212091822</v>
      </c>
      <c r="AZ41" s="715">
        <f t="shared" si="104"/>
        <v>0</v>
      </c>
      <c r="BA41" s="715">
        <f t="shared" si="105"/>
        <v>0</v>
      </c>
      <c r="BB41" s="715">
        <f t="shared" si="106"/>
        <v>0</v>
      </c>
      <c r="BC41" s="715">
        <f t="shared" si="107"/>
        <v>0.0389290978146878</v>
      </c>
      <c r="BD41" s="716">
        <f t="shared" si="108"/>
        <v>0.00034145778339298366</v>
      </c>
      <c r="BE41" s="717">
        <f t="shared" si="109"/>
        <v>0.009643171980778763</v>
      </c>
      <c r="BF41" s="718">
        <f t="shared" si="110"/>
        <v>0.02601790563087978</v>
      </c>
      <c r="BG41" s="718">
        <f t="shared" si="111"/>
        <v>0.0034549697094128314</v>
      </c>
      <c r="BH41" s="718">
        <f t="shared" si="112"/>
        <v>0.002762114574585186</v>
      </c>
      <c r="BI41" s="718">
        <f t="shared" si="113"/>
        <v>0.001234379494986984</v>
      </c>
      <c r="BJ41" s="718">
        <f t="shared" si="114"/>
        <v>0</v>
      </c>
      <c r="BK41" s="718" t="e">
        <f t="shared" si="115"/>
        <v>#DIV/0!</v>
      </c>
      <c r="BL41" s="718"/>
      <c r="BM41" s="718">
        <f t="shared" si="116"/>
        <v>0.029047119039209424</v>
      </c>
      <c r="BN41" s="719">
        <f t="shared" si="117"/>
        <v>0.0010998331740560091</v>
      </c>
      <c r="BO41" s="717">
        <f t="shared" si="118"/>
        <v>0.008592646574459089</v>
      </c>
      <c r="BP41" s="718">
        <f t="shared" si="119"/>
        <v>0.005803977314167079</v>
      </c>
      <c r="BQ41" s="718">
        <f t="shared" si="120"/>
        <v>0.005272637650678737</v>
      </c>
      <c r="BR41" s="718">
        <f t="shared" si="121"/>
        <v>0.012570751742436518</v>
      </c>
      <c r="BS41" s="719">
        <f t="shared" si="122"/>
        <v>0.006170655531238718</v>
      </c>
    </row>
    <row r="42" spans="1:71" s="609" customFormat="1" ht="16.5" customHeight="1" thickBot="1">
      <c r="A42" s="657" t="s">
        <v>232</v>
      </c>
      <c r="B42" s="658"/>
      <c r="C42" s="730"/>
      <c r="D42" s="660"/>
      <c r="E42" s="659"/>
      <c r="F42" s="660"/>
      <c r="G42" s="659"/>
      <c r="H42" s="660"/>
      <c r="I42" s="659"/>
      <c r="J42" s="660"/>
      <c r="K42" s="661"/>
      <c r="P42" s="641" t="s">
        <v>221</v>
      </c>
      <c r="Q42" s="714">
        <f t="shared" si="73"/>
        <v>0</v>
      </c>
      <c r="R42" s="715">
        <f t="shared" si="74"/>
        <v>0</v>
      </c>
      <c r="S42" s="715">
        <f t="shared" si="75"/>
        <v>0</v>
      </c>
      <c r="T42" s="715">
        <f t="shared" si="76"/>
        <v>0</v>
      </c>
      <c r="U42" s="715">
        <f t="shared" si="77"/>
        <v>0</v>
      </c>
      <c r="V42" s="715">
        <f t="shared" si="78"/>
        <v>0</v>
      </c>
      <c r="W42" s="715">
        <f t="shared" si="79"/>
        <v>0</v>
      </c>
      <c r="X42" s="715"/>
      <c r="Y42" s="715">
        <f t="shared" si="80"/>
        <v>0</v>
      </c>
      <c r="Z42" s="716">
        <f t="shared" si="81"/>
        <v>0</v>
      </c>
      <c r="AA42" s="717">
        <f t="shared" si="82"/>
        <v>0</v>
      </c>
      <c r="AB42" s="718">
        <f t="shared" si="83"/>
        <v>0</v>
      </c>
      <c r="AC42" s="718">
        <f t="shared" si="84"/>
        <v>0</v>
      </c>
      <c r="AD42" s="718">
        <f t="shared" si="85"/>
        <v>0</v>
      </c>
      <c r="AE42" s="718">
        <f t="shared" si="86"/>
        <v>0</v>
      </c>
      <c r="AF42" s="718">
        <f t="shared" si="87"/>
        <v>0</v>
      </c>
      <c r="AG42" s="718" t="e">
        <f t="shared" si="88"/>
        <v>#VALUE!</v>
      </c>
      <c r="AH42" s="718"/>
      <c r="AI42" s="718">
        <f t="shared" si="89"/>
        <v>0</v>
      </c>
      <c r="AJ42" s="719">
        <f t="shared" si="90"/>
        <v>0</v>
      </c>
      <c r="AK42" s="729">
        <f t="shared" si="91"/>
        <v>0</v>
      </c>
      <c r="AL42" s="718">
        <f t="shared" si="92"/>
        <v>0</v>
      </c>
      <c r="AM42" s="718">
        <f t="shared" si="93"/>
        <v>0</v>
      </c>
      <c r="AN42" s="718">
        <f t="shared" si="94"/>
        <v>0</v>
      </c>
      <c r="AO42" s="718">
        <f t="shared" si="95"/>
        <v>0</v>
      </c>
      <c r="AP42" s="718">
        <f t="shared" si="96"/>
        <v>0</v>
      </c>
      <c r="AQ42" s="692"/>
      <c r="AR42" s="692"/>
      <c r="AS42" s="718">
        <f t="shared" si="97"/>
        <v>0.00038404395999706506</v>
      </c>
      <c r="AT42" s="719">
        <f t="shared" si="98"/>
        <v>0</v>
      </c>
      <c r="AU42" s="714">
        <f t="shared" si="99"/>
        <v>0</v>
      </c>
      <c r="AV42" s="715">
        <f t="shared" si="100"/>
        <v>0</v>
      </c>
      <c r="AW42" s="715">
        <f t="shared" si="101"/>
        <v>0</v>
      </c>
      <c r="AX42" s="715">
        <f t="shared" si="102"/>
        <v>0</v>
      </c>
      <c r="AY42" s="715">
        <f t="shared" si="103"/>
        <v>0</v>
      </c>
      <c r="AZ42" s="715">
        <f t="shared" si="104"/>
        <v>0</v>
      </c>
      <c r="BA42" s="715">
        <f t="shared" si="105"/>
        <v>0</v>
      </c>
      <c r="BB42" s="715">
        <f t="shared" si="106"/>
        <v>0</v>
      </c>
      <c r="BC42" s="715">
        <f t="shared" si="107"/>
        <v>0</v>
      </c>
      <c r="BD42" s="716">
        <f t="shared" si="108"/>
        <v>0</v>
      </c>
      <c r="BE42" s="717">
        <f t="shared" si="109"/>
        <v>0</v>
      </c>
      <c r="BF42" s="718">
        <f t="shared" si="110"/>
        <v>0</v>
      </c>
      <c r="BG42" s="718">
        <f t="shared" si="111"/>
        <v>0</v>
      </c>
      <c r="BH42" s="718">
        <f t="shared" si="112"/>
        <v>0</v>
      </c>
      <c r="BI42" s="718">
        <f t="shared" si="113"/>
        <v>0</v>
      </c>
      <c r="BJ42" s="718">
        <f t="shared" si="114"/>
        <v>0</v>
      </c>
      <c r="BK42" s="718" t="e">
        <f t="shared" si="115"/>
        <v>#DIV/0!</v>
      </c>
      <c r="BL42" s="718"/>
      <c r="BM42" s="718">
        <f t="shared" si="116"/>
        <v>0</v>
      </c>
      <c r="BN42" s="719">
        <f t="shared" si="117"/>
        <v>0</v>
      </c>
      <c r="BO42" s="717">
        <f t="shared" si="118"/>
        <v>0</v>
      </c>
      <c r="BP42" s="718">
        <f t="shared" si="119"/>
        <v>0</v>
      </c>
      <c r="BQ42" s="718">
        <f t="shared" si="120"/>
        <v>2.710202935644578E-05</v>
      </c>
      <c r="BR42" s="718">
        <f t="shared" si="121"/>
        <v>0</v>
      </c>
      <c r="BS42" s="719">
        <f t="shared" si="122"/>
        <v>0</v>
      </c>
    </row>
    <row r="43" spans="2:71" ht="12.75">
      <c r="B43" s="757" t="s">
        <v>244</v>
      </c>
      <c r="P43" s="641" t="s">
        <v>223</v>
      </c>
      <c r="Q43" s="714">
        <f t="shared" si="73"/>
        <v>0.01758614010727161</v>
      </c>
      <c r="R43" s="715">
        <f t="shared" si="74"/>
        <v>0.013946380233070328</v>
      </c>
      <c r="S43" s="715">
        <f t="shared" si="75"/>
        <v>0.031919100948120255</v>
      </c>
      <c r="T43" s="715">
        <f t="shared" si="76"/>
        <v>0.02016149821372453</v>
      </c>
      <c r="U43" s="715">
        <f t="shared" si="77"/>
        <v>0.016532952747339538</v>
      </c>
      <c r="V43" s="715">
        <f t="shared" si="78"/>
        <v>0.04293197353312909</v>
      </c>
      <c r="W43" s="715">
        <f t="shared" si="79"/>
        <v>0.02237068120770552</v>
      </c>
      <c r="X43" s="715"/>
      <c r="Y43" s="715">
        <f t="shared" si="80"/>
        <v>0.012493910995135867</v>
      </c>
      <c r="Z43" s="716">
        <f t="shared" si="81"/>
        <v>0.030215576909065893</v>
      </c>
      <c r="AA43" s="717">
        <f t="shared" si="82"/>
        <v>0.009700675975876722</v>
      </c>
      <c r="AB43" s="718">
        <f t="shared" si="83"/>
        <v>0.00271112308749687</v>
      </c>
      <c r="AC43" s="718">
        <f t="shared" si="84"/>
        <v>0.030204631777393</v>
      </c>
      <c r="AD43" s="718">
        <f t="shared" si="85"/>
        <v>0.015593257014971058</v>
      </c>
      <c r="AE43" s="718">
        <f t="shared" si="86"/>
        <v>0.012862561373605948</v>
      </c>
      <c r="AF43" s="718">
        <f t="shared" si="87"/>
        <v>0.026278795361700618</v>
      </c>
      <c r="AG43" s="718" t="e">
        <f t="shared" si="88"/>
        <v>#VALUE!</v>
      </c>
      <c r="AH43" s="718"/>
      <c r="AI43" s="718">
        <f t="shared" si="89"/>
        <v>0.002535170042236469</v>
      </c>
      <c r="AJ43" s="719">
        <f t="shared" si="90"/>
        <v>0.007400191378481881</v>
      </c>
      <c r="AK43" s="729">
        <f t="shared" si="91"/>
        <v>0.008519731808694708</v>
      </c>
      <c r="AL43" s="718">
        <f t="shared" si="92"/>
        <v>0</v>
      </c>
      <c r="AM43" s="718">
        <f t="shared" si="93"/>
        <v>0.017483865215759526</v>
      </c>
      <c r="AN43" s="718">
        <f t="shared" si="94"/>
        <v>0.01261284717319469</v>
      </c>
      <c r="AO43" s="718">
        <f t="shared" si="95"/>
        <v>0.007369452796808376</v>
      </c>
      <c r="AP43" s="718">
        <f t="shared" si="96"/>
        <v>0.017394569378385186</v>
      </c>
      <c r="AQ43" s="692"/>
      <c r="AR43" s="692"/>
      <c r="AS43" s="718">
        <f t="shared" si="97"/>
        <v>0.0005794131121240124</v>
      </c>
      <c r="AT43" s="719">
        <f t="shared" si="98"/>
        <v>0.00606772926820927</v>
      </c>
      <c r="AU43" s="714">
        <f t="shared" si="99"/>
        <v>0.006890033540018804</v>
      </c>
      <c r="AV43" s="715">
        <f t="shared" si="100"/>
        <v>0.007090800341877874</v>
      </c>
      <c r="AW43" s="715">
        <f t="shared" si="101"/>
        <v>0.015174080025232009</v>
      </c>
      <c r="AX43" s="715">
        <f t="shared" si="102"/>
        <v>0.013992014836927118</v>
      </c>
      <c r="AY43" s="715">
        <f t="shared" si="103"/>
        <v>0.00609479543942521</v>
      </c>
      <c r="AZ43" s="715">
        <f t="shared" si="104"/>
        <v>0.02343116119271245</v>
      </c>
      <c r="BA43" s="715">
        <f t="shared" si="105"/>
        <v>0.014702611717608734</v>
      </c>
      <c r="BB43" s="715">
        <f t="shared" si="106"/>
        <v>0</v>
      </c>
      <c r="BC43" s="715">
        <f t="shared" si="107"/>
        <v>0.0010022391655565318</v>
      </c>
      <c r="BD43" s="716">
        <f t="shared" si="108"/>
        <v>0.004815922045215581</v>
      </c>
      <c r="BE43" s="717">
        <f t="shared" si="109"/>
        <v>0.010918321357698574</v>
      </c>
      <c r="BF43" s="718">
        <f t="shared" si="110"/>
        <v>0.003679865422064564</v>
      </c>
      <c r="BG43" s="718">
        <f t="shared" si="111"/>
        <v>0.02902431047981436</v>
      </c>
      <c r="BH43" s="718">
        <f t="shared" si="112"/>
        <v>0.012630501821276221</v>
      </c>
      <c r="BI43" s="718">
        <f t="shared" si="113"/>
        <v>0.01195269643275817</v>
      </c>
      <c r="BJ43" s="718">
        <f t="shared" si="114"/>
        <v>0.026222941932863963</v>
      </c>
      <c r="BK43" s="718" t="e">
        <f t="shared" si="115"/>
        <v>#DIV/0!</v>
      </c>
      <c r="BL43" s="718"/>
      <c r="BM43" s="718">
        <f t="shared" si="116"/>
        <v>0.0017697042363162532</v>
      </c>
      <c r="BN43" s="719">
        <f t="shared" si="117"/>
        <v>0.01881006757172663</v>
      </c>
      <c r="BO43" s="717">
        <f t="shared" si="118"/>
        <v>0.026665850410435916</v>
      </c>
      <c r="BP43" s="718">
        <f t="shared" si="119"/>
        <v>0.02020305535464966</v>
      </c>
      <c r="BQ43" s="718">
        <f t="shared" si="120"/>
        <v>0.012427797179004468</v>
      </c>
      <c r="BR43" s="718">
        <f t="shared" si="121"/>
        <v>0.011830626691444555</v>
      </c>
      <c r="BS43" s="719">
        <f t="shared" si="122"/>
        <v>0.01977983625154339</v>
      </c>
    </row>
    <row r="44" spans="16:71" ht="12.75" hidden="1">
      <c r="P44" s="641" t="s">
        <v>225</v>
      </c>
      <c r="Q44" s="714">
        <f t="shared" si="73"/>
        <v>0.07855624903950816</v>
      </c>
      <c r="R44" s="715">
        <f t="shared" si="74"/>
        <v>0.008482617990815833</v>
      </c>
      <c r="S44" s="715">
        <f t="shared" si="75"/>
        <v>0.023584768533498487</v>
      </c>
      <c r="T44" s="715">
        <f t="shared" si="76"/>
        <v>0.09160410239720101</v>
      </c>
      <c r="U44" s="715">
        <f t="shared" si="77"/>
        <v>0.01480686166079961</v>
      </c>
      <c r="V44" s="715">
        <f t="shared" si="78"/>
        <v>0.07216450040756628</v>
      </c>
      <c r="W44" s="715">
        <f t="shared" si="79"/>
        <v>0.055795568518497166</v>
      </c>
      <c r="X44" s="715"/>
      <c r="Y44" s="715">
        <f t="shared" si="80"/>
        <v>0.009455029794113574</v>
      </c>
      <c r="Z44" s="716">
        <f t="shared" si="81"/>
        <v>0.05052646642462695</v>
      </c>
      <c r="AA44" s="717">
        <f t="shared" si="82"/>
        <v>0.12976416959062212</v>
      </c>
      <c r="AB44" s="718">
        <f t="shared" si="83"/>
        <v>0.06329615991992932</v>
      </c>
      <c r="AC44" s="718">
        <f t="shared" si="84"/>
        <v>0.030575952905392126</v>
      </c>
      <c r="AD44" s="718">
        <f t="shared" si="85"/>
        <v>0.10217112471839343</v>
      </c>
      <c r="AE44" s="718">
        <f t="shared" si="86"/>
        <v>0.009635560506075013</v>
      </c>
      <c r="AF44" s="718">
        <f t="shared" si="87"/>
        <v>0.04171671115031198</v>
      </c>
      <c r="AG44" s="718" t="e">
        <f t="shared" si="88"/>
        <v>#VALUE!</v>
      </c>
      <c r="AH44" s="718"/>
      <c r="AI44" s="718">
        <f t="shared" si="89"/>
        <v>0.006056813136820412</v>
      </c>
      <c r="AJ44" s="719">
        <f t="shared" si="90"/>
        <v>0.022924752476268444</v>
      </c>
      <c r="AK44" s="729">
        <f t="shared" si="91"/>
        <v>0.09804968605207014</v>
      </c>
      <c r="AL44" s="718">
        <f t="shared" si="92"/>
        <v>0.046940219428039755</v>
      </c>
      <c r="AM44" s="718">
        <f t="shared" si="93"/>
        <v>0.036084720740175304</v>
      </c>
      <c r="AN44" s="718">
        <f t="shared" si="94"/>
        <v>0.10180728619856953</v>
      </c>
      <c r="AO44" s="718">
        <f t="shared" si="95"/>
        <v>0.008379858929658507</v>
      </c>
      <c r="AP44" s="718">
        <f t="shared" si="96"/>
        <v>0.0672929525955637</v>
      </c>
      <c r="AQ44" s="692"/>
      <c r="AR44" s="692"/>
      <c r="AS44" s="718">
        <f t="shared" si="97"/>
        <v>0.017964625147110416</v>
      </c>
      <c r="AT44" s="719">
        <f t="shared" si="98"/>
        <v>0.07920048173347861</v>
      </c>
      <c r="AU44" s="714">
        <f t="shared" si="99"/>
        <v>0.1205927812409191</v>
      </c>
      <c r="AV44" s="715">
        <f t="shared" si="100"/>
        <v>0.07684976977668533</v>
      </c>
      <c r="AW44" s="715">
        <f t="shared" si="101"/>
        <v>0.014599528527803173</v>
      </c>
      <c r="AX44" s="715">
        <f t="shared" si="102"/>
        <v>0.09743374813835134</v>
      </c>
      <c r="AY44" s="715">
        <f t="shared" si="103"/>
        <v>0.0003983902315969985</v>
      </c>
      <c r="AZ44" s="715">
        <f t="shared" si="104"/>
        <v>0.014916614676497802</v>
      </c>
      <c r="BA44" s="715">
        <f t="shared" si="105"/>
        <v>0.040516183433041426</v>
      </c>
      <c r="BB44" s="715">
        <f t="shared" si="106"/>
        <v>0</v>
      </c>
      <c r="BC44" s="715">
        <f t="shared" si="107"/>
        <v>0.001407698194495621</v>
      </c>
      <c r="BD44" s="716">
        <f t="shared" si="108"/>
        <v>0.03307322833330611</v>
      </c>
      <c r="BE44" s="717">
        <f t="shared" si="109"/>
        <v>0.07226470275450096</v>
      </c>
      <c r="BF44" s="718">
        <f t="shared" si="110"/>
        <v>0.037074644127300486</v>
      </c>
      <c r="BG44" s="718">
        <f t="shared" si="111"/>
        <v>0.000884640092306239</v>
      </c>
      <c r="BH44" s="718">
        <f t="shared" si="112"/>
        <v>0.09576551047888447</v>
      </c>
      <c r="BI44" s="718">
        <f t="shared" si="113"/>
        <v>0.01821833659349563</v>
      </c>
      <c r="BJ44" s="718">
        <f t="shared" si="114"/>
        <v>0.020808039433964483</v>
      </c>
      <c r="BK44" s="718" t="e">
        <f t="shared" si="115"/>
        <v>#DIV/0!</v>
      </c>
      <c r="BL44" s="718"/>
      <c r="BM44" s="718">
        <f t="shared" si="116"/>
        <v>0.007662293349251362</v>
      </c>
      <c r="BN44" s="719">
        <f t="shared" si="117"/>
        <v>0.02480362099255954</v>
      </c>
      <c r="BO44" s="717">
        <f t="shared" si="118"/>
        <v>0.04674726511480825</v>
      </c>
      <c r="BP44" s="718">
        <f t="shared" si="119"/>
        <v>0.06035599451411742</v>
      </c>
      <c r="BQ44" s="718">
        <f t="shared" si="120"/>
        <v>0.06134656855549702</v>
      </c>
      <c r="BR44" s="718">
        <f t="shared" si="121"/>
        <v>0.04853072910635105</v>
      </c>
      <c r="BS44" s="719">
        <f t="shared" si="122"/>
        <v>0.03183298547757493</v>
      </c>
    </row>
    <row r="45" spans="16:71" ht="16.5" hidden="1">
      <c r="P45" s="641" t="s">
        <v>227</v>
      </c>
      <c r="Q45" s="714">
        <f t="shared" si="73"/>
        <v>0.007776152230435166</v>
      </c>
      <c r="R45" s="715">
        <f t="shared" si="74"/>
        <v>0.0012398086118787937</v>
      </c>
      <c r="S45" s="715">
        <f t="shared" si="75"/>
        <v>0.008705726739317588</v>
      </c>
      <c r="T45" s="715">
        <f t="shared" si="76"/>
        <v>0.04916348939797607</v>
      </c>
      <c r="U45" s="715">
        <f t="shared" si="77"/>
        <v>0</v>
      </c>
      <c r="V45" s="715">
        <f t="shared" si="78"/>
        <v>0.018780008318311087</v>
      </c>
      <c r="W45" s="715">
        <f t="shared" si="79"/>
        <v>0</v>
      </c>
      <c r="X45" s="715"/>
      <c r="Y45" s="715">
        <f t="shared" si="80"/>
        <v>0.012229971355160024</v>
      </c>
      <c r="Z45" s="716">
        <f t="shared" si="81"/>
        <v>0.00721418687371047</v>
      </c>
      <c r="AA45" s="717">
        <f t="shared" si="82"/>
        <v>0.08062829259216595</v>
      </c>
      <c r="AB45" s="718">
        <f t="shared" si="83"/>
        <v>0</v>
      </c>
      <c r="AC45" s="718">
        <f t="shared" si="84"/>
        <v>0.0034326097358821192</v>
      </c>
      <c r="AD45" s="718">
        <f t="shared" si="85"/>
        <v>0.04515274655639762</v>
      </c>
      <c r="AE45" s="718">
        <f t="shared" si="86"/>
        <v>0</v>
      </c>
      <c r="AF45" s="718">
        <f t="shared" si="87"/>
        <v>0</v>
      </c>
      <c r="AG45" s="718" t="e">
        <f t="shared" si="88"/>
        <v>#VALUE!</v>
      </c>
      <c r="AH45" s="718"/>
      <c r="AI45" s="718">
        <f t="shared" si="89"/>
        <v>0.01200525358451153</v>
      </c>
      <c r="AJ45" s="719">
        <f t="shared" si="90"/>
        <v>0.02249077392798147</v>
      </c>
      <c r="AK45" s="729">
        <f t="shared" si="91"/>
        <v>0.08631012272768865</v>
      </c>
      <c r="AL45" s="718">
        <f t="shared" si="92"/>
        <v>0</v>
      </c>
      <c r="AM45" s="718">
        <f t="shared" si="93"/>
        <v>0.024887480541738963</v>
      </c>
      <c r="AN45" s="718">
        <f t="shared" si="94"/>
        <v>0.05932814874202536</v>
      </c>
      <c r="AO45" s="718">
        <f t="shared" si="95"/>
        <v>0</v>
      </c>
      <c r="AP45" s="718">
        <f t="shared" si="96"/>
        <v>0.04242653879948071</v>
      </c>
      <c r="AQ45" s="692"/>
      <c r="AR45" s="692"/>
      <c r="AS45" s="718">
        <f t="shared" si="97"/>
        <v>0.02921649659068498</v>
      </c>
      <c r="AT45" s="719">
        <f t="shared" si="98"/>
        <v>0.03239545089136711</v>
      </c>
      <c r="AU45" s="714">
        <f t="shared" si="99"/>
        <v>0.08156055980615359</v>
      </c>
      <c r="AV45" s="715">
        <f t="shared" si="100"/>
        <v>0.028472051372759617</v>
      </c>
      <c r="AW45" s="715">
        <f t="shared" si="101"/>
        <v>0.007393325632763938</v>
      </c>
      <c r="AX45" s="715">
        <f t="shared" si="102"/>
        <v>0.04681679990900192</v>
      </c>
      <c r="AY45" s="715">
        <f t="shared" si="103"/>
        <v>0</v>
      </c>
      <c r="AZ45" s="715">
        <f t="shared" si="104"/>
        <v>0.0011875097288839124</v>
      </c>
      <c r="BA45" s="715">
        <f t="shared" si="105"/>
        <v>0.0037808544443039983</v>
      </c>
      <c r="BB45" s="715">
        <f t="shared" si="106"/>
        <v>0</v>
      </c>
      <c r="BC45" s="715">
        <f t="shared" si="107"/>
        <v>0.0076721889969105185</v>
      </c>
      <c r="BD45" s="716">
        <f t="shared" si="108"/>
        <v>0.0028392109159309092</v>
      </c>
      <c r="BE45" s="717">
        <f t="shared" si="109"/>
        <v>0.06907792533539905</v>
      </c>
      <c r="BF45" s="718">
        <f t="shared" si="110"/>
        <v>0</v>
      </c>
      <c r="BG45" s="718">
        <f t="shared" si="111"/>
        <v>0.0007172226711906718</v>
      </c>
      <c r="BH45" s="718">
        <f t="shared" si="112"/>
        <v>0.042695851886559825</v>
      </c>
      <c r="BI45" s="718">
        <f t="shared" si="113"/>
        <v>6.108394365197715E-05</v>
      </c>
      <c r="BJ45" s="718">
        <f t="shared" si="114"/>
        <v>0.0035634541429885756</v>
      </c>
      <c r="BK45" s="718" t="e">
        <f t="shared" si="115"/>
        <v>#DIV/0!</v>
      </c>
      <c r="BL45" s="718"/>
      <c r="BM45" s="718">
        <f t="shared" si="116"/>
        <v>0.006875187021277999</v>
      </c>
      <c r="BN45" s="719">
        <f t="shared" si="117"/>
        <v>0.012702850609956339</v>
      </c>
      <c r="BO45" s="717">
        <f t="shared" si="118"/>
        <v>0.011379042720050506</v>
      </c>
      <c r="BP45" s="718">
        <f t="shared" si="119"/>
        <v>0.027568796396535408</v>
      </c>
      <c r="BQ45" s="718">
        <f t="shared" si="120"/>
        <v>0.04509846061592147</v>
      </c>
      <c r="BR45" s="718">
        <f t="shared" si="121"/>
        <v>0.02900388655139036</v>
      </c>
      <c r="BS45" s="719">
        <f t="shared" si="122"/>
        <v>0.02413843577860975</v>
      </c>
    </row>
    <row r="46" spans="16:71" ht="16.5" hidden="1">
      <c r="P46" s="641" t="s">
        <v>229</v>
      </c>
      <c r="Q46" s="714">
        <f t="shared" si="73"/>
        <v>0.015534697924398587</v>
      </c>
      <c r="R46" s="715">
        <f t="shared" si="74"/>
        <v>0.0009948779673396473</v>
      </c>
      <c r="S46" s="715">
        <f t="shared" si="75"/>
        <v>0.04104367627477652</v>
      </c>
      <c r="T46" s="715">
        <f t="shared" si="76"/>
        <v>0.015467243724788856</v>
      </c>
      <c r="U46" s="715">
        <f t="shared" si="77"/>
        <v>0.004415821414267791</v>
      </c>
      <c r="V46" s="715">
        <f t="shared" si="78"/>
        <v>0.031187639622276567</v>
      </c>
      <c r="W46" s="715">
        <f t="shared" si="79"/>
        <v>0.009569936479024243</v>
      </c>
      <c r="X46" s="715"/>
      <c r="Y46" s="715">
        <f t="shared" si="80"/>
        <v>0.0049577271507684085</v>
      </c>
      <c r="Z46" s="716">
        <f t="shared" si="81"/>
        <v>0.028067067443220208</v>
      </c>
      <c r="AA46" s="717">
        <f t="shared" si="82"/>
        <v>0.013231043690312595</v>
      </c>
      <c r="AB46" s="718">
        <f t="shared" si="83"/>
        <v>0.009562894119570564</v>
      </c>
      <c r="AC46" s="718">
        <f t="shared" si="84"/>
        <v>0.040330143914837135</v>
      </c>
      <c r="AD46" s="718">
        <f t="shared" si="85"/>
        <v>0.013456181950756808</v>
      </c>
      <c r="AE46" s="718">
        <f t="shared" si="86"/>
        <v>0.0021992750685074034</v>
      </c>
      <c r="AF46" s="718">
        <f t="shared" si="87"/>
        <v>0.030342202327084563</v>
      </c>
      <c r="AG46" s="718" t="e">
        <f t="shared" si="88"/>
        <v>#VALUE!</v>
      </c>
      <c r="AH46" s="718"/>
      <c r="AI46" s="718">
        <f t="shared" si="89"/>
        <v>0.00412603202243293</v>
      </c>
      <c r="AJ46" s="719">
        <f t="shared" si="90"/>
        <v>0.03359679667892341</v>
      </c>
      <c r="AK46" s="729">
        <f t="shared" si="91"/>
        <v>0.014596813173169326</v>
      </c>
      <c r="AL46" s="718">
        <f t="shared" si="92"/>
        <v>0.007689834976674464</v>
      </c>
      <c r="AM46" s="718">
        <f t="shared" si="93"/>
        <v>0.03462776730160472</v>
      </c>
      <c r="AN46" s="718">
        <f t="shared" si="94"/>
        <v>0.014187705439191386</v>
      </c>
      <c r="AO46" s="718">
        <f t="shared" si="95"/>
        <v>0.0014956531529922935</v>
      </c>
      <c r="AP46" s="718">
        <f t="shared" si="96"/>
        <v>0.025968817070825285</v>
      </c>
      <c r="AQ46" s="692"/>
      <c r="AR46" s="692"/>
      <c r="AS46" s="718">
        <f t="shared" si="97"/>
        <v>0.002920143431610711</v>
      </c>
      <c r="AT46" s="719">
        <f t="shared" si="98"/>
        <v>0.020428651020718263</v>
      </c>
      <c r="AU46" s="714">
        <f t="shared" si="99"/>
        <v>0.021078019767675007</v>
      </c>
      <c r="AV46" s="715">
        <f t="shared" si="100"/>
        <v>0.015447815030519653</v>
      </c>
      <c r="AW46" s="715">
        <f t="shared" si="101"/>
        <v>0.04044918245910098</v>
      </c>
      <c r="AX46" s="715">
        <f t="shared" si="102"/>
        <v>0.016306024260446944</v>
      </c>
      <c r="AY46" s="715">
        <f t="shared" si="103"/>
        <v>0.0029463624017911872</v>
      </c>
      <c r="AZ46" s="715">
        <f t="shared" si="104"/>
        <v>0.0327136573918179</v>
      </c>
      <c r="BA46" s="715">
        <f t="shared" si="105"/>
        <v>0.011266162232736151</v>
      </c>
      <c r="BB46" s="715">
        <f t="shared" si="106"/>
        <v>0</v>
      </c>
      <c r="BC46" s="715">
        <f t="shared" si="107"/>
        <v>0.00032921402454578954</v>
      </c>
      <c r="BD46" s="716">
        <f t="shared" si="108"/>
        <v>0.037183752372356174</v>
      </c>
      <c r="BE46" s="717">
        <f t="shared" si="109"/>
        <v>0.012143446272852881</v>
      </c>
      <c r="BF46" s="718">
        <f t="shared" si="110"/>
        <v>0.006478620210460874</v>
      </c>
      <c r="BG46" s="718">
        <f t="shared" si="111"/>
        <v>0.04044396009296689</v>
      </c>
      <c r="BH46" s="718">
        <f t="shared" si="112"/>
        <v>0.010841502783807057</v>
      </c>
      <c r="BI46" s="718">
        <f t="shared" si="113"/>
        <v>0.0034067906395206667</v>
      </c>
      <c r="BJ46" s="718">
        <f t="shared" si="114"/>
        <v>0.02635098707679761</v>
      </c>
      <c r="BK46" s="718" t="e">
        <f t="shared" si="115"/>
        <v>#DIV/0!</v>
      </c>
      <c r="BL46" s="718"/>
      <c r="BM46" s="718">
        <f t="shared" si="116"/>
        <v>0.0015031948995372882</v>
      </c>
      <c r="BN46" s="719">
        <f t="shared" si="117"/>
        <v>0.03114310456926349</v>
      </c>
      <c r="BO46" s="717">
        <f t="shared" si="118"/>
        <v>0.027729333674396624</v>
      </c>
      <c r="BP46" s="718">
        <f t="shared" si="119"/>
        <v>0.027241445706746262</v>
      </c>
      <c r="BQ46" s="718">
        <f t="shared" si="120"/>
        <v>0.022740187725811656</v>
      </c>
      <c r="BR46" s="718">
        <f t="shared" si="121"/>
        <v>0.029410852993873315</v>
      </c>
      <c r="BS46" s="719">
        <f t="shared" si="122"/>
        <v>0.025639254795285362</v>
      </c>
    </row>
    <row r="47" spans="16:71" ht="16.5" hidden="1">
      <c r="P47" s="641" t="s">
        <v>231</v>
      </c>
      <c r="Q47" s="714">
        <f t="shared" si="73"/>
        <v>0.007040250039355286</v>
      </c>
      <c r="R47" s="715">
        <f t="shared" si="74"/>
        <v>0</v>
      </c>
      <c r="S47" s="715">
        <f t="shared" si="75"/>
        <v>0.018619245551160363</v>
      </c>
      <c r="T47" s="715">
        <f t="shared" si="76"/>
        <v>0.008491360065913098</v>
      </c>
      <c r="U47" s="715">
        <f t="shared" si="77"/>
        <v>0.002465755220649038</v>
      </c>
      <c r="V47" s="715">
        <f t="shared" si="78"/>
        <v>0.014035242346285693</v>
      </c>
      <c r="W47" s="715">
        <f t="shared" si="79"/>
        <v>0.0030809402487808816</v>
      </c>
      <c r="X47" s="715"/>
      <c r="Y47" s="715">
        <f t="shared" si="80"/>
        <v>0.0018978706141188956</v>
      </c>
      <c r="Z47" s="716">
        <f t="shared" si="81"/>
        <v>0.012637666293501063</v>
      </c>
      <c r="AA47" s="717">
        <f t="shared" si="82"/>
        <v>0.006244010552545798</v>
      </c>
      <c r="AB47" s="718">
        <f t="shared" si="83"/>
        <v>0.008671874087623602</v>
      </c>
      <c r="AC47" s="718">
        <f t="shared" si="84"/>
        <v>0.018166924196096956</v>
      </c>
      <c r="AD47" s="718">
        <f t="shared" si="85"/>
        <v>0.005590370057152793</v>
      </c>
      <c r="AE47" s="718">
        <f t="shared" si="86"/>
        <v>0.00040438875790072817</v>
      </c>
      <c r="AF47" s="718">
        <f t="shared" si="87"/>
        <v>0.013680305154561917</v>
      </c>
      <c r="AG47" s="718" t="e">
        <f t="shared" si="88"/>
        <v>#VALUE!</v>
      </c>
      <c r="AH47" s="718"/>
      <c r="AI47" s="718">
        <f t="shared" si="89"/>
        <v>0.0017904236808982414</v>
      </c>
      <c r="AJ47" s="719">
        <f t="shared" si="90"/>
        <v>0.016690580384118057</v>
      </c>
      <c r="AK47" s="729">
        <f t="shared" si="91"/>
        <v>0.00608595665365717</v>
      </c>
      <c r="AL47" s="718">
        <f t="shared" si="92"/>
        <v>0.002306708191721696</v>
      </c>
      <c r="AM47" s="718">
        <f t="shared" si="93"/>
        <v>0.01627362096832164</v>
      </c>
      <c r="AN47" s="718">
        <f t="shared" si="94"/>
        <v>0.006101939226525987</v>
      </c>
      <c r="AO47" s="718">
        <f t="shared" si="95"/>
        <v>0</v>
      </c>
      <c r="AP47" s="718">
        <f t="shared" si="96"/>
        <v>0.011492559274288492</v>
      </c>
      <c r="AQ47" s="692"/>
      <c r="AR47" s="692"/>
      <c r="AS47" s="718">
        <f t="shared" si="97"/>
        <v>0.001281702674751673</v>
      </c>
      <c r="AT47" s="719">
        <f t="shared" si="98"/>
        <v>0.009278391127930802</v>
      </c>
      <c r="AU47" s="714">
        <f t="shared" si="99"/>
        <v>0.009755354706563368</v>
      </c>
      <c r="AV47" s="715">
        <f t="shared" si="100"/>
        <v>0.007770557517509023</v>
      </c>
      <c r="AW47" s="715">
        <f t="shared" si="101"/>
        <v>0.018154151443676988</v>
      </c>
      <c r="AX47" s="715">
        <f t="shared" si="102"/>
        <v>0.0071106519531359885</v>
      </c>
      <c r="AY47" s="715">
        <f t="shared" si="103"/>
        <v>0</v>
      </c>
      <c r="AZ47" s="715">
        <f t="shared" si="104"/>
        <v>0.014912359253423641</v>
      </c>
      <c r="BA47" s="715">
        <f t="shared" si="105"/>
        <v>0.005714082282784872</v>
      </c>
      <c r="BB47" s="715">
        <f t="shared" si="106"/>
        <v>0</v>
      </c>
      <c r="BC47" s="715">
        <f t="shared" si="107"/>
        <v>7.234772257022194E-05</v>
      </c>
      <c r="BD47" s="716">
        <f t="shared" si="108"/>
        <v>0.015804328998290783</v>
      </c>
      <c r="BE47" s="717">
        <f t="shared" si="109"/>
        <v>0.005282079318937074</v>
      </c>
      <c r="BF47" s="718">
        <f t="shared" si="110"/>
        <v>0</v>
      </c>
      <c r="BG47" s="718">
        <f t="shared" si="111"/>
        <v>0.017470630342795647</v>
      </c>
      <c r="BH47" s="718">
        <f t="shared" si="112"/>
        <v>0.005154256935855914</v>
      </c>
      <c r="BI47" s="718">
        <f t="shared" si="113"/>
        <v>0.0016946258427013858</v>
      </c>
      <c r="BJ47" s="718">
        <f t="shared" si="114"/>
        <v>0.012314214059258309</v>
      </c>
      <c r="BK47" s="718" t="e">
        <f t="shared" si="115"/>
        <v>#DIV/0!</v>
      </c>
      <c r="BL47" s="718"/>
      <c r="BM47" s="718">
        <f t="shared" si="116"/>
        <v>0.0004734802649878948</v>
      </c>
      <c r="BN47" s="719">
        <f t="shared" si="117"/>
        <v>0.014085919866443709</v>
      </c>
      <c r="BO47" s="717">
        <f t="shared" si="118"/>
        <v>0.012633745033101912</v>
      </c>
      <c r="BP47" s="718">
        <f t="shared" si="119"/>
        <v>0.012421592008267491</v>
      </c>
      <c r="BQ47" s="718">
        <f t="shared" si="120"/>
        <v>0.01028959624826359</v>
      </c>
      <c r="BR47" s="718">
        <f t="shared" si="121"/>
        <v>0.013228458346035867</v>
      </c>
      <c r="BS47" s="719">
        <f t="shared" si="122"/>
        <v>0.011206020851632564</v>
      </c>
    </row>
    <row r="48" spans="16:71" ht="12.75" hidden="1">
      <c r="P48" s="641" t="s">
        <v>233</v>
      </c>
      <c r="Q48" s="714">
        <f t="shared" si="73"/>
        <v>9.391853899565443E-05</v>
      </c>
      <c r="R48" s="715">
        <f t="shared" si="74"/>
        <v>0.000213153215606922</v>
      </c>
      <c r="S48" s="715">
        <f t="shared" si="75"/>
        <v>0.03169690903018858</v>
      </c>
      <c r="T48" s="715">
        <f t="shared" si="76"/>
        <v>0.005307732915895124</v>
      </c>
      <c r="U48" s="715">
        <f t="shared" si="77"/>
        <v>0</v>
      </c>
      <c r="V48" s="715">
        <f t="shared" si="78"/>
        <v>0.01423125678931549</v>
      </c>
      <c r="W48" s="715">
        <f t="shared" si="79"/>
        <v>0</v>
      </c>
      <c r="X48" s="715"/>
      <c r="Y48" s="715">
        <f t="shared" si="80"/>
        <v>0.003656382369563009</v>
      </c>
      <c r="Z48" s="716">
        <f t="shared" si="81"/>
        <v>0.0005490417686952967</v>
      </c>
      <c r="AA48" s="717">
        <f t="shared" si="82"/>
        <v>0.012087007918157396</v>
      </c>
      <c r="AB48" s="718">
        <f t="shared" si="83"/>
        <v>0</v>
      </c>
      <c r="AC48" s="718">
        <f t="shared" si="84"/>
        <v>0.03586185262523536</v>
      </c>
      <c r="AD48" s="718">
        <f t="shared" si="85"/>
        <v>0.0074532749134686984</v>
      </c>
      <c r="AE48" s="718">
        <f t="shared" si="86"/>
        <v>1.9584472573323194E-05</v>
      </c>
      <c r="AF48" s="718">
        <f t="shared" si="87"/>
        <v>0.017117417537497317</v>
      </c>
      <c r="AG48" s="718" t="e">
        <f t="shared" si="88"/>
        <v>#VALUE!</v>
      </c>
      <c r="AH48" s="718"/>
      <c r="AI48" s="718">
        <f t="shared" si="89"/>
        <v>5.2056434951513504E-05</v>
      </c>
      <c r="AJ48" s="719">
        <f t="shared" si="90"/>
        <v>0.008273884158274953</v>
      </c>
      <c r="AK48" s="729">
        <f t="shared" si="91"/>
        <v>0.0042413915390302</v>
      </c>
      <c r="AL48" s="718">
        <f t="shared" si="92"/>
        <v>0</v>
      </c>
      <c r="AM48" s="718">
        <f t="shared" si="93"/>
        <v>0.026131813743730636</v>
      </c>
      <c r="AN48" s="718">
        <f t="shared" si="94"/>
        <v>0.0019667904807044445</v>
      </c>
      <c r="AO48" s="718">
        <f t="shared" si="95"/>
        <v>0</v>
      </c>
      <c r="AP48" s="718">
        <f t="shared" si="96"/>
        <v>0.013342564645603126</v>
      </c>
      <c r="AQ48" s="696"/>
      <c r="AR48" s="696"/>
      <c r="AS48" s="718">
        <f t="shared" si="97"/>
        <v>3.400022214652915E-05</v>
      </c>
      <c r="AT48" s="719">
        <f t="shared" si="98"/>
        <v>0.004940885051067299</v>
      </c>
      <c r="AU48" s="714">
        <f t="shared" si="99"/>
        <v>0.009799014555757624</v>
      </c>
      <c r="AV48" s="715">
        <f t="shared" si="100"/>
        <v>0</v>
      </c>
      <c r="AW48" s="715">
        <f t="shared" si="101"/>
        <v>0.03439904373249938</v>
      </c>
      <c r="AX48" s="715">
        <f t="shared" si="102"/>
        <v>0.0067937894625690895</v>
      </c>
      <c r="AY48" s="715">
        <f t="shared" si="103"/>
        <v>0</v>
      </c>
      <c r="AZ48" s="715">
        <f t="shared" si="104"/>
        <v>0.025362568213198426</v>
      </c>
      <c r="BA48" s="715">
        <f t="shared" si="105"/>
        <v>0.0018936272682326628</v>
      </c>
      <c r="BB48" s="715">
        <f t="shared" si="106"/>
        <v>0</v>
      </c>
      <c r="BC48" s="715">
        <f t="shared" si="107"/>
        <v>6.731668603497633E-06</v>
      </c>
      <c r="BD48" s="716">
        <f t="shared" si="108"/>
        <v>0.017225127402019234</v>
      </c>
      <c r="BE48" s="717">
        <f t="shared" si="109"/>
        <v>0.006377726269776819</v>
      </c>
      <c r="BF48" s="718">
        <f t="shared" si="110"/>
        <v>0</v>
      </c>
      <c r="BG48" s="718">
        <f t="shared" si="111"/>
        <v>0.036346579689452915</v>
      </c>
      <c r="BH48" s="718">
        <f t="shared" si="112"/>
        <v>0.003193318050748594</v>
      </c>
      <c r="BI48" s="718">
        <f t="shared" si="113"/>
        <v>0</v>
      </c>
      <c r="BJ48" s="718">
        <f t="shared" si="114"/>
        <v>0.012706229192224396</v>
      </c>
      <c r="BK48" s="718" t="e">
        <f t="shared" si="115"/>
        <v>#DIV/0!</v>
      </c>
      <c r="BL48" s="718"/>
      <c r="BM48" s="718">
        <f t="shared" si="116"/>
        <v>0.00038096014807330705</v>
      </c>
      <c r="BN48" s="719">
        <f t="shared" si="117"/>
        <v>0.005445590934795232</v>
      </c>
      <c r="BO48" s="717">
        <f t="shared" si="118"/>
        <v>0.015084893692141554</v>
      </c>
      <c r="BP48" s="718">
        <f t="shared" si="119"/>
        <v>0.021689858571277122</v>
      </c>
      <c r="BQ48" s="718">
        <f t="shared" si="120"/>
        <v>0.013162635138270887</v>
      </c>
      <c r="BR48" s="718">
        <f t="shared" si="121"/>
        <v>0.021278913042325737</v>
      </c>
      <c r="BS48" s="719">
        <f t="shared" si="122"/>
        <v>0.018566262925085758</v>
      </c>
    </row>
    <row r="49" spans="16:71" ht="16.5" hidden="1">
      <c r="P49" s="641" t="s">
        <v>234</v>
      </c>
      <c r="Q49" s="714">
        <f t="shared" si="73"/>
        <v>0</v>
      </c>
      <c r="R49" s="715">
        <f t="shared" si="74"/>
        <v>0</v>
      </c>
      <c r="S49" s="715">
        <f t="shared" si="75"/>
        <v>0</v>
      </c>
      <c r="T49" s="715">
        <f t="shared" si="76"/>
        <v>0</v>
      </c>
      <c r="U49" s="715">
        <f t="shared" si="77"/>
        <v>0</v>
      </c>
      <c r="V49" s="715">
        <f t="shared" si="78"/>
        <v>0</v>
      </c>
      <c r="W49" s="715">
        <f t="shared" si="79"/>
        <v>0</v>
      </c>
      <c r="X49" s="715"/>
      <c r="Y49" s="715">
        <f t="shared" si="80"/>
        <v>0</v>
      </c>
      <c r="Z49" s="716">
        <f t="shared" si="81"/>
        <v>0</v>
      </c>
      <c r="AA49" s="717">
        <f t="shared" si="82"/>
        <v>0</v>
      </c>
      <c r="AB49" s="718">
        <f t="shared" si="83"/>
        <v>0</v>
      </c>
      <c r="AC49" s="718">
        <f t="shared" si="84"/>
        <v>0</v>
      </c>
      <c r="AD49" s="718">
        <f t="shared" si="85"/>
        <v>0</v>
      </c>
      <c r="AE49" s="718">
        <f t="shared" si="86"/>
        <v>0</v>
      </c>
      <c r="AF49" s="718">
        <f t="shared" si="87"/>
        <v>0</v>
      </c>
      <c r="AG49" s="718" t="e">
        <f t="shared" si="88"/>
        <v>#VALUE!</v>
      </c>
      <c r="AH49" s="718"/>
      <c r="AI49" s="718">
        <f t="shared" si="89"/>
        <v>0</v>
      </c>
      <c r="AJ49" s="719">
        <f t="shared" si="90"/>
        <v>0.0016227472298583428</v>
      </c>
      <c r="AK49" s="729">
        <f t="shared" si="91"/>
        <v>0</v>
      </c>
      <c r="AL49" s="718">
        <f t="shared" si="92"/>
        <v>0</v>
      </c>
      <c r="AM49" s="718">
        <f t="shared" si="93"/>
        <v>0</v>
      </c>
      <c r="AN49" s="718">
        <f t="shared" si="94"/>
        <v>0</v>
      </c>
      <c r="AO49" s="718">
        <f t="shared" si="95"/>
        <v>0</v>
      </c>
      <c r="AP49" s="718">
        <f t="shared" si="96"/>
        <v>0</v>
      </c>
      <c r="AQ49" s="692"/>
      <c r="AR49" s="692"/>
      <c r="AS49" s="718">
        <f t="shared" si="97"/>
        <v>0</v>
      </c>
      <c r="AT49" s="719">
        <f t="shared" si="98"/>
        <v>0</v>
      </c>
      <c r="AU49" s="714">
        <f t="shared" si="99"/>
        <v>0</v>
      </c>
      <c r="AV49" s="715">
        <f t="shared" si="100"/>
        <v>0</v>
      </c>
      <c r="AW49" s="715">
        <f t="shared" si="101"/>
        <v>0</v>
      </c>
      <c r="AX49" s="715">
        <f t="shared" si="102"/>
        <v>0</v>
      </c>
      <c r="AY49" s="715">
        <f t="shared" si="103"/>
        <v>0</v>
      </c>
      <c r="AZ49" s="715">
        <f t="shared" si="104"/>
        <v>0</v>
      </c>
      <c r="BA49" s="715">
        <f t="shared" si="105"/>
        <v>0</v>
      </c>
      <c r="BB49" s="715">
        <f t="shared" si="106"/>
        <v>0</v>
      </c>
      <c r="BC49" s="715">
        <f t="shared" si="107"/>
        <v>0</v>
      </c>
      <c r="BD49" s="716">
        <f t="shared" si="108"/>
        <v>0</v>
      </c>
      <c r="BE49" s="717">
        <f t="shared" si="109"/>
        <v>0</v>
      </c>
      <c r="BF49" s="718">
        <f t="shared" si="110"/>
        <v>0</v>
      </c>
      <c r="BG49" s="718">
        <f t="shared" si="111"/>
        <v>0</v>
      </c>
      <c r="BH49" s="718">
        <f t="shared" si="112"/>
        <v>0</v>
      </c>
      <c r="BI49" s="718">
        <f t="shared" si="113"/>
        <v>0</v>
      </c>
      <c r="BJ49" s="718">
        <f t="shared" si="114"/>
        <v>0.0003433298364814264</v>
      </c>
      <c r="BK49" s="718" t="e">
        <f t="shared" si="115"/>
        <v>#DIV/0!</v>
      </c>
      <c r="BL49" s="718"/>
      <c r="BM49" s="718">
        <f t="shared" si="116"/>
        <v>0</v>
      </c>
      <c r="BN49" s="719">
        <f t="shared" si="117"/>
        <v>0</v>
      </c>
      <c r="BO49" s="717">
        <f t="shared" si="118"/>
        <v>0</v>
      </c>
      <c r="BP49" s="718">
        <f t="shared" si="119"/>
        <v>9.19389025463516E-05</v>
      </c>
      <c r="BQ49" s="718">
        <f t="shared" si="120"/>
        <v>0</v>
      </c>
      <c r="BR49" s="718">
        <f t="shared" si="121"/>
        <v>0</v>
      </c>
      <c r="BS49" s="719">
        <f t="shared" si="122"/>
        <v>2.202361375477215E-05</v>
      </c>
    </row>
    <row r="50" spans="16:71" ht="16.5" hidden="1">
      <c r="P50" s="641" t="s">
        <v>235</v>
      </c>
      <c r="Q50" s="714">
        <f t="shared" si="73"/>
        <v>0</v>
      </c>
      <c r="R50" s="715">
        <f t="shared" si="74"/>
        <v>0</v>
      </c>
      <c r="S50" s="715">
        <f t="shared" si="75"/>
        <v>0</v>
      </c>
      <c r="T50" s="715">
        <f t="shared" si="76"/>
        <v>0</v>
      </c>
      <c r="U50" s="715">
        <f t="shared" si="77"/>
        <v>0</v>
      </c>
      <c r="V50" s="715">
        <f t="shared" si="78"/>
        <v>0</v>
      </c>
      <c r="W50" s="715">
        <f t="shared" si="79"/>
        <v>0</v>
      </c>
      <c r="X50" s="715"/>
      <c r="Y50" s="715">
        <f t="shared" si="80"/>
        <v>0</v>
      </c>
      <c r="Z50" s="716">
        <f t="shared" si="81"/>
        <v>0</v>
      </c>
      <c r="AA50" s="717">
        <f t="shared" si="82"/>
        <v>0</v>
      </c>
      <c r="AB50" s="718">
        <f t="shared" si="83"/>
        <v>0</v>
      </c>
      <c r="AC50" s="718">
        <f t="shared" si="84"/>
        <v>0</v>
      </c>
      <c r="AD50" s="718">
        <f t="shared" si="85"/>
        <v>0</v>
      </c>
      <c r="AE50" s="718">
        <f t="shared" si="86"/>
        <v>0</v>
      </c>
      <c r="AF50" s="718">
        <f t="shared" si="87"/>
        <v>0</v>
      </c>
      <c r="AG50" s="718" t="e">
        <f t="shared" si="88"/>
        <v>#VALUE!</v>
      </c>
      <c r="AH50" s="718"/>
      <c r="AI50" s="718">
        <f t="shared" si="89"/>
        <v>0</v>
      </c>
      <c r="AJ50" s="719">
        <f t="shared" si="90"/>
        <v>0</v>
      </c>
      <c r="AK50" s="729">
        <f t="shared" si="91"/>
        <v>0</v>
      </c>
      <c r="AL50" s="718">
        <f t="shared" si="92"/>
        <v>0</v>
      </c>
      <c r="AM50" s="718">
        <f t="shared" si="93"/>
        <v>0</v>
      </c>
      <c r="AN50" s="718">
        <f t="shared" si="94"/>
        <v>0</v>
      </c>
      <c r="AO50" s="718">
        <f t="shared" si="95"/>
        <v>0</v>
      </c>
      <c r="AP50" s="718">
        <f t="shared" si="96"/>
        <v>0</v>
      </c>
      <c r="AQ50" s="692"/>
      <c r="AR50" s="692"/>
      <c r="AS50" s="718">
        <f t="shared" si="97"/>
        <v>0</v>
      </c>
      <c r="AT50" s="719">
        <f t="shared" si="98"/>
        <v>0</v>
      </c>
      <c r="AU50" s="714">
        <f t="shared" si="99"/>
        <v>0</v>
      </c>
      <c r="AV50" s="715">
        <f t="shared" si="100"/>
        <v>0</v>
      </c>
      <c r="AW50" s="715">
        <f t="shared" si="101"/>
        <v>0</v>
      </c>
      <c r="AX50" s="715">
        <f t="shared" si="102"/>
        <v>0</v>
      </c>
      <c r="AY50" s="715">
        <f t="shared" si="103"/>
        <v>0</v>
      </c>
      <c r="AZ50" s="715">
        <f t="shared" si="104"/>
        <v>0</v>
      </c>
      <c r="BA50" s="715">
        <f t="shared" si="105"/>
        <v>0</v>
      </c>
      <c r="BB50" s="715">
        <f t="shared" si="106"/>
        <v>0</v>
      </c>
      <c r="BC50" s="715">
        <f t="shared" si="107"/>
        <v>0</v>
      </c>
      <c r="BD50" s="716">
        <f t="shared" si="108"/>
        <v>0</v>
      </c>
      <c r="BE50" s="717">
        <f t="shared" si="109"/>
        <v>0</v>
      </c>
      <c r="BF50" s="718">
        <f t="shared" si="110"/>
        <v>0</v>
      </c>
      <c r="BG50" s="718">
        <f t="shared" si="111"/>
        <v>0</v>
      </c>
      <c r="BH50" s="718">
        <f t="shared" si="112"/>
        <v>0</v>
      </c>
      <c r="BI50" s="718">
        <f t="shared" si="113"/>
        <v>0</v>
      </c>
      <c r="BJ50" s="718">
        <f t="shared" si="114"/>
        <v>0</v>
      </c>
      <c r="BK50" s="718" t="e">
        <f t="shared" si="115"/>
        <v>#DIV/0!</v>
      </c>
      <c r="BL50" s="718"/>
      <c r="BM50" s="718">
        <f t="shared" si="116"/>
        <v>0</v>
      </c>
      <c r="BN50" s="719">
        <f t="shared" si="117"/>
        <v>0</v>
      </c>
      <c r="BO50" s="717">
        <f t="shared" si="118"/>
        <v>0</v>
      </c>
      <c r="BP50" s="718">
        <f t="shared" si="119"/>
        <v>0</v>
      </c>
      <c r="BQ50" s="718">
        <f t="shared" si="120"/>
        <v>0</v>
      </c>
      <c r="BR50" s="718">
        <f t="shared" si="121"/>
        <v>0</v>
      </c>
      <c r="BS50" s="719">
        <f t="shared" si="122"/>
        <v>0</v>
      </c>
    </row>
    <row r="51" spans="16:71" ht="12.75" hidden="1">
      <c r="P51" s="641" t="s">
        <v>222</v>
      </c>
      <c r="Q51" s="714">
        <f t="shared" si="73"/>
        <v>0.1325836498455575</v>
      </c>
      <c r="R51" s="715">
        <f t="shared" si="74"/>
        <v>0</v>
      </c>
      <c r="S51" s="715">
        <f t="shared" si="75"/>
        <v>0</v>
      </c>
      <c r="T51" s="715">
        <f t="shared" si="76"/>
        <v>0</v>
      </c>
      <c r="U51" s="715">
        <f t="shared" si="77"/>
        <v>0</v>
      </c>
      <c r="V51" s="715">
        <f t="shared" si="78"/>
        <v>0</v>
      </c>
      <c r="W51" s="715">
        <f t="shared" si="79"/>
        <v>0</v>
      </c>
      <c r="X51" s="715"/>
      <c r="Y51" s="715">
        <f t="shared" si="80"/>
        <v>0</v>
      </c>
      <c r="Z51" s="716">
        <f t="shared" si="81"/>
        <v>0</v>
      </c>
      <c r="AA51" s="717">
        <f t="shared" si="82"/>
        <v>0</v>
      </c>
      <c r="AB51" s="718">
        <f t="shared" si="83"/>
        <v>0</v>
      </c>
      <c r="AC51" s="718">
        <f t="shared" si="84"/>
        <v>0</v>
      </c>
      <c r="AD51" s="718">
        <f t="shared" si="85"/>
        <v>0</v>
      </c>
      <c r="AE51" s="718">
        <f t="shared" si="86"/>
        <v>0</v>
      </c>
      <c r="AF51" s="718">
        <f t="shared" si="87"/>
        <v>0</v>
      </c>
      <c r="AG51" s="718" t="e">
        <f t="shared" si="88"/>
        <v>#VALUE!</v>
      </c>
      <c r="AH51" s="718"/>
      <c r="AI51" s="718">
        <f t="shared" si="89"/>
        <v>0</v>
      </c>
      <c r="AJ51" s="719">
        <f t="shared" si="90"/>
        <v>0</v>
      </c>
      <c r="AK51" s="729">
        <f t="shared" si="91"/>
        <v>0</v>
      </c>
      <c r="AL51" s="718">
        <f t="shared" si="92"/>
        <v>0</v>
      </c>
      <c r="AM51" s="718">
        <f t="shared" si="93"/>
        <v>0</v>
      </c>
      <c r="AN51" s="718">
        <f t="shared" si="94"/>
        <v>0</v>
      </c>
      <c r="AO51" s="718">
        <f t="shared" si="95"/>
        <v>0</v>
      </c>
      <c r="AP51" s="718">
        <f t="shared" si="96"/>
        <v>0</v>
      </c>
      <c r="AQ51" s="692"/>
      <c r="AR51" s="692"/>
      <c r="AS51" s="718">
        <f t="shared" si="97"/>
        <v>0</v>
      </c>
      <c r="AT51" s="719">
        <f t="shared" si="98"/>
        <v>0</v>
      </c>
      <c r="AU51" s="714">
        <f t="shared" si="99"/>
        <v>0</v>
      </c>
      <c r="AV51" s="715">
        <f t="shared" si="100"/>
        <v>0</v>
      </c>
      <c r="AW51" s="715">
        <f t="shared" si="101"/>
        <v>0</v>
      </c>
      <c r="AX51" s="715">
        <f t="shared" si="102"/>
        <v>0</v>
      </c>
      <c r="AY51" s="715">
        <f t="shared" si="103"/>
        <v>0</v>
      </c>
      <c r="AZ51" s="715">
        <f t="shared" si="104"/>
        <v>0</v>
      </c>
      <c r="BA51" s="715">
        <f t="shared" si="105"/>
        <v>0</v>
      </c>
      <c r="BB51" s="715">
        <f t="shared" si="106"/>
        <v>0</v>
      </c>
      <c r="BC51" s="715">
        <f t="shared" si="107"/>
        <v>0</v>
      </c>
      <c r="BD51" s="716">
        <f t="shared" si="108"/>
        <v>0</v>
      </c>
      <c r="BE51" s="717">
        <f t="shared" si="109"/>
        <v>0</v>
      </c>
      <c r="BF51" s="718">
        <f t="shared" si="110"/>
        <v>0</v>
      </c>
      <c r="BG51" s="718">
        <f t="shared" si="111"/>
        <v>0</v>
      </c>
      <c r="BH51" s="718">
        <f t="shared" si="112"/>
        <v>0</v>
      </c>
      <c r="BI51" s="718">
        <f t="shared" si="113"/>
        <v>0</v>
      </c>
      <c r="BJ51" s="718">
        <f t="shared" si="114"/>
        <v>0</v>
      </c>
      <c r="BK51" s="718" t="e">
        <f t="shared" si="115"/>
        <v>#DIV/0!</v>
      </c>
      <c r="BL51" s="718"/>
      <c r="BM51" s="718">
        <f t="shared" si="116"/>
        <v>0</v>
      </c>
      <c r="BN51" s="719">
        <f t="shared" si="117"/>
        <v>0</v>
      </c>
      <c r="BO51" s="717">
        <f t="shared" si="118"/>
        <v>0.03318298712714281</v>
      </c>
      <c r="BP51" s="718">
        <f t="shared" si="119"/>
        <v>0</v>
      </c>
      <c r="BQ51" s="718">
        <f t="shared" si="120"/>
        <v>0</v>
      </c>
      <c r="BR51" s="718">
        <f t="shared" si="121"/>
        <v>0</v>
      </c>
      <c r="BS51" s="719">
        <f t="shared" si="122"/>
        <v>0</v>
      </c>
    </row>
    <row r="52" spans="16:71" ht="12.75" hidden="1">
      <c r="P52" s="641" t="s">
        <v>236</v>
      </c>
      <c r="Q52" s="714">
        <f t="shared" si="73"/>
        <v>0.07965916671307874</v>
      </c>
      <c r="R52" s="715">
        <f t="shared" si="74"/>
        <v>0.09590428051745387</v>
      </c>
      <c r="S52" s="715">
        <f t="shared" si="75"/>
        <v>0.11053486846748156</v>
      </c>
      <c r="T52" s="715">
        <f t="shared" si="76"/>
        <v>0.1117175377886809</v>
      </c>
      <c r="U52" s="715">
        <f t="shared" si="77"/>
        <v>0.10456297384001967</v>
      </c>
      <c r="V52" s="715">
        <f t="shared" si="78"/>
        <v>0.10038239680821028</v>
      </c>
      <c r="W52" s="715">
        <f t="shared" si="79"/>
        <v>0.10415537853198527</v>
      </c>
      <c r="X52" s="715"/>
      <c r="Y52" s="715">
        <f t="shared" si="80"/>
        <v>0.09464111161015813</v>
      </c>
      <c r="Z52" s="716">
        <f t="shared" si="81"/>
        <v>0.10179499881487061</v>
      </c>
      <c r="AA52" s="717">
        <f t="shared" si="82"/>
        <v>0.08741241367269523</v>
      </c>
      <c r="AB52" s="718">
        <f t="shared" si="83"/>
        <v>0.09237542047711096</v>
      </c>
      <c r="AC52" s="718">
        <f t="shared" si="84"/>
        <v>0.1022848347472989</v>
      </c>
      <c r="AD52" s="718">
        <f t="shared" si="85"/>
        <v>0.10074201117465219</v>
      </c>
      <c r="AE52" s="718">
        <f t="shared" si="86"/>
        <v>0.0991212997969641</v>
      </c>
      <c r="AF52" s="718">
        <f t="shared" si="87"/>
        <v>0.0955491619435511</v>
      </c>
      <c r="AG52" s="718" t="e">
        <f t="shared" si="88"/>
        <v>#VALUE!</v>
      </c>
      <c r="AH52" s="718"/>
      <c r="AI52" s="718">
        <f t="shared" si="89"/>
        <v>0.09948764482753618</v>
      </c>
      <c r="AJ52" s="719">
        <f t="shared" si="90"/>
        <v>0.09326330472280023</v>
      </c>
      <c r="AK52" s="729">
        <f t="shared" si="91"/>
        <v>0.08802234161832878</v>
      </c>
      <c r="AL52" s="718">
        <f t="shared" si="92"/>
        <v>0.08983643048214725</v>
      </c>
      <c r="AM52" s="718">
        <f t="shared" si="93"/>
        <v>0.09516087898188742</v>
      </c>
      <c r="AN52" s="718">
        <f t="shared" si="94"/>
        <v>0.08872797209938911</v>
      </c>
      <c r="AO52" s="718">
        <f t="shared" si="95"/>
        <v>0.12709438705739065</v>
      </c>
      <c r="AP52" s="718">
        <f t="shared" si="96"/>
        <v>0.08936895303458052</v>
      </c>
      <c r="AQ52" s="692"/>
      <c r="AR52" s="692"/>
      <c r="AS52" s="718">
        <f t="shared" si="97"/>
        <v>0.09575052715758936</v>
      </c>
      <c r="AT52" s="719">
        <f t="shared" si="98"/>
        <v>0.09028459418240158</v>
      </c>
      <c r="AU52" s="714">
        <f t="shared" si="99"/>
        <v>0.08207778670430925</v>
      </c>
      <c r="AV52" s="715">
        <f t="shared" si="100"/>
        <v>0.10126937988263081</v>
      </c>
      <c r="AW52" s="715">
        <f t="shared" si="101"/>
        <v>0.09683832384727785</v>
      </c>
      <c r="AX52" s="715">
        <f t="shared" si="102"/>
        <v>0.09704203238830415</v>
      </c>
      <c r="AY52" s="715">
        <f t="shared" si="103"/>
        <v>0.11714554967526229</v>
      </c>
      <c r="AZ52" s="715">
        <f t="shared" si="104"/>
        <v>0.10032129060937904</v>
      </c>
      <c r="BA52" s="715">
        <f t="shared" si="105"/>
        <v>0.10431990220659178</v>
      </c>
      <c r="BB52" s="715" t="e">
        <f t="shared" si="106"/>
        <v>#DIV/0!</v>
      </c>
      <c r="BC52" s="715">
        <f t="shared" si="107"/>
        <v>0.10064021711402737</v>
      </c>
      <c r="BD52" s="716">
        <f t="shared" si="108"/>
        <v>0.08868055977419921</v>
      </c>
      <c r="BE52" s="717">
        <f t="shared" si="109"/>
        <v>0.08057689360950261</v>
      </c>
      <c r="BF52" s="718">
        <f t="shared" si="110"/>
        <v>0.07953651980727562</v>
      </c>
      <c r="BG52" s="718">
        <f t="shared" si="111"/>
        <v>0.10066704359196567</v>
      </c>
      <c r="BH52" s="718">
        <f t="shared" si="112"/>
        <v>0.10523487912425633</v>
      </c>
      <c r="BI52" s="718">
        <f t="shared" si="113"/>
        <v>0.11546417648461703</v>
      </c>
      <c r="BJ52" s="718">
        <f t="shared" si="114"/>
        <v>0.09933861868979284</v>
      </c>
      <c r="BK52" s="718" t="e">
        <f t="shared" si="115"/>
        <v>#DIV/0!</v>
      </c>
      <c r="BL52" s="718"/>
      <c r="BM52" s="718">
        <f t="shared" si="116"/>
        <v>0.09508335248699643</v>
      </c>
      <c r="BN52" s="719">
        <f t="shared" si="117"/>
        <v>0.10061546581913687</v>
      </c>
      <c r="BO52" s="717">
        <f t="shared" si="118"/>
        <v>0.10008037518256294</v>
      </c>
      <c r="BP52" s="718">
        <f t="shared" si="119"/>
        <v>0.09694914553689116</v>
      </c>
      <c r="BQ52" s="718">
        <f t="shared" si="120"/>
        <v>0.09263545740349804</v>
      </c>
      <c r="BR52" s="718">
        <f t="shared" si="121"/>
        <v>0.09341801464392147</v>
      </c>
      <c r="BS52" s="719">
        <f t="shared" si="122"/>
        <v>0.09524021958842668</v>
      </c>
    </row>
    <row r="53" spans="16:71" ht="12.75" hidden="1">
      <c r="P53" s="641" t="s">
        <v>226</v>
      </c>
      <c r="Q53" s="714">
        <f t="shared" si="73"/>
        <v>0.08397137323465552</v>
      </c>
      <c r="R53" s="715">
        <f t="shared" si="74"/>
        <v>0.12208203758829847</v>
      </c>
      <c r="S53" s="715">
        <f t="shared" si="75"/>
        <v>0.006905829166387055</v>
      </c>
      <c r="T53" s="715">
        <f t="shared" si="76"/>
        <v>0.012107053447355841</v>
      </c>
      <c r="U53" s="715">
        <f t="shared" si="77"/>
        <v>0.06144612688509781</v>
      </c>
      <c r="V53" s="715">
        <f t="shared" si="78"/>
        <v>0.013336336123465764</v>
      </c>
      <c r="W53" s="715">
        <f t="shared" si="79"/>
        <v>0.020377725003746697</v>
      </c>
      <c r="X53" s="715"/>
      <c r="Y53" s="715">
        <f t="shared" si="80"/>
        <v>0.19100490211073054</v>
      </c>
      <c r="Z53" s="716">
        <f t="shared" si="81"/>
        <v>0.0524716367590145</v>
      </c>
      <c r="AA53" s="717">
        <f t="shared" si="82"/>
        <v>0.03306226040899066</v>
      </c>
      <c r="AB53" s="718">
        <f t="shared" si="83"/>
        <v>0.12712044384908544</v>
      </c>
      <c r="AC53" s="718">
        <f t="shared" si="84"/>
        <v>0.007101803660274001</v>
      </c>
      <c r="AD53" s="718">
        <f t="shared" si="85"/>
        <v>0.012341824777360866</v>
      </c>
      <c r="AE53" s="718">
        <f t="shared" si="86"/>
        <v>0.033949224194779824</v>
      </c>
      <c r="AF53" s="718">
        <f t="shared" si="87"/>
        <v>0.000727225405252407</v>
      </c>
      <c r="AG53" s="718" t="e">
        <f t="shared" si="88"/>
        <v>#VALUE!</v>
      </c>
      <c r="AH53" s="718"/>
      <c r="AI53" s="718">
        <f t="shared" si="89"/>
        <v>0.1041343133998101</v>
      </c>
      <c r="AJ53" s="719">
        <f t="shared" si="90"/>
        <v>0.0002789862096130566</v>
      </c>
      <c r="AK53" s="729">
        <f t="shared" si="91"/>
        <v>0.0052064487186740255</v>
      </c>
      <c r="AL53" s="718">
        <f t="shared" si="92"/>
        <v>0.008678424201698048</v>
      </c>
      <c r="AM53" s="718">
        <f t="shared" si="93"/>
        <v>0.0008902854142078052</v>
      </c>
      <c r="AN53" s="718">
        <f t="shared" si="94"/>
        <v>0.0002974907171878063</v>
      </c>
      <c r="AO53" s="718">
        <f t="shared" si="95"/>
        <v>0.0025169825953867504</v>
      </c>
      <c r="AP53" s="718">
        <f t="shared" si="96"/>
        <v>0.0013248558081028182</v>
      </c>
      <c r="AQ53" s="692"/>
      <c r="AR53" s="692"/>
      <c r="AS53" s="718">
        <f t="shared" si="97"/>
        <v>0.0496776717282075</v>
      </c>
      <c r="AT53" s="719">
        <f t="shared" si="98"/>
        <v>0.0014786204794737295</v>
      </c>
      <c r="AU53" s="714">
        <f t="shared" si="99"/>
        <v>0.03416706944805595</v>
      </c>
      <c r="AV53" s="715">
        <f t="shared" si="100"/>
        <v>0.17834295859867835</v>
      </c>
      <c r="AW53" s="715">
        <f t="shared" si="101"/>
        <v>0.0055382777407386305</v>
      </c>
      <c r="AX53" s="715">
        <f t="shared" si="102"/>
        <v>0.007856330665496845</v>
      </c>
      <c r="AY53" s="715">
        <f t="shared" si="103"/>
        <v>0.11439236993826782</v>
      </c>
      <c r="AZ53" s="715">
        <f t="shared" si="104"/>
        <v>0.0035897885634456443</v>
      </c>
      <c r="BA53" s="715">
        <f t="shared" si="105"/>
        <v>0.015370221331187168</v>
      </c>
      <c r="BB53" s="715">
        <f t="shared" si="106"/>
        <v>0</v>
      </c>
      <c r="BC53" s="715">
        <f t="shared" si="107"/>
        <v>0.18893334939485842</v>
      </c>
      <c r="BD53" s="716">
        <f t="shared" si="108"/>
        <v>0.049327297884246446</v>
      </c>
      <c r="BE53" s="717">
        <f t="shared" si="109"/>
        <v>0.19591324685208641</v>
      </c>
      <c r="BF53" s="718">
        <f t="shared" si="110"/>
        <v>0.1346293621261851</v>
      </c>
      <c r="BG53" s="718">
        <f t="shared" si="111"/>
        <v>0.04054782328537436</v>
      </c>
      <c r="BH53" s="718">
        <f t="shared" si="112"/>
        <v>0.047399828269384825</v>
      </c>
      <c r="BI53" s="718">
        <f t="shared" si="113"/>
        <v>0.08220386836752859</v>
      </c>
      <c r="BJ53" s="718">
        <f t="shared" si="114"/>
        <v>0.046644664946312156</v>
      </c>
      <c r="BK53" s="718" t="e">
        <f t="shared" si="115"/>
        <v>#DIV/0!</v>
      </c>
      <c r="BL53" s="718"/>
      <c r="BM53" s="718">
        <f t="shared" si="116"/>
        <v>0.13607421895245467</v>
      </c>
      <c r="BN53" s="719">
        <f t="shared" si="117"/>
        <v>0.06949211938210893</v>
      </c>
      <c r="BO53" s="717">
        <f t="shared" si="118"/>
        <v>0.04385261241184527</v>
      </c>
      <c r="BP53" s="718">
        <f t="shared" si="119"/>
        <v>0.019905290881196226</v>
      </c>
      <c r="BQ53" s="718">
        <f t="shared" si="120"/>
        <v>0.005597296341334197</v>
      </c>
      <c r="BR53" s="718">
        <f t="shared" si="121"/>
        <v>0.0304877657338989</v>
      </c>
      <c r="BS53" s="719">
        <f t="shared" si="122"/>
        <v>0.09341854179234343</v>
      </c>
    </row>
    <row r="54" spans="16:71" ht="13.5" hidden="1" thickBot="1">
      <c r="P54" s="731" t="s">
        <v>228</v>
      </c>
      <c r="Q54" s="732">
        <f t="shared" si="73"/>
        <v>0.052654601295643755</v>
      </c>
      <c r="R54" s="733">
        <f t="shared" si="74"/>
        <v>0.1183098123322824</v>
      </c>
      <c r="S54" s="733">
        <f t="shared" si="75"/>
        <v>0.00948231055983358</v>
      </c>
      <c r="T54" s="733">
        <f t="shared" si="76"/>
        <v>0.02017176682856612</v>
      </c>
      <c r="U54" s="733">
        <f t="shared" si="77"/>
        <v>0.04434238879518874</v>
      </c>
      <c r="V54" s="733">
        <f t="shared" si="78"/>
        <v>0.011234475186119721</v>
      </c>
      <c r="W54" s="733">
        <f t="shared" si="79"/>
        <v>0.004323115409888983</v>
      </c>
      <c r="X54" s="733"/>
      <c r="Y54" s="733">
        <f t="shared" si="80"/>
        <v>0.05258135272005213</v>
      </c>
      <c r="Z54" s="734">
        <f t="shared" si="81"/>
        <v>0.03874846505504737</v>
      </c>
      <c r="AA54" s="735">
        <f t="shared" si="82"/>
        <v>0.13326540601997797</v>
      </c>
      <c r="AB54" s="736">
        <f t="shared" si="83"/>
        <v>0.034792169577548375</v>
      </c>
      <c r="AC54" s="736">
        <f t="shared" si="84"/>
        <v>0.009183881997580867</v>
      </c>
      <c r="AD54" s="736">
        <f t="shared" si="85"/>
        <v>0.026413314311951867</v>
      </c>
      <c r="AE54" s="736">
        <f t="shared" si="86"/>
        <v>0.006896182404881429</v>
      </c>
      <c r="AF54" s="736">
        <f t="shared" si="87"/>
        <v>0.0058848455537998026</v>
      </c>
      <c r="AG54" s="736" t="e">
        <f t="shared" si="88"/>
        <v>#VALUE!</v>
      </c>
      <c r="AH54" s="736"/>
      <c r="AI54" s="736">
        <f t="shared" si="89"/>
        <v>0.06886402101087244</v>
      </c>
      <c r="AJ54" s="737">
        <f t="shared" si="90"/>
        <v>0.03430776361457859</v>
      </c>
      <c r="AK54" s="738">
        <f t="shared" si="91"/>
        <v>0.16180326132230607</v>
      </c>
      <c r="AL54" s="736">
        <f t="shared" si="92"/>
        <v>0.07107504232195702</v>
      </c>
      <c r="AM54" s="736">
        <f t="shared" si="93"/>
        <v>0.02140899400087786</v>
      </c>
      <c r="AN54" s="736">
        <f t="shared" si="94"/>
        <v>0.04720963799555514</v>
      </c>
      <c r="AO54" s="736">
        <f t="shared" si="95"/>
        <v>0</v>
      </c>
      <c r="AP54" s="736">
        <f t="shared" si="96"/>
        <v>0.04382157430801275</v>
      </c>
      <c r="AQ54" s="739"/>
      <c r="AR54" s="739"/>
      <c r="AS54" s="736">
        <f t="shared" si="97"/>
        <v>0.0979859977219851</v>
      </c>
      <c r="AT54" s="737">
        <f t="shared" si="98"/>
        <v>0.03533173938772922</v>
      </c>
      <c r="AU54" s="732">
        <f t="shared" si="99"/>
        <v>0.12105745985699078</v>
      </c>
      <c r="AV54" s="733">
        <f t="shared" si="100"/>
        <v>0.01804910801308199</v>
      </c>
      <c r="AW54" s="733">
        <f t="shared" si="101"/>
        <v>0.007658459456332344</v>
      </c>
      <c r="AX54" s="733">
        <f t="shared" si="102"/>
        <v>0.008931592030166352</v>
      </c>
      <c r="AY54" s="733">
        <f t="shared" si="103"/>
        <v>0.027526569151682372</v>
      </c>
      <c r="AZ54" s="733">
        <f t="shared" si="104"/>
        <v>0.0019292484725498078</v>
      </c>
      <c r="BA54" s="733">
        <f t="shared" si="105"/>
        <v>0.013040187778704013</v>
      </c>
      <c r="BB54" s="733">
        <f t="shared" si="106"/>
        <v>0</v>
      </c>
      <c r="BC54" s="733">
        <f t="shared" si="107"/>
        <v>0.06276352711090956</v>
      </c>
      <c r="BD54" s="734">
        <f t="shared" si="108"/>
        <v>0.0037256613828957636</v>
      </c>
      <c r="BE54" s="735">
        <f t="shared" si="109"/>
        <v>0.020476837815378422</v>
      </c>
      <c r="BF54" s="736">
        <f t="shared" si="110"/>
        <v>0.02217918887537827</v>
      </c>
      <c r="BG54" s="736">
        <f t="shared" si="111"/>
        <v>0.011073685805171605</v>
      </c>
      <c r="BH54" s="736">
        <f t="shared" si="112"/>
        <v>0.010948888264883858</v>
      </c>
      <c r="BI54" s="736">
        <f t="shared" si="113"/>
        <v>0.017194827742270914</v>
      </c>
      <c r="BJ54" s="736">
        <f t="shared" si="114"/>
        <v>0.016356500756978972</v>
      </c>
      <c r="BK54" s="736" t="e">
        <f t="shared" si="115"/>
        <v>#DIV/0!</v>
      </c>
      <c r="BL54" s="736"/>
      <c r="BM54" s="736">
        <f t="shared" si="116"/>
        <v>0.05138661526888615</v>
      </c>
      <c r="BN54" s="737">
        <f t="shared" si="117"/>
        <v>0.01841696758917241</v>
      </c>
      <c r="BO54" s="735">
        <f t="shared" si="118"/>
        <v>0.028116421010028356</v>
      </c>
      <c r="BP54" s="736">
        <f t="shared" si="119"/>
        <v>0.04709786072815355</v>
      </c>
      <c r="BQ54" s="736">
        <f t="shared" si="120"/>
        <v>0.06840027573952767</v>
      </c>
      <c r="BR54" s="736">
        <f t="shared" si="121"/>
        <v>0.04182359772599019</v>
      </c>
      <c r="BS54" s="737">
        <f t="shared" si="122"/>
        <v>0.016956594002641424</v>
      </c>
    </row>
    <row r="55" ht="12.75" hidden="1">
      <c r="P55" s="740"/>
    </row>
    <row r="56" ht="12.75" hidden="1">
      <c r="P56" s="740"/>
    </row>
    <row r="57" ht="12.75" hidden="1">
      <c r="P57" s="740"/>
    </row>
    <row r="58" ht="12.75" hidden="1">
      <c r="P58" s="740"/>
    </row>
    <row r="59" ht="12.75" hidden="1">
      <c r="P59" s="740"/>
    </row>
    <row r="60" ht="12.75" hidden="1">
      <c r="P60" s="740"/>
    </row>
    <row r="61" ht="13.5" thickBot="1">
      <c r="P61" s="740"/>
    </row>
    <row r="62" spans="1:16" s="609" customFormat="1" ht="25.5" customHeight="1" thickBot="1">
      <c r="A62" s="1760" t="s">
        <v>239</v>
      </c>
      <c r="B62" s="1751" t="s">
        <v>269</v>
      </c>
      <c r="C62" s="1752"/>
      <c r="D62" s="1752"/>
      <c r="E62" s="1752"/>
      <c r="F62" s="1752"/>
      <c r="G62" s="1752"/>
      <c r="H62" s="1752"/>
      <c r="I62" s="1752"/>
      <c r="J62" s="1752"/>
      <c r="K62" s="1753"/>
      <c r="P62" s="741"/>
    </row>
    <row r="63" spans="1:16" ht="36.75" customHeight="1" thickBot="1">
      <c r="A63" s="1761"/>
      <c r="B63" s="1754" t="s">
        <v>207</v>
      </c>
      <c r="C63" s="1757"/>
      <c r="D63" s="1756" t="s">
        <v>22</v>
      </c>
      <c r="E63" s="1757"/>
      <c r="F63" s="1756" t="s">
        <v>21</v>
      </c>
      <c r="G63" s="1757"/>
      <c r="H63" s="1756" t="s">
        <v>20</v>
      </c>
      <c r="I63" s="1758"/>
      <c r="J63" s="1756" t="s">
        <v>205</v>
      </c>
      <c r="K63" s="1759"/>
      <c r="P63" s="740"/>
    </row>
    <row r="64" spans="1:16" s="609" customFormat="1" ht="24" customHeight="1" thickBot="1">
      <c r="A64" s="622" t="s">
        <v>213</v>
      </c>
      <c r="B64" s="623">
        <f>+S23</f>
        <v>19414.43294533621</v>
      </c>
      <c r="C64" s="697" t="s">
        <v>214</v>
      </c>
      <c r="D64" s="625">
        <f>+AC23</f>
        <v>19458.150798746174</v>
      </c>
      <c r="E64" s="624" t="s">
        <v>214</v>
      </c>
      <c r="F64" s="625">
        <f>+AM23</f>
        <v>20206.332254584686</v>
      </c>
      <c r="G64" s="624" t="s">
        <v>214</v>
      </c>
      <c r="H64" s="625">
        <f>+AW23</f>
        <v>19519.263535062888</v>
      </c>
      <c r="I64" s="624" t="s">
        <v>214</v>
      </c>
      <c r="J64" s="625">
        <f>+BG23</f>
        <v>19532.190290529492</v>
      </c>
      <c r="K64" s="626" t="s">
        <v>214</v>
      </c>
      <c r="P64" s="741"/>
    </row>
    <row r="65" spans="1:16" ht="12.75">
      <c r="A65" s="742" t="s">
        <v>216</v>
      </c>
      <c r="B65" s="743">
        <f>+S24</f>
        <v>13822.775470133609</v>
      </c>
      <c r="C65" s="744">
        <f aca="true" t="shared" si="123" ref="C65:C72">+B65/$B$64</f>
        <v>0.7119845070444951</v>
      </c>
      <c r="D65" s="745">
        <f>+AC24</f>
        <v>14005.900745244659</v>
      </c>
      <c r="E65" s="746">
        <f aca="true" t="shared" si="124" ref="E65:E72">+D65/$D$64</f>
        <v>0.7197960839190926</v>
      </c>
      <c r="F65" s="745">
        <f>+AM24</f>
        <v>14605.995304270577</v>
      </c>
      <c r="G65" s="746">
        <f aca="true" t="shared" si="125" ref="G65:G72">+F65/$F$64</f>
        <v>0.7228424792904496</v>
      </c>
      <c r="H65" s="745">
        <f>+AW24</f>
        <v>14632.644201152516</v>
      </c>
      <c r="I65" s="746">
        <f aca="true" t="shared" si="126" ref="I65:I72">+H65/$H$64</f>
        <v>0.7496514494446765</v>
      </c>
      <c r="J65" s="745">
        <f>+BG24</f>
        <v>14050.854819100323</v>
      </c>
      <c r="K65" s="747">
        <f aca="true" t="shared" si="127" ref="K65:K72">+J65/$J$64</f>
        <v>0.7193691342395488</v>
      </c>
      <c r="P65" s="740"/>
    </row>
    <row r="66" spans="1:16" ht="12.75">
      <c r="A66" s="748" t="s">
        <v>218</v>
      </c>
      <c r="B66" s="749">
        <f>+S28</f>
        <v>457.88490722488183</v>
      </c>
      <c r="C66" s="744">
        <f t="shared" si="123"/>
        <v>0.023584768533498487</v>
      </c>
      <c r="D66" s="750">
        <f>+AC28</f>
        <v>594.9515024484812</v>
      </c>
      <c r="E66" s="746">
        <f t="shared" si="124"/>
        <v>0.030575952905392126</v>
      </c>
      <c r="F66" s="750">
        <f>+AM28</f>
        <v>729.1398565898852</v>
      </c>
      <c r="G66" s="746">
        <f t="shared" si="125"/>
        <v>0.036084720740175304</v>
      </c>
      <c r="H66" s="750">
        <f>+AW28</f>
        <v>284.97204482185884</v>
      </c>
      <c r="I66" s="746">
        <f t="shared" si="126"/>
        <v>0.014599528527803173</v>
      </c>
      <c r="J66" s="750">
        <f>+BG28</f>
        <v>17.278958621557035</v>
      </c>
      <c r="K66" s="747">
        <f t="shared" si="127"/>
        <v>0.000884640092306239</v>
      </c>
      <c r="P66" s="740"/>
    </row>
    <row r="67" spans="1:16" ht="12.75">
      <c r="A67" s="650" t="s">
        <v>220</v>
      </c>
      <c r="B67" s="749">
        <f>+S29</f>
        <v>169.0167480209018</v>
      </c>
      <c r="C67" s="744">
        <f t="shared" si="123"/>
        <v>0.008705726739317588</v>
      </c>
      <c r="D67" s="750">
        <f>+AC29</f>
        <v>66.79223787403855</v>
      </c>
      <c r="E67" s="746">
        <f t="shared" si="124"/>
        <v>0.0034326097358821192</v>
      </c>
      <c r="F67" s="750">
        <f>+AM29</f>
        <v>502.88470080588877</v>
      </c>
      <c r="G67" s="746">
        <f t="shared" si="125"/>
        <v>0.024887480541738963</v>
      </c>
      <c r="H67" s="750">
        <f>+AW29</f>
        <v>144.31227142645488</v>
      </c>
      <c r="I67" s="746">
        <f t="shared" si="126"/>
        <v>0.007393325632763938</v>
      </c>
      <c r="J67" s="750">
        <f>+BG29</f>
        <v>14.008929694378066</v>
      </c>
      <c r="K67" s="747">
        <f t="shared" si="127"/>
        <v>0.0007172226711906718</v>
      </c>
      <c r="P67" s="740"/>
    </row>
    <row r="68" spans="1:16" ht="12.75">
      <c r="A68" s="748" t="s">
        <v>222</v>
      </c>
      <c r="B68" s="749">
        <f>+S35</f>
        <v>0</v>
      </c>
      <c r="C68" s="744">
        <f t="shared" si="123"/>
        <v>0</v>
      </c>
      <c r="D68" s="750">
        <f>+AC35</f>
        <v>0</v>
      </c>
      <c r="E68" s="746">
        <f t="shared" si="124"/>
        <v>0</v>
      </c>
      <c r="F68" s="750">
        <f>+AM35</f>
        <v>0</v>
      </c>
      <c r="G68" s="746">
        <f t="shared" si="125"/>
        <v>0</v>
      </c>
      <c r="H68" s="750">
        <f>+AW35</f>
        <v>0</v>
      </c>
      <c r="I68" s="746">
        <f t="shared" si="126"/>
        <v>0</v>
      </c>
      <c r="J68" s="750">
        <f>+BG35</f>
        <v>0</v>
      </c>
      <c r="K68" s="747">
        <f t="shared" si="127"/>
        <v>0</v>
      </c>
      <c r="P68" s="740"/>
    </row>
    <row r="69" spans="1:16" ht="12.75">
      <c r="A69" s="748" t="s">
        <v>224</v>
      </c>
      <c r="B69" s="749">
        <f>+S36</f>
        <v>2145.971791983479</v>
      </c>
      <c r="C69" s="744">
        <f t="shared" si="123"/>
        <v>0.11053486846748156</v>
      </c>
      <c r="D69" s="750">
        <f>+AC36</f>
        <v>1990.2737389377744</v>
      </c>
      <c r="E69" s="746">
        <f t="shared" si="124"/>
        <v>0.1022848347472989</v>
      </c>
      <c r="F69" s="750">
        <f>+AM36</f>
        <v>1922.8523383463419</v>
      </c>
      <c r="G69" s="746">
        <f t="shared" si="125"/>
        <v>0.09516087898188742</v>
      </c>
      <c r="H69" s="750">
        <f>+AW36</f>
        <v>1890.2127634687813</v>
      </c>
      <c r="I69" s="746">
        <f t="shared" si="126"/>
        <v>0.09683832384727785</v>
      </c>
      <c r="J69" s="750">
        <f>+BG36</f>
        <v>1966.247851423301</v>
      </c>
      <c r="K69" s="747">
        <f t="shared" si="127"/>
        <v>0.10066704359196567</v>
      </c>
      <c r="P69" s="740"/>
    </row>
    <row r="70" spans="1:16" ht="12.75">
      <c r="A70" s="748" t="s">
        <v>226</v>
      </c>
      <c r="B70" s="749">
        <f>+S37</f>
        <v>134.07275728276855</v>
      </c>
      <c r="C70" s="744">
        <f t="shared" si="123"/>
        <v>0.006905829166387055</v>
      </c>
      <c r="D70" s="750">
        <f>+AC37</f>
        <v>138.18796656469905</v>
      </c>
      <c r="E70" s="746">
        <f t="shared" si="124"/>
        <v>0.007101803660274001</v>
      </c>
      <c r="F70" s="750">
        <f>+AM37</f>
        <v>17.98940288089346</v>
      </c>
      <c r="G70" s="746">
        <f t="shared" si="125"/>
        <v>0.0008902854142078052</v>
      </c>
      <c r="H70" s="750">
        <f>+AW37</f>
        <v>108.10310275185003</v>
      </c>
      <c r="I70" s="746">
        <f t="shared" si="126"/>
        <v>0.0055382777407386305</v>
      </c>
      <c r="J70" s="750">
        <f>+BG37</f>
        <v>791.9878002766947</v>
      </c>
      <c r="K70" s="747">
        <f t="shared" si="127"/>
        <v>0.04054782328537436</v>
      </c>
      <c r="P70" s="740"/>
    </row>
    <row r="71" spans="1:16" ht="12.75">
      <c r="A71" s="748" t="s">
        <v>228</v>
      </c>
      <c r="B71" s="749">
        <f>+S38</f>
        <v>184.0936825307425</v>
      </c>
      <c r="C71" s="744">
        <f t="shared" si="123"/>
        <v>0.00948231055983358</v>
      </c>
      <c r="D71" s="750">
        <f>+AC38</f>
        <v>178.70136082681873</v>
      </c>
      <c r="E71" s="746">
        <f t="shared" si="124"/>
        <v>0.009183881997580867</v>
      </c>
      <c r="F71" s="750">
        <f>+AM38</f>
        <v>432.5972460181484</v>
      </c>
      <c r="G71" s="746">
        <f t="shared" si="125"/>
        <v>0.02140899400087786</v>
      </c>
      <c r="H71" s="750">
        <f>+AW38</f>
        <v>149.48748840074546</v>
      </c>
      <c r="I71" s="746">
        <f t="shared" si="126"/>
        <v>0.007658459456332344</v>
      </c>
      <c r="J71" s="750">
        <f>+BG38</f>
        <v>216.29333836414708</v>
      </c>
      <c r="K71" s="747">
        <f t="shared" si="127"/>
        <v>0.011073685805171605</v>
      </c>
      <c r="P71" s="740"/>
    </row>
    <row r="72" spans="1:16" ht="12.75">
      <c r="A72" s="748" t="s">
        <v>230</v>
      </c>
      <c r="B72" s="749">
        <f>+S26+S27+S30+S31+S32+S33+S25</f>
        <v>2500.61758815983</v>
      </c>
      <c r="C72" s="744">
        <f t="shared" si="123"/>
        <v>0.1288019894889866</v>
      </c>
      <c r="D72" s="750">
        <f>+AC26+AC27+AC30+AC31+AC32+AC33+AC25</f>
        <v>2483.3432468497044</v>
      </c>
      <c r="E72" s="746">
        <f t="shared" si="124"/>
        <v>0.1276248330344795</v>
      </c>
      <c r="F72" s="750">
        <f>+AM26+AM27+AM30+AM31+AM32+AM33+AM25</f>
        <v>1994.8734056729488</v>
      </c>
      <c r="G72" s="746">
        <f t="shared" si="125"/>
        <v>0.0987251610306628</v>
      </c>
      <c r="H72" s="750">
        <f>+AW26+AW27+AW30+AW31+AW32+AW33+AW25</f>
        <v>2309.5316630406815</v>
      </c>
      <c r="I72" s="746">
        <f t="shared" si="126"/>
        <v>0.11832063535040747</v>
      </c>
      <c r="J72" s="750">
        <f>+BG26+BG27+BG30+BG31+BG32+BG33+BG25</f>
        <v>2475.518593049092</v>
      </c>
      <c r="K72" s="747">
        <f t="shared" si="127"/>
        <v>0.12674045031444264</v>
      </c>
      <c r="P72" s="740"/>
    </row>
    <row r="73" spans="1:16" ht="13.5" thickBot="1">
      <c r="A73" s="751" t="s">
        <v>232</v>
      </c>
      <c r="B73" s="752"/>
      <c r="C73" s="753"/>
      <c r="D73" s="754"/>
      <c r="E73" s="755"/>
      <c r="F73" s="754"/>
      <c r="G73" s="755"/>
      <c r="H73" s="754"/>
      <c r="I73" s="755"/>
      <c r="J73" s="754"/>
      <c r="K73" s="756"/>
      <c r="P73" s="740"/>
    </row>
    <row r="74" spans="1:16" s="609" customFormat="1" ht="17.25" customHeight="1">
      <c r="A74" s="662"/>
      <c r="B74" s="662"/>
      <c r="C74" s="663"/>
      <c r="D74" s="662"/>
      <c r="E74" s="663"/>
      <c r="F74" s="662"/>
      <c r="G74" s="663"/>
      <c r="H74" s="662"/>
      <c r="I74" s="663"/>
      <c r="J74" s="662"/>
      <c r="K74" s="663"/>
      <c r="P74" s="741"/>
    </row>
    <row r="75" spans="1:16" s="609" customFormat="1" ht="17.25" customHeight="1" hidden="1">
      <c r="A75" s="662"/>
      <c r="B75" s="662"/>
      <c r="C75" s="663"/>
      <c r="D75" s="662"/>
      <c r="E75" s="663"/>
      <c r="F75" s="662"/>
      <c r="G75" s="663"/>
      <c r="H75" s="662"/>
      <c r="I75" s="663"/>
      <c r="J75" s="662"/>
      <c r="K75" s="663"/>
      <c r="P75" s="741"/>
    </row>
    <row r="76" spans="1:16" s="609" customFormat="1" ht="17.25" customHeight="1" hidden="1">
      <c r="A76" s="662"/>
      <c r="B76" s="662"/>
      <c r="C76" s="663"/>
      <c r="D76" s="662"/>
      <c r="E76" s="663"/>
      <c r="F76" s="662"/>
      <c r="G76" s="663"/>
      <c r="H76" s="662"/>
      <c r="I76" s="663"/>
      <c r="J76" s="662"/>
      <c r="K76" s="663"/>
      <c r="P76" s="741"/>
    </row>
    <row r="77" spans="1:16" s="609" customFormat="1" ht="17.25" customHeight="1" hidden="1">
      <c r="A77" s="662"/>
      <c r="B77" s="662"/>
      <c r="C77" s="663"/>
      <c r="D77" s="662"/>
      <c r="E77" s="663"/>
      <c r="F77" s="662"/>
      <c r="G77" s="663"/>
      <c r="H77" s="662"/>
      <c r="I77" s="663"/>
      <c r="J77" s="662"/>
      <c r="K77" s="663"/>
      <c r="P77" s="741"/>
    </row>
    <row r="78" spans="1:16" s="609" customFormat="1" ht="17.25" customHeight="1" hidden="1">
      <c r="A78" s="662"/>
      <c r="B78" s="662"/>
      <c r="C78" s="663"/>
      <c r="D78" s="662"/>
      <c r="E78" s="663"/>
      <c r="F78" s="662"/>
      <c r="G78" s="663"/>
      <c r="H78" s="662"/>
      <c r="I78" s="663"/>
      <c r="J78" s="662"/>
      <c r="K78" s="663"/>
      <c r="P78" s="741"/>
    </row>
    <row r="79" spans="1:16" s="609" customFormat="1" ht="17.25" customHeight="1" hidden="1">
      <c r="A79" s="662"/>
      <c r="B79" s="662"/>
      <c r="C79" s="663"/>
      <c r="D79" s="662"/>
      <c r="E79" s="663"/>
      <c r="F79" s="662"/>
      <c r="G79" s="663"/>
      <c r="H79" s="662"/>
      <c r="I79" s="663"/>
      <c r="J79" s="662"/>
      <c r="K79" s="663"/>
      <c r="P79" s="741"/>
    </row>
    <row r="80" spans="1:16" s="609" customFormat="1" ht="17.25" customHeight="1" hidden="1">
      <c r="A80" s="662"/>
      <c r="B80" s="662"/>
      <c r="C80" s="663"/>
      <c r="D80" s="662"/>
      <c r="E80" s="663"/>
      <c r="F80" s="662"/>
      <c r="G80" s="663"/>
      <c r="H80" s="662"/>
      <c r="I80" s="663"/>
      <c r="J80" s="662"/>
      <c r="K80" s="663"/>
      <c r="P80" s="741"/>
    </row>
    <row r="81" spans="1:16" s="609" customFormat="1" ht="17.25" customHeight="1" hidden="1">
      <c r="A81" s="662"/>
      <c r="B81" s="662"/>
      <c r="C81" s="663"/>
      <c r="D81" s="662"/>
      <c r="E81" s="663"/>
      <c r="F81" s="662"/>
      <c r="G81" s="663"/>
      <c r="H81" s="662"/>
      <c r="I81" s="663"/>
      <c r="J81" s="662"/>
      <c r="K81" s="663"/>
      <c r="P81" s="741"/>
    </row>
    <row r="82" spans="1:16" s="609" customFormat="1" ht="17.25" customHeight="1" hidden="1">
      <c r="A82" s="662"/>
      <c r="B82" s="662"/>
      <c r="C82" s="663"/>
      <c r="D82" s="662"/>
      <c r="E82" s="663"/>
      <c r="F82" s="662"/>
      <c r="G82" s="663"/>
      <c r="H82" s="662"/>
      <c r="I82" s="663"/>
      <c r="J82" s="662"/>
      <c r="K82" s="663"/>
      <c r="P82" s="741"/>
    </row>
    <row r="83" spans="1:16" s="609" customFormat="1" ht="17.25" customHeight="1" hidden="1">
      <c r="A83" s="662"/>
      <c r="B83" s="662"/>
      <c r="C83" s="663"/>
      <c r="D83" s="662"/>
      <c r="E83" s="663"/>
      <c r="F83" s="662"/>
      <c r="G83" s="663"/>
      <c r="H83" s="662"/>
      <c r="I83" s="663"/>
      <c r="J83" s="662"/>
      <c r="K83" s="663"/>
      <c r="P83" s="741"/>
    </row>
    <row r="84" spans="1:16" s="609" customFormat="1" ht="17.25" customHeight="1" hidden="1">
      <c r="A84" s="662"/>
      <c r="B84" s="662"/>
      <c r="C84" s="663"/>
      <c r="D84" s="662"/>
      <c r="E84" s="663"/>
      <c r="F84" s="662"/>
      <c r="G84" s="663"/>
      <c r="H84" s="662"/>
      <c r="I84" s="663"/>
      <c r="J84" s="662"/>
      <c r="K84" s="663"/>
      <c r="P84" s="741"/>
    </row>
    <row r="85" spans="1:16" s="609" customFormat="1" ht="17.25" customHeight="1" hidden="1">
      <c r="A85" s="662"/>
      <c r="B85" s="662"/>
      <c r="C85" s="663"/>
      <c r="D85" s="662"/>
      <c r="E85" s="663"/>
      <c r="F85" s="662"/>
      <c r="G85" s="663"/>
      <c r="H85" s="662"/>
      <c r="I85" s="663"/>
      <c r="J85" s="662"/>
      <c r="K85" s="663"/>
      <c r="P85" s="741"/>
    </row>
    <row r="86" spans="1:16" s="609" customFormat="1" ht="17.25" customHeight="1" hidden="1">
      <c r="A86" s="662"/>
      <c r="B86" s="662"/>
      <c r="C86" s="663"/>
      <c r="D86" s="662"/>
      <c r="E86" s="663"/>
      <c r="F86" s="662"/>
      <c r="G86" s="663"/>
      <c r="H86" s="662"/>
      <c r="I86" s="663"/>
      <c r="J86" s="662"/>
      <c r="K86" s="663"/>
      <c r="P86" s="741"/>
    </row>
    <row r="87" spans="1:16" s="609" customFormat="1" ht="17.25" customHeight="1" hidden="1">
      <c r="A87" s="662"/>
      <c r="B87" s="662"/>
      <c r="C87" s="663"/>
      <c r="D87" s="662"/>
      <c r="E87" s="663"/>
      <c r="F87" s="662"/>
      <c r="G87" s="663"/>
      <c r="H87" s="662"/>
      <c r="I87" s="663"/>
      <c r="J87" s="662"/>
      <c r="K87" s="663"/>
      <c r="P87" s="741"/>
    </row>
    <row r="88" spans="1:16" s="609" customFormat="1" ht="17.25" customHeight="1" thickBot="1">
      <c r="A88" s="662"/>
      <c r="B88" s="662"/>
      <c r="C88" s="663"/>
      <c r="D88" s="662"/>
      <c r="E88" s="663"/>
      <c r="F88" s="662"/>
      <c r="G88" s="663"/>
      <c r="H88" s="662"/>
      <c r="I88" s="663"/>
      <c r="J88" s="662"/>
      <c r="K88" s="663"/>
      <c r="P88" s="741"/>
    </row>
    <row r="89" spans="1:16" s="609" customFormat="1" ht="16.5" customHeight="1" thickBot="1">
      <c r="A89" s="1760" t="s">
        <v>240</v>
      </c>
      <c r="B89" s="1751" t="s">
        <v>269</v>
      </c>
      <c r="C89" s="1752"/>
      <c r="D89" s="1752"/>
      <c r="E89" s="1752"/>
      <c r="F89" s="1752"/>
      <c r="G89" s="1752"/>
      <c r="H89" s="1752"/>
      <c r="I89" s="1752"/>
      <c r="J89" s="1752"/>
      <c r="K89" s="1753"/>
      <c r="P89" s="741"/>
    </row>
    <row r="90" spans="1:16" ht="24" customHeight="1" thickBot="1">
      <c r="A90" s="1761"/>
      <c r="B90" s="1754" t="s">
        <v>207</v>
      </c>
      <c r="C90" s="1757"/>
      <c r="D90" s="1756" t="s">
        <v>22</v>
      </c>
      <c r="E90" s="1757"/>
      <c r="F90" s="1756" t="s">
        <v>21</v>
      </c>
      <c r="G90" s="1757"/>
      <c r="H90" s="1756" t="s">
        <v>20</v>
      </c>
      <c r="I90" s="1758"/>
      <c r="J90" s="1756" t="s">
        <v>205</v>
      </c>
      <c r="K90" s="1759"/>
      <c r="P90" s="740"/>
    </row>
    <row r="91" spans="1:16" s="609" customFormat="1" ht="24" customHeight="1" thickBot="1">
      <c r="A91" s="622" t="s">
        <v>213</v>
      </c>
      <c r="B91" s="623">
        <f>+T23</f>
        <v>20523.523299379463</v>
      </c>
      <c r="C91" s="697" t="s">
        <v>214</v>
      </c>
      <c r="D91" s="625">
        <f>+AD23</f>
        <v>21888.990975826437</v>
      </c>
      <c r="E91" s="624" t="s">
        <v>214</v>
      </c>
      <c r="F91" s="625">
        <f>+AN23</f>
        <v>21287.32458215074</v>
      </c>
      <c r="G91" s="624" t="s">
        <v>214</v>
      </c>
      <c r="H91" s="625">
        <f>+AX23</f>
        <v>22427.026186818814</v>
      </c>
      <c r="I91" s="624" t="s">
        <v>214</v>
      </c>
      <c r="J91" s="625">
        <f>+BH23</f>
        <v>21271.68944392083</v>
      </c>
      <c r="K91" s="626" t="s">
        <v>214</v>
      </c>
      <c r="P91" s="741"/>
    </row>
    <row r="92" spans="1:16" ht="12.75">
      <c r="A92" s="742" t="s">
        <v>216</v>
      </c>
      <c r="B92" s="743">
        <f>+T24</f>
        <v>13475.16830581899</v>
      </c>
      <c r="C92" s="744">
        <f aca="true" t="shared" si="128" ref="C92:C99">+B92/$B$91</f>
        <v>0.6565718814091934</v>
      </c>
      <c r="D92" s="745">
        <f>+AD24</f>
        <v>14571.504886145789</v>
      </c>
      <c r="E92" s="746">
        <f aca="true" t="shared" si="129" ref="E92:E99">+D92/$D$91</f>
        <v>0.6657001641710271</v>
      </c>
      <c r="F92" s="745">
        <f>+AN24</f>
        <v>14152.491327656891</v>
      </c>
      <c r="G92" s="746">
        <f aca="true" t="shared" si="130" ref="G92:G99">+F92/$F$91</f>
        <v>0.6648318473766143</v>
      </c>
      <c r="H92" s="745">
        <f>+AX24</f>
        <v>15326.9182941994</v>
      </c>
      <c r="I92" s="746">
        <f aca="true" t="shared" si="131" ref="I92:I99">+H92/$H$91</f>
        <v>0.6834128683190103</v>
      </c>
      <c r="J92" s="745">
        <f>+BH24</f>
        <v>14111.071839983246</v>
      </c>
      <c r="K92" s="747">
        <f aca="true" t="shared" si="132" ref="K92:K99">+J92/$J$91</f>
        <v>0.6633733478097578</v>
      </c>
      <c r="P92" s="740"/>
    </row>
    <row r="93" spans="1:16" ht="12.75">
      <c r="A93" s="748" t="s">
        <v>218</v>
      </c>
      <c r="B93" s="749">
        <f>+T28</f>
        <v>1880.038929867697</v>
      </c>
      <c r="C93" s="744">
        <f t="shared" si="128"/>
        <v>0.09160410239720101</v>
      </c>
      <c r="D93" s="750">
        <f>+AD28</f>
        <v>2236.4228269509513</v>
      </c>
      <c r="E93" s="746">
        <f t="shared" si="129"/>
        <v>0.10217112471839343</v>
      </c>
      <c r="F93" s="750">
        <f>+AN28</f>
        <v>2167.204746136865</v>
      </c>
      <c r="G93" s="746">
        <f t="shared" si="130"/>
        <v>0.10180728619856953</v>
      </c>
      <c r="H93" s="750">
        <f>+AX28</f>
        <v>2185.1492209787143</v>
      </c>
      <c r="I93" s="746">
        <f t="shared" si="131"/>
        <v>0.09743374813835134</v>
      </c>
      <c r="J93" s="750">
        <f>+BH28</f>
        <v>2037.0941983453765</v>
      </c>
      <c r="K93" s="747">
        <f t="shared" si="132"/>
        <v>0.09576551047888447</v>
      </c>
      <c r="P93" s="740"/>
    </row>
    <row r="94" spans="1:16" ht="12.75">
      <c r="A94" s="650" t="s">
        <v>220</v>
      </c>
      <c r="B94" s="749">
        <f>+T29</f>
        <v>1009.0080201381571</v>
      </c>
      <c r="C94" s="744">
        <f t="shared" si="128"/>
        <v>0.04916348939797607</v>
      </c>
      <c r="D94" s="750">
        <f>+AD29</f>
        <v>988.3480619067658</v>
      </c>
      <c r="E94" s="746">
        <f t="shared" si="129"/>
        <v>0.04515274655639762</v>
      </c>
      <c r="F94" s="750">
        <f>+AN29</f>
        <v>1262.937559129612</v>
      </c>
      <c r="G94" s="746">
        <f t="shared" si="130"/>
        <v>0.05932814874202536</v>
      </c>
      <c r="H94" s="750">
        <f>+AX29</f>
        <v>1049.9615975422428</v>
      </c>
      <c r="I94" s="746">
        <f t="shared" si="131"/>
        <v>0.04681679990900192</v>
      </c>
      <c r="J94" s="750">
        <f>+BH29</f>
        <v>908.2129018745419</v>
      </c>
      <c r="K94" s="747">
        <f t="shared" si="132"/>
        <v>0.042695851886559825</v>
      </c>
      <c r="P94" s="740"/>
    </row>
    <row r="95" spans="1:16" ht="12.75">
      <c r="A95" s="748" t="s">
        <v>222</v>
      </c>
      <c r="B95" s="749">
        <f>+T35</f>
        <v>0</v>
      </c>
      <c r="C95" s="744">
        <f t="shared" si="128"/>
        <v>0</v>
      </c>
      <c r="D95" s="750">
        <f>+AD35</f>
        <v>0</v>
      </c>
      <c r="E95" s="746">
        <f t="shared" si="129"/>
        <v>0</v>
      </c>
      <c r="F95" s="750">
        <f>+AN35</f>
        <v>0</v>
      </c>
      <c r="G95" s="746">
        <f t="shared" si="130"/>
        <v>0</v>
      </c>
      <c r="H95" s="750">
        <f>+AX35</f>
        <v>0</v>
      </c>
      <c r="I95" s="746">
        <f t="shared" si="131"/>
        <v>0</v>
      </c>
      <c r="J95" s="750">
        <f>+BH35</f>
        <v>0</v>
      </c>
      <c r="K95" s="747">
        <f t="shared" si="132"/>
        <v>0</v>
      </c>
      <c r="P95" s="740"/>
    </row>
    <row r="96" spans="1:16" ht="12.75">
      <c r="A96" s="748" t="s">
        <v>224</v>
      </c>
      <c r="B96" s="749">
        <f>+T36</f>
        <v>2292.837489755298</v>
      </c>
      <c r="C96" s="744">
        <f t="shared" si="128"/>
        <v>0.1117175377886809</v>
      </c>
      <c r="D96" s="750">
        <f>+AD36</f>
        <v>2205.140973488568</v>
      </c>
      <c r="E96" s="746">
        <f t="shared" si="129"/>
        <v>0.10074201117465219</v>
      </c>
      <c r="F96" s="750">
        <f>+AN36</f>
        <v>1888.781141595711</v>
      </c>
      <c r="G96" s="746">
        <f t="shared" si="130"/>
        <v>0.08872797209938911</v>
      </c>
      <c r="H96" s="750">
        <f>+AX36</f>
        <v>2176.3642015946166</v>
      </c>
      <c r="I96" s="746">
        <f t="shared" si="131"/>
        <v>0.09704203238830415</v>
      </c>
      <c r="J96" s="750">
        <f>+BH36</f>
        <v>2238.523667399728</v>
      </c>
      <c r="K96" s="747">
        <f t="shared" si="132"/>
        <v>0.10523487912425633</v>
      </c>
      <c r="P96" s="740"/>
    </row>
    <row r="97" spans="1:16" ht="12.75">
      <c r="A97" s="748" t="s">
        <v>226</v>
      </c>
      <c r="B97" s="749">
        <f>+T37</f>
        <v>248.47939351364008</v>
      </c>
      <c r="C97" s="744">
        <f t="shared" si="128"/>
        <v>0.012107053447355841</v>
      </c>
      <c r="D97" s="750">
        <f>+AD37</f>
        <v>270.1500911768831</v>
      </c>
      <c r="E97" s="746">
        <f t="shared" si="129"/>
        <v>0.012341824777360866</v>
      </c>
      <c r="F97" s="750">
        <f>+AN37</f>
        <v>6.332781456953643</v>
      </c>
      <c r="G97" s="746">
        <f t="shared" si="130"/>
        <v>0.0002974907171878063</v>
      </c>
      <c r="H97" s="750">
        <f>+AX37</f>
        <v>176.19413356740543</v>
      </c>
      <c r="I97" s="746">
        <f t="shared" si="131"/>
        <v>0.007856330665496845</v>
      </c>
      <c r="J97" s="750">
        <f>+BH37</f>
        <v>1008.2744266415333</v>
      </c>
      <c r="K97" s="747">
        <f t="shared" si="132"/>
        <v>0.047399828269384825</v>
      </c>
      <c r="P97" s="740"/>
    </row>
    <row r="98" spans="1:16" ht="12.75">
      <c r="A98" s="748" t="s">
        <v>228</v>
      </c>
      <c r="B98" s="749">
        <f>+T38</f>
        <v>413.9957264957265</v>
      </c>
      <c r="C98" s="744">
        <f t="shared" si="128"/>
        <v>0.02017176682856612</v>
      </c>
      <c r="D98" s="750">
        <f>+AD38</f>
        <v>578.1607986159817</v>
      </c>
      <c r="E98" s="746">
        <f t="shared" si="129"/>
        <v>0.026413314311951867</v>
      </c>
      <c r="F98" s="750">
        <f>+AN38</f>
        <v>1004.9668874172185</v>
      </c>
      <c r="G98" s="746">
        <f t="shared" si="130"/>
        <v>0.04720963799555514</v>
      </c>
      <c r="H98" s="750">
        <f>+AX38</f>
        <v>200.309048350523</v>
      </c>
      <c r="I98" s="746">
        <f t="shared" si="131"/>
        <v>0.008931592030166352</v>
      </c>
      <c r="J98" s="750">
        <f>+BH38</f>
        <v>232.9013509267986</v>
      </c>
      <c r="K98" s="747">
        <f t="shared" si="132"/>
        <v>0.010948888264883858</v>
      </c>
      <c r="P98" s="740"/>
    </row>
    <row r="99" spans="1:16" ht="12.75">
      <c r="A99" s="748" t="s">
        <v>230</v>
      </c>
      <c r="B99" s="749">
        <f>+T26+T27+T30+T31+T32+T33+T25</f>
        <v>1203.9954337899544</v>
      </c>
      <c r="C99" s="744">
        <f t="shared" si="128"/>
        <v>0.058664168731026686</v>
      </c>
      <c r="D99" s="750">
        <f>+AD26+AD27+AD30+AD31+AD32+AD33+AD25</f>
        <v>1039.263337541497</v>
      </c>
      <c r="E99" s="746">
        <f t="shared" si="129"/>
        <v>0.04747881429021691</v>
      </c>
      <c r="F99" s="750">
        <f>+AN26+AN27+AN30+AN31+AN32+AN33+AN25</f>
        <v>804.6101387574896</v>
      </c>
      <c r="G99" s="746">
        <f t="shared" si="130"/>
        <v>0.03779761687065875</v>
      </c>
      <c r="H99" s="750">
        <f>+AX26+AX27+AX30+AX31+AX32+AX33+AX25</f>
        <v>1312.1296905859117</v>
      </c>
      <c r="I99" s="746">
        <f t="shared" si="131"/>
        <v>0.05850662854966917</v>
      </c>
      <c r="J99" s="750">
        <f>+BH26+BH27+BH30+BH31+BH32+BH33+BH25</f>
        <v>735.6110587496073</v>
      </c>
      <c r="K99" s="747">
        <f t="shared" si="132"/>
        <v>0.03458169416627297</v>
      </c>
      <c r="P99" s="740"/>
    </row>
    <row r="100" spans="1:16" ht="13.5" thickBot="1">
      <c r="A100" s="751" t="s">
        <v>232</v>
      </c>
      <c r="B100" s="752"/>
      <c r="C100" s="755"/>
      <c r="D100" s="754"/>
      <c r="E100" s="755"/>
      <c r="F100" s="754"/>
      <c r="G100" s="755"/>
      <c r="H100" s="754"/>
      <c r="I100" s="755"/>
      <c r="J100" s="754"/>
      <c r="K100" s="756"/>
      <c r="P100" s="740"/>
    </row>
    <row r="101" spans="1:16" s="609" customFormat="1" ht="17.25" customHeight="1" thickBot="1">
      <c r="A101" s="662"/>
      <c r="B101" s="662"/>
      <c r="C101" s="663"/>
      <c r="D101" s="662"/>
      <c r="E101" s="663"/>
      <c r="F101" s="662"/>
      <c r="G101" s="663"/>
      <c r="H101" s="662"/>
      <c r="I101" s="663"/>
      <c r="J101" s="662"/>
      <c r="K101" s="663"/>
      <c r="P101" s="741"/>
    </row>
    <row r="102" spans="1:16" s="609" customFormat="1" ht="17.25" customHeight="1" hidden="1">
      <c r="A102" s="662"/>
      <c r="B102" s="662"/>
      <c r="C102" s="663"/>
      <c r="D102" s="662"/>
      <c r="E102" s="663"/>
      <c r="F102" s="662"/>
      <c r="G102" s="663"/>
      <c r="H102" s="662"/>
      <c r="I102" s="663"/>
      <c r="J102" s="662"/>
      <c r="K102" s="663"/>
      <c r="P102" s="741"/>
    </row>
    <row r="103" spans="1:16" s="609" customFormat="1" ht="17.25" customHeight="1" hidden="1">
      <c r="A103" s="662"/>
      <c r="B103" s="662"/>
      <c r="C103" s="663"/>
      <c r="D103" s="662"/>
      <c r="E103" s="663"/>
      <c r="F103" s="662"/>
      <c r="G103" s="663"/>
      <c r="H103" s="662"/>
      <c r="I103" s="663"/>
      <c r="J103" s="662"/>
      <c r="K103" s="663"/>
      <c r="P103" s="741"/>
    </row>
    <row r="104" spans="1:16" s="609" customFormat="1" ht="17.25" customHeight="1" hidden="1">
      <c r="A104" s="662"/>
      <c r="B104" s="662"/>
      <c r="C104" s="663"/>
      <c r="D104" s="662"/>
      <c r="E104" s="663"/>
      <c r="F104" s="662"/>
      <c r="G104" s="663"/>
      <c r="H104" s="662"/>
      <c r="I104" s="663"/>
      <c r="J104" s="662"/>
      <c r="K104" s="663"/>
      <c r="P104" s="741"/>
    </row>
    <row r="105" spans="1:16" s="609" customFormat="1" ht="17.25" customHeight="1" hidden="1">
      <c r="A105" s="662"/>
      <c r="B105" s="662"/>
      <c r="C105" s="663"/>
      <c r="D105" s="662"/>
      <c r="E105" s="663"/>
      <c r="F105" s="662"/>
      <c r="G105" s="663"/>
      <c r="H105" s="662"/>
      <c r="I105" s="663"/>
      <c r="J105" s="662"/>
      <c r="K105" s="663"/>
      <c r="P105" s="741"/>
    </row>
    <row r="106" spans="1:16" s="609" customFormat="1" ht="17.25" customHeight="1" hidden="1">
      <c r="A106" s="662"/>
      <c r="B106" s="662"/>
      <c r="C106" s="663"/>
      <c r="D106" s="662"/>
      <c r="E106" s="663"/>
      <c r="F106" s="662"/>
      <c r="G106" s="663"/>
      <c r="H106" s="662"/>
      <c r="I106" s="663"/>
      <c r="J106" s="662"/>
      <c r="K106" s="663"/>
      <c r="P106" s="741"/>
    </row>
    <row r="107" spans="1:16" s="609" customFormat="1" ht="17.25" customHeight="1" hidden="1">
      <c r="A107" s="662"/>
      <c r="B107" s="662"/>
      <c r="C107" s="663"/>
      <c r="D107" s="662"/>
      <c r="E107" s="663"/>
      <c r="F107" s="662"/>
      <c r="G107" s="663"/>
      <c r="H107" s="662"/>
      <c r="I107" s="663"/>
      <c r="J107" s="662"/>
      <c r="K107" s="663"/>
      <c r="P107" s="741"/>
    </row>
    <row r="108" spans="1:16" s="609" customFormat="1" ht="17.25" customHeight="1" hidden="1">
      <c r="A108" s="662"/>
      <c r="B108" s="662"/>
      <c r="C108" s="663"/>
      <c r="D108" s="662"/>
      <c r="E108" s="663"/>
      <c r="F108" s="662"/>
      <c r="G108" s="663"/>
      <c r="H108" s="662"/>
      <c r="I108" s="663"/>
      <c r="J108" s="662"/>
      <c r="K108" s="663"/>
      <c r="P108" s="741"/>
    </row>
    <row r="109" spans="1:16" s="609" customFormat="1" ht="17.25" customHeight="1" hidden="1">
      <c r="A109" s="662"/>
      <c r="B109" s="662"/>
      <c r="C109" s="663"/>
      <c r="D109" s="662"/>
      <c r="E109" s="663"/>
      <c r="F109" s="662"/>
      <c r="G109" s="663"/>
      <c r="H109" s="662"/>
      <c r="I109" s="663"/>
      <c r="J109" s="662"/>
      <c r="K109" s="663"/>
      <c r="P109" s="741"/>
    </row>
    <row r="110" spans="1:16" s="609" customFormat="1" ht="17.25" customHeight="1" hidden="1">
      <c r="A110" s="662"/>
      <c r="B110" s="662"/>
      <c r="C110" s="663"/>
      <c r="D110" s="662"/>
      <c r="E110" s="663"/>
      <c r="F110" s="662"/>
      <c r="G110" s="663"/>
      <c r="H110" s="662"/>
      <c r="I110" s="663"/>
      <c r="J110" s="662"/>
      <c r="K110" s="663"/>
      <c r="P110" s="741"/>
    </row>
    <row r="111" spans="1:16" s="609" customFormat="1" ht="17.25" customHeight="1" hidden="1">
      <c r="A111" s="662"/>
      <c r="B111" s="662"/>
      <c r="C111" s="663"/>
      <c r="D111" s="662"/>
      <c r="E111" s="663"/>
      <c r="F111" s="662"/>
      <c r="G111" s="663"/>
      <c r="H111" s="662"/>
      <c r="I111" s="663"/>
      <c r="J111" s="662"/>
      <c r="K111" s="663"/>
      <c r="P111" s="741"/>
    </row>
    <row r="112" spans="1:11" s="609" customFormat="1" ht="17.25" customHeight="1" hidden="1">
      <c r="A112" s="662"/>
      <c r="B112" s="662"/>
      <c r="C112" s="663"/>
      <c r="D112" s="662"/>
      <c r="E112" s="663"/>
      <c r="F112" s="662"/>
      <c r="G112" s="663"/>
      <c r="H112" s="662"/>
      <c r="I112" s="663"/>
      <c r="J112" s="662"/>
      <c r="K112" s="663"/>
    </row>
    <row r="113" spans="1:11" s="609" customFormat="1" ht="17.25" customHeight="1" hidden="1">
      <c r="A113" s="662"/>
      <c r="B113" s="662"/>
      <c r="C113" s="663"/>
      <c r="D113" s="662"/>
      <c r="E113" s="663"/>
      <c r="F113" s="662"/>
      <c r="G113" s="663"/>
      <c r="H113" s="662"/>
      <c r="I113" s="663"/>
      <c r="J113" s="662"/>
      <c r="K113" s="663"/>
    </row>
    <row r="114" spans="1:11" s="609" customFormat="1" ht="17.25" customHeight="1" hidden="1">
      <c r="A114" s="662"/>
      <c r="B114" s="662"/>
      <c r="C114" s="663"/>
      <c r="D114" s="662"/>
      <c r="E114" s="663"/>
      <c r="F114" s="662"/>
      <c r="G114" s="663"/>
      <c r="H114" s="662"/>
      <c r="I114" s="663"/>
      <c r="J114" s="662"/>
      <c r="K114" s="663"/>
    </row>
    <row r="115" spans="1:11" s="609" customFormat="1" ht="17.25" customHeight="1" hidden="1" thickBot="1">
      <c r="A115" s="662"/>
      <c r="B115" s="662"/>
      <c r="C115" s="663"/>
      <c r="D115" s="662"/>
      <c r="E115" s="663"/>
      <c r="F115" s="662"/>
      <c r="G115" s="663"/>
      <c r="H115" s="662"/>
      <c r="I115" s="663"/>
      <c r="J115" s="662"/>
      <c r="K115" s="663"/>
    </row>
    <row r="116" spans="1:11" s="609" customFormat="1" ht="20.25" customHeight="1" thickBot="1">
      <c r="A116" s="1760" t="s">
        <v>241</v>
      </c>
      <c r="B116" s="1751" t="s">
        <v>269</v>
      </c>
      <c r="C116" s="1752"/>
      <c r="D116" s="1752"/>
      <c r="E116" s="1752"/>
      <c r="F116" s="1752"/>
      <c r="G116" s="1752"/>
      <c r="H116" s="1752"/>
      <c r="I116" s="1752"/>
      <c r="J116" s="1752"/>
      <c r="K116" s="1753"/>
    </row>
    <row r="117" spans="1:11" ht="18" customHeight="1" thickBot="1">
      <c r="A117" s="1761"/>
      <c r="B117" s="1754" t="s">
        <v>207</v>
      </c>
      <c r="C117" s="1757"/>
      <c r="D117" s="1756" t="s">
        <v>22</v>
      </c>
      <c r="E117" s="1757"/>
      <c r="F117" s="1756" t="s">
        <v>21</v>
      </c>
      <c r="G117" s="1757"/>
      <c r="H117" s="1756" t="s">
        <v>20</v>
      </c>
      <c r="I117" s="1758"/>
      <c r="J117" s="1756" t="s">
        <v>205</v>
      </c>
      <c r="K117" s="1759"/>
    </row>
    <row r="118" spans="1:11" s="609" customFormat="1" ht="24" customHeight="1" thickBot="1">
      <c r="A118" s="622" t="s">
        <v>213</v>
      </c>
      <c r="B118" s="623">
        <f>+U23</f>
        <v>21836.952965235174</v>
      </c>
      <c r="C118" s="697" t="s">
        <v>214</v>
      </c>
      <c r="D118" s="625">
        <f>+AE23</f>
        <v>18761.597198300606</v>
      </c>
      <c r="E118" s="624" t="s">
        <v>214</v>
      </c>
      <c r="F118" s="625">
        <f>+AO23</f>
        <v>15880.911395783294</v>
      </c>
      <c r="G118" s="624" t="s">
        <v>214</v>
      </c>
      <c r="H118" s="625">
        <f>+AY23</f>
        <v>20646.56196027634</v>
      </c>
      <c r="I118" s="624" t="s">
        <v>214</v>
      </c>
      <c r="J118" s="625">
        <f>+BI23</f>
        <v>21068.582229018008</v>
      </c>
      <c r="K118" s="626" t="s">
        <v>214</v>
      </c>
    </row>
    <row r="119" spans="1:11" ht="12.75">
      <c r="A119" s="742" t="s">
        <v>216</v>
      </c>
      <c r="B119" s="743">
        <f>+U24</f>
        <v>16033.166325835038</v>
      </c>
      <c r="C119" s="744">
        <f aca="true" t="shared" si="133" ref="C119:C126">+B119/$B$118</f>
        <v>0.7342217731274199</v>
      </c>
      <c r="D119" s="745">
        <f>+AE24</f>
        <v>15617.806292341256</v>
      </c>
      <c r="E119" s="746">
        <f aca="true" t="shared" si="134" ref="E119:E126">+D119/$D$118</f>
        <v>0.8324347936515709</v>
      </c>
      <c r="F119" s="745">
        <f>+AO24</f>
        <v>13512.176407792902</v>
      </c>
      <c r="G119" s="746">
        <f aca="true" t="shared" si="135" ref="G119:G126">+F119/$F$118</f>
        <v>0.8508438886813927</v>
      </c>
      <c r="H119" s="745">
        <f>+AY24</f>
        <v>14930.86139896373</v>
      </c>
      <c r="I119" s="746">
        <f aca="true" t="shared" si="136" ref="I119:I126">+H119/$H$118</f>
        <v>0.7231645359498823</v>
      </c>
      <c r="J119" s="745">
        <f>+BI24</f>
        <v>15771.292048929661</v>
      </c>
      <c r="K119" s="747">
        <f aca="true" t="shared" si="137" ref="K119:K126">+J119/$J$118</f>
        <v>0.7485692144584686</v>
      </c>
    </row>
    <row r="120" spans="1:11" ht="12.75">
      <c r="A120" s="748" t="s">
        <v>218</v>
      </c>
      <c r="B120" s="749">
        <f>+U28</f>
        <v>323.3367416496251</v>
      </c>
      <c r="C120" s="744">
        <f t="shared" si="133"/>
        <v>0.01480686166079961</v>
      </c>
      <c r="D120" s="750">
        <f>+AE28</f>
        <v>180.77850499483293</v>
      </c>
      <c r="E120" s="746">
        <f t="shared" si="134"/>
        <v>0.009635560506075013</v>
      </c>
      <c r="F120" s="750">
        <f>+AO28</f>
        <v>133.07979717107017</v>
      </c>
      <c r="G120" s="746">
        <f t="shared" si="135"/>
        <v>0.008379858929658507</v>
      </c>
      <c r="H120" s="750">
        <f>+AY28</f>
        <v>8.22538860103627</v>
      </c>
      <c r="I120" s="746">
        <f t="shared" si="136"/>
        <v>0.0003983902315969985</v>
      </c>
      <c r="J120" s="750">
        <f>+BI28</f>
        <v>383.83452259599045</v>
      </c>
      <c r="K120" s="747">
        <f t="shared" si="137"/>
        <v>0.01821833659349563</v>
      </c>
    </row>
    <row r="121" spans="1:11" ht="12.75">
      <c r="A121" s="650" t="s">
        <v>220</v>
      </c>
      <c r="B121" s="749">
        <f>+U29</f>
        <v>0</v>
      </c>
      <c r="C121" s="744">
        <f t="shared" si="133"/>
        <v>0</v>
      </c>
      <c r="D121" s="750">
        <f>+AE29</f>
        <v>0</v>
      </c>
      <c r="E121" s="746">
        <f t="shared" si="134"/>
        <v>0</v>
      </c>
      <c r="F121" s="750">
        <f>+AO29</f>
        <v>0</v>
      </c>
      <c r="G121" s="746">
        <f t="shared" si="135"/>
        <v>0</v>
      </c>
      <c r="H121" s="750">
        <f>+AY29</f>
        <v>0</v>
      </c>
      <c r="I121" s="746">
        <f t="shared" si="136"/>
        <v>0</v>
      </c>
      <c r="J121" s="750">
        <f>+BI29</f>
        <v>1.2869520897043831</v>
      </c>
      <c r="K121" s="747">
        <f t="shared" si="137"/>
        <v>6.108394365197715E-05</v>
      </c>
    </row>
    <row r="122" spans="1:11" ht="12.75">
      <c r="A122" s="748" t="s">
        <v>222</v>
      </c>
      <c r="B122" s="749">
        <f>+U35</f>
        <v>0</v>
      </c>
      <c r="C122" s="744">
        <f t="shared" si="133"/>
        <v>0</v>
      </c>
      <c r="D122" s="750">
        <f>+AE35</f>
        <v>0</v>
      </c>
      <c r="E122" s="746">
        <f t="shared" si="134"/>
        <v>0</v>
      </c>
      <c r="F122" s="750">
        <f>+AO35</f>
        <v>0</v>
      </c>
      <c r="G122" s="746">
        <f t="shared" si="135"/>
        <v>0</v>
      </c>
      <c r="H122" s="750">
        <f>+AY35</f>
        <v>0</v>
      </c>
      <c r="I122" s="746">
        <f t="shared" si="136"/>
        <v>0</v>
      </c>
      <c r="J122" s="750">
        <f>+BI35</f>
        <v>0</v>
      </c>
      <c r="K122" s="747">
        <f t="shared" si="137"/>
        <v>0</v>
      </c>
    </row>
    <row r="123" spans="1:11" ht="12.75">
      <c r="A123" s="748" t="s">
        <v>224</v>
      </c>
      <c r="B123" s="749">
        <f>+U36</f>
        <v>2283.3367416496253</v>
      </c>
      <c r="C123" s="744">
        <f t="shared" si="133"/>
        <v>0.10456297384001967</v>
      </c>
      <c r="D123" s="750">
        <f>+AE36</f>
        <v>1859.6739005626362</v>
      </c>
      <c r="E123" s="746">
        <f t="shared" si="134"/>
        <v>0.0991212997969641</v>
      </c>
      <c r="F123" s="750">
        <f>+AO36</f>
        <v>2018.374699759808</v>
      </c>
      <c r="G123" s="746">
        <f t="shared" si="135"/>
        <v>0.12709438705739065</v>
      </c>
      <c r="H123" s="750">
        <f>+AY36</f>
        <v>2418.6528497409327</v>
      </c>
      <c r="I123" s="746">
        <f t="shared" si="136"/>
        <v>0.11714554967526229</v>
      </c>
      <c r="J123" s="750">
        <f>+BI36</f>
        <v>2432.666496772001</v>
      </c>
      <c r="K123" s="747">
        <f t="shared" si="137"/>
        <v>0.11546417648461703</v>
      </c>
    </row>
    <row r="124" spans="1:11" ht="12.75">
      <c r="A124" s="748" t="s">
        <v>226</v>
      </c>
      <c r="B124" s="749">
        <f>+U37</f>
        <v>1341.7961826857534</v>
      </c>
      <c r="C124" s="744">
        <f t="shared" si="133"/>
        <v>0.06144612688509781</v>
      </c>
      <c r="D124" s="750">
        <f>+AE37</f>
        <v>636.9416695372603</v>
      </c>
      <c r="E124" s="746">
        <f t="shared" si="134"/>
        <v>0.033949224194779824</v>
      </c>
      <c r="F124" s="750">
        <f>+AO37</f>
        <v>39.971977582065655</v>
      </c>
      <c r="G124" s="746">
        <f t="shared" si="135"/>
        <v>0.0025169825953867504</v>
      </c>
      <c r="H124" s="750">
        <f>+AY37</f>
        <v>2361.809153713299</v>
      </c>
      <c r="I124" s="746">
        <f t="shared" si="136"/>
        <v>0.11439236993826782</v>
      </c>
      <c r="J124" s="750">
        <f>+BI37</f>
        <v>1731.9189602446484</v>
      </c>
      <c r="K124" s="747">
        <f t="shared" si="137"/>
        <v>0.08220386836752859</v>
      </c>
    </row>
    <row r="125" spans="1:11" ht="12.75">
      <c r="A125" s="748" t="s">
        <v>228</v>
      </c>
      <c r="B125" s="749">
        <f>+U38</f>
        <v>968.3026584867076</v>
      </c>
      <c r="C125" s="744">
        <f t="shared" si="133"/>
        <v>0.04434238879518874</v>
      </c>
      <c r="D125" s="750">
        <f>+AE38</f>
        <v>129.38339648639337</v>
      </c>
      <c r="E125" s="746">
        <f t="shared" si="134"/>
        <v>0.006896182404881429</v>
      </c>
      <c r="F125" s="750">
        <f>+AO38</f>
        <v>0</v>
      </c>
      <c r="G125" s="746">
        <f t="shared" si="135"/>
        <v>0</v>
      </c>
      <c r="H125" s="750">
        <f>+AY38</f>
        <v>568.3290155440415</v>
      </c>
      <c r="I125" s="746">
        <f t="shared" si="136"/>
        <v>0.027526569151682372</v>
      </c>
      <c r="J125" s="750">
        <f>+BI38</f>
        <v>362.27064220183485</v>
      </c>
      <c r="K125" s="747">
        <f t="shared" si="137"/>
        <v>0.017194827742270914</v>
      </c>
    </row>
    <row r="126" spans="1:11" s="609" customFormat="1" ht="12.75">
      <c r="A126" s="748" t="s">
        <v>230</v>
      </c>
      <c r="B126" s="651">
        <f>+U26+U27+U30+U31+U32+U33+U25</f>
        <v>887.0143149284254</v>
      </c>
      <c r="C126" s="744">
        <f t="shared" si="133"/>
        <v>0.04061987569147437</v>
      </c>
      <c r="D126" s="652">
        <f>+AE26+AE27+AE30+AE31+AE32+AE33+AE25</f>
        <v>337.0134343782294</v>
      </c>
      <c r="E126" s="746">
        <f t="shared" si="134"/>
        <v>0.01796293944572883</v>
      </c>
      <c r="F126" s="652">
        <f>+AO26+AO27+AO30+AO31+AO32+AO33+AO25</f>
        <v>177.3085134774486</v>
      </c>
      <c r="G126" s="638">
        <f t="shared" si="135"/>
        <v>0.011164882736171403</v>
      </c>
      <c r="H126" s="652">
        <f>+AY26+AY27+AY30+AY31+AY32+AY33+AY25</f>
        <v>358.68415371329877</v>
      </c>
      <c r="I126" s="638">
        <f t="shared" si="136"/>
        <v>0.01737258505330822</v>
      </c>
      <c r="J126" s="652">
        <f>+BI26+BI27+BI30+BI31+BI32+BI33+BI25</f>
        <v>385.3126061841658</v>
      </c>
      <c r="K126" s="640">
        <f t="shared" si="137"/>
        <v>0.018288492409967206</v>
      </c>
    </row>
    <row r="127" spans="1:11" ht="13.5" thickBot="1">
      <c r="A127" s="751" t="s">
        <v>232</v>
      </c>
      <c r="B127" s="752"/>
      <c r="C127" s="755"/>
      <c r="D127" s="754"/>
      <c r="E127" s="755"/>
      <c r="F127" s="754"/>
      <c r="G127" s="755"/>
      <c r="H127" s="754"/>
      <c r="I127" s="755"/>
      <c r="J127" s="754"/>
      <c r="K127" s="756"/>
    </row>
    <row r="128" spans="1:11" s="609" customFormat="1" ht="17.25" customHeight="1" thickBot="1">
      <c r="A128" s="662"/>
      <c r="B128" s="662"/>
      <c r="C128" s="663"/>
      <c r="D128" s="662"/>
      <c r="E128" s="663"/>
      <c r="F128" s="662"/>
      <c r="G128" s="663"/>
      <c r="H128" s="662"/>
      <c r="I128" s="663"/>
      <c r="J128" s="662"/>
      <c r="K128" s="663"/>
    </row>
    <row r="129" spans="1:11" s="609" customFormat="1" ht="17.25" customHeight="1" hidden="1">
      <c r="A129" s="662"/>
      <c r="B129" s="662"/>
      <c r="C129" s="663"/>
      <c r="D129" s="662"/>
      <c r="E129" s="663"/>
      <c r="F129" s="662"/>
      <c r="G129" s="663"/>
      <c r="H129" s="662"/>
      <c r="I129" s="663"/>
      <c r="J129" s="662"/>
      <c r="K129" s="663"/>
    </row>
    <row r="130" spans="1:11" s="609" customFormat="1" ht="17.25" customHeight="1" hidden="1">
      <c r="A130" s="662"/>
      <c r="B130" s="662"/>
      <c r="C130" s="663"/>
      <c r="D130" s="662"/>
      <c r="E130" s="663"/>
      <c r="F130" s="662"/>
      <c r="G130" s="663"/>
      <c r="H130" s="662"/>
      <c r="I130" s="663"/>
      <c r="J130" s="662"/>
      <c r="K130" s="663"/>
    </row>
    <row r="131" spans="1:11" s="609" customFormat="1" ht="17.25" customHeight="1" hidden="1">
      <c r="A131" s="662"/>
      <c r="B131" s="662"/>
      <c r="C131" s="663"/>
      <c r="D131" s="662"/>
      <c r="E131" s="663"/>
      <c r="F131" s="662"/>
      <c r="G131" s="663"/>
      <c r="H131" s="662"/>
      <c r="I131" s="663"/>
      <c r="J131" s="662"/>
      <c r="K131" s="663"/>
    </row>
    <row r="132" spans="1:11" s="609" customFormat="1" ht="17.25" customHeight="1" hidden="1">
      <c r="A132" s="662"/>
      <c r="B132" s="662"/>
      <c r="C132" s="663"/>
      <c r="D132" s="662"/>
      <c r="E132" s="663"/>
      <c r="F132" s="662"/>
      <c r="G132" s="663"/>
      <c r="H132" s="662"/>
      <c r="I132" s="663"/>
      <c r="J132" s="662"/>
      <c r="K132" s="663"/>
    </row>
    <row r="133" spans="1:11" s="609" customFormat="1" ht="17.25" customHeight="1" hidden="1">
      <c r="A133" s="662"/>
      <c r="B133" s="662"/>
      <c r="C133" s="663"/>
      <c r="D133" s="662"/>
      <c r="E133" s="663"/>
      <c r="F133" s="662"/>
      <c r="G133" s="663"/>
      <c r="H133" s="662"/>
      <c r="I133" s="663"/>
      <c r="J133" s="662"/>
      <c r="K133" s="663"/>
    </row>
    <row r="134" spans="1:11" s="609" customFormat="1" ht="17.25" customHeight="1" hidden="1">
      <c r="A134" s="662"/>
      <c r="B134" s="662"/>
      <c r="C134" s="663"/>
      <c r="D134" s="662"/>
      <c r="E134" s="663"/>
      <c r="F134" s="662"/>
      <c r="G134" s="663"/>
      <c r="H134" s="662"/>
      <c r="I134" s="663"/>
      <c r="J134" s="662"/>
      <c r="K134" s="663"/>
    </row>
    <row r="135" spans="1:11" s="609" customFormat="1" ht="17.25" customHeight="1" hidden="1">
      <c r="A135" s="662"/>
      <c r="B135" s="662"/>
      <c r="C135" s="663"/>
      <c r="D135" s="662"/>
      <c r="E135" s="663"/>
      <c r="F135" s="662"/>
      <c r="G135" s="663"/>
      <c r="H135" s="662"/>
      <c r="I135" s="663"/>
      <c r="J135" s="662"/>
      <c r="K135" s="663"/>
    </row>
    <row r="136" spans="1:11" s="609" customFormat="1" ht="17.25" customHeight="1" hidden="1">
      <c r="A136" s="662"/>
      <c r="B136" s="662"/>
      <c r="C136" s="663"/>
      <c r="D136" s="662"/>
      <c r="E136" s="663"/>
      <c r="F136" s="662"/>
      <c r="G136" s="663"/>
      <c r="H136" s="662"/>
      <c r="I136" s="663"/>
      <c r="J136" s="662"/>
      <c r="K136" s="663"/>
    </row>
    <row r="137" spans="1:11" s="609" customFormat="1" ht="17.25" customHeight="1" hidden="1">
      <c r="A137" s="662"/>
      <c r="B137" s="662"/>
      <c r="C137" s="663"/>
      <c r="D137" s="662"/>
      <c r="E137" s="663"/>
      <c r="F137" s="662"/>
      <c r="G137" s="663"/>
      <c r="H137" s="662"/>
      <c r="I137" s="663"/>
      <c r="J137" s="662"/>
      <c r="K137" s="663"/>
    </row>
    <row r="138" spans="1:11" s="609" customFormat="1" ht="17.25" customHeight="1" hidden="1">
      <c r="A138" s="662"/>
      <c r="B138" s="662"/>
      <c r="C138" s="663"/>
      <c r="D138" s="662"/>
      <c r="E138" s="663"/>
      <c r="F138" s="662"/>
      <c r="G138" s="663"/>
      <c r="H138" s="662"/>
      <c r="I138" s="663"/>
      <c r="J138" s="662"/>
      <c r="K138" s="663"/>
    </row>
    <row r="139" spans="1:11" s="609" customFormat="1" ht="17.25" customHeight="1" hidden="1">
      <c r="A139" s="662"/>
      <c r="B139" s="662"/>
      <c r="C139" s="663"/>
      <c r="D139" s="662"/>
      <c r="E139" s="663"/>
      <c r="F139" s="662"/>
      <c r="G139" s="663"/>
      <c r="H139" s="662"/>
      <c r="I139" s="663"/>
      <c r="J139" s="662"/>
      <c r="K139" s="663"/>
    </row>
    <row r="140" spans="1:11" s="609" customFormat="1" ht="17.25" customHeight="1" hidden="1">
      <c r="A140" s="662"/>
      <c r="B140" s="662"/>
      <c r="C140" s="663"/>
      <c r="D140" s="662"/>
      <c r="E140" s="663"/>
      <c r="F140" s="662"/>
      <c r="G140" s="663"/>
      <c r="H140" s="662"/>
      <c r="I140" s="663"/>
      <c r="J140" s="662"/>
      <c r="K140" s="663"/>
    </row>
    <row r="141" spans="1:11" s="609" customFormat="1" ht="17.25" customHeight="1" hidden="1">
      <c r="A141" s="662"/>
      <c r="B141" s="662"/>
      <c r="C141" s="663"/>
      <c r="D141" s="662"/>
      <c r="E141" s="663"/>
      <c r="F141" s="662"/>
      <c r="G141" s="663"/>
      <c r="H141" s="662"/>
      <c r="I141" s="663"/>
      <c r="J141" s="662"/>
      <c r="K141" s="663"/>
    </row>
    <row r="142" spans="1:11" s="609" customFormat="1" ht="17.25" customHeight="1" hidden="1" thickBot="1">
      <c r="A142" s="662"/>
      <c r="B142" s="662"/>
      <c r="C142" s="663"/>
      <c r="D142" s="662"/>
      <c r="E142" s="663"/>
      <c r="F142" s="662"/>
      <c r="G142" s="663"/>
      <c r="H142" s="662"/>
      <c r="I142" s="663"/>
      <c r="J142" s="662"/>
      <c r="K142" s="663"/>
    </row>
    <row r="143" spans="1:11" s="609" customFormat="1" ht="21" customHeight="1" thickBot="1">
      <c r="A143" s="1762" t="s">
        <v>242</v>
      </c>
      <c r="B143" s="1751" t="s">
        <v>269</v>
      </c>
      <c r="C143" s="1752"/>
      <c r="D143" s="1752"/>
      <c r="E143" s="1752"/>
      <c r="F143" s="1752"/>
      <c r="G143" s="1752"/>
      <c r="H143" s="1752"/>
      <c r="I143" s="1752"/>
      <c r="J143" s="1752"/>
      <c r="K143" s="1753"/>
    </row>
    <row r="144" spans="1:11" ht="23.25" customHeight="1" thickBot="1">
      <c r="A144" s="1763"/>
      <c r="B144" s="1754" t="s">
        <v>207</v>
      </c>
      <c r="C144" s="1755"/>
      <c r="D144" s="1756" t="s">
        <v>22</v>
      </c>
      <c r="E144" s="1757"/>
      <c r="F144" s="1756" t="s">
        <v>21</v>
      </c>
      <c r="G144" s="1757"/>
      <c r="H144" s="1756" t="s">
        <v>20</v>
      </c>
      <c r="I144" s="1758"/>
      <c r="J144" s="1756" t="s">
        <v>205</v>
      </c>
      <c r="K144" s="1759"/>
    </row>
    <row r="145" spans="1:11" s="609" customFormat="1" ht="24" customHeight="1" thickBot="1">
      <c r="A145" s="622" t="s">
        <v>213</v>
      </c>
      <c r="B145" s="623">
        <f>+V23</f>
        <v>13068.997861024398</v>
      </c>
      <c r="C145" s="697" t="s">
        <v>214</v>
      </c>
      <c r="D145" s="625">
        <f>+AF23</f>
        <v>12383.311725235983</v>
      </c>
      <c r="E145" s="624" t="s">
        <v>214</v>
      </c>
      <c r="F145" s="625">
        <f>+AP23</f>
        <v>15225.33879576349</v>
      </c>
      <c r="G145" s="624" t="s">
        <v>214</v>
      </c>
      <c r="H145" s="625">
        <f>+AZ23</f>
        <v>11791.753207086133</v>
      </c>
      <c r="I145" s="624" t="s">
        <v>214</v>
      </c>
      <c r="J145" s="625">
        <f>+BJ23</f>
        <v>12594.13166755272</v>
      </c>
      <c r="K145" s="626" t="s">
        <v>214</v>
      </c>
    </row>
    <row r="146" spans="1:11" ht="12.75">
      <c r="A146" s="742" t="s">
        <v>216</v>
      </c>
      <c r="B146" s="743">
        <f>+V24</f>
        <v>8909.34717886461</v>
      </c>
      <c r="C146" s="744">
        <f aca="true" t="shared" si="138" ref="C146:C153">+B146/$B$145</f>
        <v>0.68171617086532</v>
      </c>
      <c r="D146" s="745">
        <f>+AF24</f>
        <v>9519.093028545432</v>
      </c>
      <c r="E146" s="746">
        <f aca="true" t="shared" si="139" ref="E146:E153">+D146/$D$145</f>
        <v>0.7687033355662402</v>
      </c>
      <c r="F146" s="745">
        <f>+AP24</f>
        <v>10468.43465932783</v>
      </c>
      <c r="G146" s="746">
        <f aca="true" t="shared" si="140" ref="G146:G153">+F146/$F$145</f>
        <v>0.6875666150851575</v>
      </c>
      <c r="H146" s="745">
        <f>+AZ24</f>
        <v>9216.85647380516</v>
      </c>
      <c r="I146" s="746">
        <f aca="true" t="shared" si="141" ref="I146:I153">+H146/$H$145</f>
        <v>0.7816358018980913</v>
      </c>
      <c r="J146" s="745">
        <f>+BJ24</f>
        <v>9261.10756689704</v>
      </c>
      <c r="K146" s="747">
        <f aca="true" t="shared" si="142" ref="K146:K153">+J146/$J$145</f>
        <v>0.7353510199323373</v>
      </c>
    </row>
    <row r="147" spans="1:11" ht="12.75">
      <c r="A147" s="748" t="s">
        <v>218</v>
      </c>
      <c r="B147" s="749">
        <f>+V28</f>
        <v>943.117701468378</v>
      </c>
      <c r="C147" s="744">
        <f t="shared" si="138"/>
        <v>0.07216450040756628</v>
      </c>
      <c r="D147" s="750">
        <f>+AF28</f>
        <v>516.591038325941</v>
      </c>
      <c r="E147" s="746">
        <f t="shared" si="139"/>
        <v>0.04171671115031198</v>
      </c>
      <c r="F147" s="750">
        <f>+AP28</f>
        <v>1024.5580018347093</v>
      </c>
      <c r="G147" s="746">
        <f t="shared" si="140"/>
        <v>0.0672929525955637</v>
      </c>
      <c r="H147" s="750">
        <f>+AZ28</f>
        <v>175.89303895046103</v>
      </c>
      <c r="I147" s="746">
        <f t="shared" si="141"/>
        <v>0.014916614676497802</v>
      </c>
      <c r="J147" s="750">
        <f>+BJ28</f>
        <v>262.05918837497785</v>
      </c>
      <c r="K147" s="747">
        <f t="shared" si="142"/>
        <v>0.020808039433964483</v>
      </c>
    </row>
    <row r="148" spans="1:11" ht="12.75">
      <c r="A148" s="650" t="s">
        <v>220</v>
      </c>
      <c r="B148" s="749">
        <f>+V29</f>
        <v>245.435888542028</v>
      </c>
      <c r="C148" s="744">
        <f t="shared" si="138"/>
        <v>0.018780008318311087</v>
      </c>
      <c r="D148" s="750">
        <f>+AF29</f>
        <v>0</v>
      </c>
      <c r="E148" s="746">
        <f t="shared" si="139"/>
        <v>0</v>
      </c>
      <c r="F148" s="750">
        <f>+AP29</f>
        <v>645.9584271536986</v>
      </c>
      <c r="G148" s="746">
        <f t="shared" si="140"/>
        <v>0.04242653879948071</v>
      </c>
      <c r="H148" s="750">
        <f>+AZ29</f>
        <v>14.002821654012857</v>
      </c>
      <c r="I148" s="746">
        <f t="shared" si="141"/>
        <v>0.0011875097288839124</v>
      </c>
      <c r="J148" s="750">
        <f>+BJ29</f>
        <v>44.878610668084356</v>
      </c>
      <c r="K148" s="747">
        <f t="shared" si="142"/>
        <v>0.0035634541429885756</v>
      </c>
    </row>
    <row r="149" spans="1:11" ht="12.75">
      <c r="A149" s="748" t="s">
        <v>222</v>
      </c>
      <c r="B149" s="749">
        <f>+V35</f>
        <v>0</v>
      </c>
      <c r="C149" s="744">
        <f t="shared" si="138"/>
        <v>0</v>
      </c>
      <c r="D149" s="750">
        <f>+AF35</f>
        <v>0</v>
      </c>
      <c r="E149" s="746">
        <f t="shared" si="139"/>
        <v>0</v>
      </c>
      <c r="F149" s="750">
        <f>+AP35</f>
        <v>0</v>
      </c>
      <c r="G149" s="746">
        <f t="shared" si="140"/>
        <v>0</v>
      </c>
      <c r="H149" s="750">
        <f>+AZ35</f>
        <v>0</v>
      </c>
      <c r="I149" s="746">
        <f t="shared" si="141"/>
        <v>0</v>
      </c>
      <c r="J149" s="750">
        <f>+BJ35</f>
        <v>0</v>
      </c>
      <c r="K149" s="747">
        <f t="shared" si="142"/>
        <v>0</v>
      </c>
    </row>
    <row r="150" spans="1:11" ht="12.75">
      <c r="A150" s="748" t="s">
        <v>224</v>
      </c>
      <c r="B150" s="749">
        <f>+V36</f>
        <v>1311.8973291710024</v>
      </c>
      <c r="C150" s="744">
        <f t="shared" si="138"/>
        <v>0.10038239680821028</v>
      </c>
      <c r="D150" s="750">
        <f>+AF36</f>
        <v>1183.215057432048</v>
      </c>
      <c r="E150" s="746">
        <f t="shared" si="139"/>
        <v>0.0955491619435511</v>
      </c>
      <c r="F150" s="750">
        <f>+AP36</f>
        <v>1360.672587774164</v>
      </c>
      <c r="G150" s="746">
        <f t="shared" si="140"/>
        <v>0.08936895303458052</v>
      </c>
      <c r="H150" s="750">
        <f>+AZ36</f>
        <v>1182.9639002821652</v>
      </c>
      <c r="I150" s="746">
        <f t="shared" si="141"/>
        <v>0.10032129060937904</v>
      </c>
      <c r="J150" s="750">
        <f>+BJ36</f>
        <v>1251.0836434520645</v>
      </c>
      <c r="K150" s="747">
        <f t="shared" si="142"/>
        <v>0.09933861868979284</v>
      </c>
    </row>
    <row r="151" spans="1:11" ht="12.75">
      <c r="A151" s="748" t="s">
        <v>226</v>
      </c>
      <c r="B151" s="749">
        <f>+V37</f>
        <v>174.29254827147648</v>
      </c>
      <c r="C151" s="744">
        <f t="shared" si="138"/>
        <v>0.013336336123465764</v>
      </c>
      <c r="D151" s="750">
        <f>+AF37</f>
        <v>9.00545888775162</v>
      </c>
      <c r="E151" s="746">
        <f t="shared" si="139"/>
        <v>0.000727225405252407</v>
      </c>
      <c r="F151" s="750">
        <f>+AP37</f>
        <v>20.171378533900427</v>
      </c>
      <c r="G151" s="746">
        <f t="shared" si="140"/>
        <v>0.0013248558081028182</v>
      </c>
      <c r="H151" s="750">
        <f>+AZ37</f>
        <v>42.329900805771295</v>
      </c>
      <c r="I151" s="746">
        <f t="shared" si="141"/>
        <v>0.0035897885634456443</v>
      </c>
      <c r="J151" s="750">
        <f>+BJ37</f>
        <v>587.4490519227362</v>
      </c>
      <c r="K151" s="747">
        <f t="shared" si="142"/>
        <v>0.046644664946312156</v>
      </c>
    </row>
    <row r="152" spans="1:11" ht="12.75">
      <c r="A152" s="748" t="s">
        <v>228</v>
      </c>
      <c r="B152" s="749">
        <f>+V38</f>
        <v>146.8233321771303</v>
      </c>
      <c r="C152" s="744">
        <f t="shared" si="138"/>
        <v>0.011234475186119721</v>
      </c>
      <c r="D152" s="750">
        <f>+AF38</f>
        <v>72.87387694757193</v>
      </c>
      <c r="E152" s="746">
        <f t="shared" si="139"/>
        <v>0.0058848455537998026</v>
      </c>
      <c r="F152" s="750">
        <f>+AP38</f>
        <v>667.1983154032191</v>
      </c>
      <c r="G152" s="746">
        <f t="shared" si="140"/>
        <v>0.04382157430801275</v>
      </c>
      <c r="H152" s="750">
        <f>+AZ38</f>
        <v>22.74922186345522</v>
      </c>
      <c r="I152" s="746">
        <f t="shared" si="141"/>
        <v>0.0019292484725498078</v>
      </c>
      <c r="J152" s="750">
        <f>+BJ38</f>
        <v>205.9959241538189</v>
      </c>
      <c r="K152" s="747">
        <f t="shared" si="142"/>
        <v>0.016356500756978972</v>
      </c>
    </row>
    <row r="153" spans="1:11" s="609" customFormat="1" ht="12.75">
      <c r="A153" s="748" t="s">
        <v>230</v>
      </c>
      <c r="B153" s="651">
        <f>+V26+V27+V30+V31+V32+V33+V25</f>
        <v>1338.0838825297724</v>
      </c>
      <c r="C153" s="636">
        <f t="shared" si="138"/>
        <v>0.10238611229100686</v>
      </c>
      <c r="D153" s="652">
        <f>+AF26+AF27+AF30+AF31+AF32+AF33+AF25</f>
        <v>1082.5332650972364</v>
      </c>
      <c r="E153" s="638">
        <f t="shared" si="139"/>
        <v>0.08741872038084442</v>
      </c>
      <c r="F153" s="652">
        <f>+AP26+AP27+AP30+AP31+AP32+AP33+AP25</f>
        <v>1038.3454257359685</v>
      </c>
      <c r="G153" s="638">
        <f t="shared" si="140"/>
        <v>0.06819851036910209</v>
      </c>
      <c r="H153" s="652">
        <f>+AZ26+AZ27+AZ30+AZ31+AZ32+AZ33+AZ25</f>
        <v>1136.9578497251068</v>
      </c>
      <c r="I153" s="638">
        <f t="shared" si="141"/>
        <v>0.0964197460511524</v>
      </c>
      <c r="J153" s="652">
        <f>+BJ26+BJ27+BJ30+BJ31+BJ32+BJ33+BJ25</f>
        <v>981.5576820839979</v>
      </c>
      <c r="K153" s="640">
        <f t="shared" si="142"/>
        <v>0.0779377020976257</v>
      </c>
    </row>
    <row r="154" spans="1:11" ht="13.5" thickBot="1">
      <c r="A154" s="751" t="s">
        <v>232</v>
      </c>
      <c r="B154" s="752"/>
      <c r="C154" s="753"/>
      <c r="D154" s="754"/>
      <c r="E154" s="755"/>
      <c r="F154" s="754"/>
      <c r="G154" s="755"/>
      <c r="H154" s="754"/>
      <c r="I154" s="755"/>
      <c r="J154" s="754"/>
      <c r="K154" s="756"/>
    </row>
    <row r="155" spans="1:11" s="609" customFormat="1" ht="17.25" customHeight="1">
      <c r="A155" s="662"/>
      <c r="B155" s="662"/>
      <c r="C155" s="663"/>
      <c r="D155" s="662"/>
      <c r="E155" s="663"/>
      <c r="F155" s="662"/>
      <c r="G155" s="663"/>
      <c r="H155" s="662"/>
      <c r="I155" s="663"/>
      <c r="J155" s="662"/>
      <c r="K155" s="663"/>
    </row>
    <row r="156" spans="1:11" s="609" customFormat="1" ht="17.25" customHeight="1" hidden="1">
      <c r="A156" s="662"/>
      <c r="B156" s="662"/>
      <c r="C156" s="663"/>
      <c r="D156" s="662"/>
      <c r="E156" s="663"/>
      <c r="F156" s="662"/>
      <c r="G156" s="663"/>
      <c r="H156" s="662"/>
      <c r="I156" s="663"/>
      <c r="J156" s="662"/>
      <c r="K156" s="663"/>
    </row>
    <row r="157" spans="1:11" s="609" customFormat="1" ht="17.25" customHeight="1" hidden="1">
      <c r="A157" s="662"/>
      <c r="B157" s="662"/>
      <c r="C157" s="663"/>
      <c r="D157" s="662"/>
      <c r="E157" s="663"/>
      <c r="F157" s="662"/>
      <c r="G157" s="663"/>
      <c r="H157" s="662"/>
      <c r="I157" s="663"/>
      <c r="J157" s="662"/>
      <c r="K157" s="663"/>
    </row>
    <row r="158" spans="1:11" s="609" customFormat="1" ht="17.25" customHeight="1" hidden="1">
      <c r="A158" s="662"/>
      <c r="B158" s="662"/>
      <c r="C158" s="663"/>
      <c r="D158" s="662"/>
      <c r="E158" s="663"/>
      <c r="F158" s="662"/>
      <c r="G158" s="663"/>
      <c r="H158" s="662"/>
      <c r="I158" s="663"/>
      <c r="J158" s="662"/>
      <c r="K158" s="663"/>
    </row>
    <row r="159" spans="1:11" s="609" customFormat="1" ht="17.25" customHeight="1" hidden="1">
      <c r="A159" s="662"/>
      <c r="B159" s="662"/>
      <c r="C159" s="663"/>
      <c r="D159" s="662"/>
      <c r="E159" s="663"/>
      <c r="F159" s="662"/>
      <c r="G159" s="663"/>
      <c r="H159" s="662"/>
      <c r="I159" s="663"/>
      <c r="J159" s="662"/>
      <c r="K159" s="663"/>
    </row>
    <row r="160" spans="1:11" s="609" customFormat="1" ht="17.25" customHeight="1" hidden="1">
      <c r="A160" s="662"/>
      <c r="B160" s="662"/>
      <c r="C160" s="663"/>
      <c r="D160" s="662"/>
      <c r="E160" s="663"/>
      <c r="F160" s="662"/>
      <c r="G160" s="663"/>
      <c r="H160" s="662"/>
      <c r="I160" s="663"/>
      <c r="J160" s="662"/>
      <c r="K160" s="663"/>
    </row>
    <row r="161" spans="1:11" s="609" customFormat="1" ht="17.25" customHeight="1" hidden="1">
      <c r="A161" s="662"/>
      <c r="B161" s="662"/>
      <c r="C161" s="663"/>
      <c r="D161" s="662"/>
      <c r="E161" s="663"/>
      <c r="F161" s="662"/>
      <c r="G161" s="663"/>
      <c r="H161" s="662"/>
      <c r="I161" s="663"/>
      <c r="J161" s="662"/>
      <c r="K161" s="663"/>
    </row>
    <row r="162" spans="1:11" s="609" customFormat="1" ht="17.25" customHeight="1" hidden="1">
      <c r="A162" s="662"/>
      <c r="B162" s="662"/>
      <c r="C162" s="663"/>
      <c r="D162" s="662"/>
      <c r="E162" s="663"/>
      <c r="F162" s="662"/>
      <c r="G162" s="663"/>
      <c r="H162" s="662"/>
      <c r="I162" s="663"/>
      <c r="J162" s="662"/>
      <c r="K162" s="663"/>
    </row>
    <row r="163" spans="1:11" s="609" customFormat="1" ht="17.25" customHeight="1" hidden="1">
      <c r="A163" s="662"/>
      <c r="B163" s="662"/>
      <c r="C163" s="663"/>
      <c r="D163" s="662"/>
      <c r="E163" s="663"/>
      <c r="F163" s="662"/>
      <c r="G163" s="663"/>
      <c r="H163" s="662"/>
      <c r="I163" s="663"/>
      <c r="J163" s="662"/>
      <c r="K163" s="663"/>
    </row>
    <row r="164" spans="1:11" s="609" customFormat="1" ht="17.25" customHeight="1" hidden="1">
      <c r="A164" s="662"/>
      <c r="B164" s="662"/>
      <c r="C164" s="663"/>
      <c r="D164" s="662"/>
      <c r="E164" s="663"/>
      <c r="F164" s="662"/>
      <c r="G164" s="663"/>
      <c r="H164" s="662"/>
      <c r="I164" s="663"/>
      <c r="J164" s="662"/>
      <c r="K164" s="663"/>
    </row>
    <row r="165" spans="1:11" s="609" customFormat="1" ht="17.25" customHeight="1" hidden="1">
      <c r="A165" s="662"/>
      <c r="B165" s="662"/>
      <c r="C165" s="663"/>
      <c r="D165" s="662"/>
      <c r="E165" s="663"/>
      <c r="F165" s="662"/>
      <c r="G165" s="663"/>
      <c r="H165" s="662"/>
      <c r="I165" s="663"/>
      <c r="J165" s="662"/>
      <c r="K165" s="663"/>
    </row>
    <row r="166" spans="1:11" s="609" customFormat="1" ht="17.25" customHeight="1" hidden="1">
      <c r="A166" s="662"/>
      <c r="B166" s="662"/>
      <c r="C166" s="663"/>
      <c r="D166" s="662"/>
      <c r="E166" s="663"/>
      <c r="F166" s="662"/>
      <c r="G166" s="663"/>
      <c r="H166" s="662"/>
      <c r="I166" s="663"/>
      <c r="J166" s="662"/>
      <c r="K166" s="663"/>
    </row>
    <row r="167" spans="1:11" s="609" customFormat="1" ht="17.25" customHeight="1" hidden="1">
      <c r="A167" s="662"/>
      <c r="B167" s="662"/>
      <c r="C167" s="663"/>
      <c r="D167" s="662"/>
      <c r="E167" s="663"/>
      <c r="F167" s="662"/>
      <c r="G167" s="663"/>
      <c r="H167" s="662"/>
      <c r="I167" s="663"/>
      <c r="J167" s="662"/>
      <c r="K167" s="663"/>
    </row>
    <row r="168" spans="1:11" s="609" customFormat="1" ht="17.25" customHeight="1" hidden="1">
      <c r="A168" s="662"/>
      <c r="B168" s="662"/>
      <c r="C168" s="663"/>
      <c r="D168" s="662"/>
      <c r="E168" s="663"/>
      <c r="F168" s="662"/>
      <c r="G168" s="663"/>
      <c r="H168" s="662"/>
      <c r="I168" s="663"/>
      <c r="J168" s="662"/>
      <c r="K168" s="663"/>
    </row>
    <row r="169" spans="1:11" s="609" customFormat="1" ht="17.25" customHeight="1" thickBot="1">
      <c r="A169" s="662"/>
      <c r="B169" s="662"/>
      <c r="C169" s="663"/>
      <c r="D169" s="662"/>
      <c r="E169" s="663"/>
      <c r="F169" s="662"/>
      <c r="G169" s="663"/>
      <c r="H169" s="662"/>
      <c r="I169" s="663"/>
      <c r="J169" s="662"/>
      <c r="K169" s="663"/>
    </row>
    <row r="170" spans="1:11" s="609" customFormat="1" ht="25.5" customHeight="1" thickBot="1">
      <c r="A170" s="1760" t="s">
        <v>64</v>
      </c>
      <c r="B170" s="1751" t="s">
        <v>269</v>
      </c>
      <c r="C170" s="1752"/>
      <c r="D170" s="1752"/>
      <c r="E170" s="1752"/>
      <c r="F170" s="1752"/>
      <c r="G170" s="1752"/>
      <c r="H170" s="1752"/>
      <c r="I170" s="1752"/>
      <c r="J170" s="1752"/>
      <c r="K170" s="1753"/>
    </row>
    <row r="171" spans="1:11" ht="36.75" customHeight="1" thickBot="1">
      <c r="A171" s="1761"/>
      <c r="B171" s="1754" t="s">
        <v>207</v>
      </c>
      <c r="C171" s="1755"/>
      <c r="D171" s="1756" t="s">
        <v>22</v>
      </c>
      <c r="E171" s="1757"/>
      <c r="F171" s="1756" t="s">
        <v>21</v>
      </c>
      <c r="G171" s="1757"/>
      <c r="H171" s="1756" t="s">
        <v>20</v>
      </c>
      <c r="I171" s="1758"/>
      <c r="J171" s="1756" t="s">
        <v>205</v>
      </c>
      <c r="K171" s="1759"/>
    </row>
    <row r="172" spans="1:11" s="609" customFormat="1" ht="24" customHeight="1" thickBot="1">
      <c r="A172" s="622" t="s">
        <v>213</v>
      </c>
      <c r="B172" s="623">
        <f>+Y23</f>
        <v>18573.595124254767</v>
      </c>
      <c r="C172" s="697" t="s">
        <v>214</v>
      </c>
      <c r="D172" s="625">
        <f>+AI23</f>
        <v>16975.96827964897</v>
      </c>
      <c r="E172" s="624" t="s">
        <v>214</v>
      </c>
      <c r="F172" s="625">
        <f>+AS23</f>
        <v>17581.718082140866</v>
      </c>
      <c r="G172" s="624" t="s">
        <v>214</v>
      </c>
      <c r="H172" s="625">
        <f>+BC23</f>
        <v>19323.584182276263</v>
      </c>
      <c r="I172" s="624" t="s">
        <v>214</v>
      </c>
      <c r="J172" s="625">
        <f>+BM23</f>
        <v>15936.458333333334</v>
      </c>
      <c r="K172" s="626" t="s">
        <v>214</v>
      </c>
    </row>
    <row r="173" spans="1:11" ht="12.75">
      <c r="A173" s="742" t="s">
        <v>216</v>
      </c>
      <c r="B173" s="743">
        <f>+Y24</f>
        <v>10911.767310076148</v>
      </c>
      <c r="C173" s="744">
        <f aca="true" t="shared" si="143" ref="C173:C180">+B173/$B$172</f>
        <v>0.5874881646271464</v>
      </c>
      <c r="D173" s="745">
        <f>+AI24</f>
        <v>11568.290680001963</v>
      </c>
      <c r="E173" s="746">
        <f aca="true" t="shared" si="144" ref="E173:E180">+D173/$D$172</f>
        <v>0.6814510070609754</v>
      </c>
      <c r="F173" s="745">
        <f>+AS24</f>
        <v>12114.884160317166</v>
      </c>
      <c r="G173" s="746">
        <f aca="true" t="shared" si="145" ref="G173:G180">+F173/$F$172</f>
        <v>0.6890614502926883</v>
      </c>
      <c r="H173" s="745">
        <f>+BC24</f>
        <v>11560.206484828568</v>
      </c>
      <c r="I173" s="746">
        <f aca="true" t="shared" si="146" ref="I173:I180">+H173/$H$172</f>
        <v>0.5982433887928347</v>
      </c>
      <c r="J173" s="745">
        <f>+BM24</f>
        <v>10673.345347313238</v>
      </c>
      <c r="K173" s="747">
        <f aca="true" t="shared" si="147" ref="K173:K180">+J173/$J$172</f>
        <v>0.6697438743330092</v>
      </c>
    </row>
    <row r="174" spans="1:11" ht="12.75">
      <c r="A174" s="748" t="s">
        <v>218</v>
      </c>
      <c r="B174" s="749">
        <f>+Y28</f>
        <v>175.61389528363142</v>
      </c>
      <c r="C174" s="744">
        <f t="shared" si="143"/>
        <v>0.009455029794113574</v>
      </c>
      <c r="D174" s="750">
        <f>+AI28</f>
        <v>102.82026768642449</v>
      </c>
      <c r="E174" s="746">
        <f t="shared" si="144"/>
        <v>0.006056813136820412</v>
      </c>
      <c r="F174" s="750">
        <f>+AS28</f>
        <v>315.8489747878337</v>
      </c>
      <c r="G174" s="746">
        <f t="shared" si="145"/>
        <v>0.017964625147110416</v>
      </c>
      <c r="H174" s="750">
        <f>+BC28</f>
        <v>27.201774564574436</v>
      </c>
      <c r="I174" s="746">
        <f t="shared" si="146"/>
        <v>0.001407698194495621</v>
      </c>
      <c r="J174" s="750">
        <f>+BM28</f>
        <v>122.10981869812144</v>
      </c>
      <c r="K174" s="747">
        <f t="shared" si="147"/>
        <v>0.007662293349251362</v>
      </c>
    </row>
    <row r="175" spans="1:11" ht="12.75">
      <c r="A175" s="650" t="s">
        <v>220</v>
      </c>
      <c r="B175" s="749">
        <f>+Y29</f>
        <v>227.1545363319757</v>
      </c>
      <c r="C175" s="744">
        <f t="shared" si="143"/>
        <v>0.012229971355160024</v>
      </c>
      <c r="D175" s="750">
        <f>+AI29</f>
        <v>203.8008040398098</v>
      </c>
      <c r="E175" s="746">
        <f t="shared" si="144"/>
        <v>0.01200525358451153</v>
      </c>
      <c r="F175" s="750">
        <f>+AS29</f>
        <v>513.6762064052531</v>
      </c>
      <c r="G175" s="746">
        <f t="shared" si="145"/>
        <v>0.02921649659068498</v>
      </c>
      <c r="H175" s="750">
        <f>+BC29</f>
        <v>148.25418994413408</v>
      </c>
      <c r="I175" s="746">
        <f t="shared" si="146"/>
        <v>0.0076721889969105185</v>
      </c>
      <c r="J175" s="750">
        <f>+BM29</f>
        <v>109.56613149847095</v>
      </c>
      <c r="K175" s="747">
        <f t="shared" si="147"/>
        <v>0.006875187021277999</v>
      </c>
    </row>
    <row r="176" spans="1:11" ht="12.75">
      <c r="A176" s="748" t="s">
        <v>222</v>
      </c>
      <c r="B176" s="749">
        <f>+Y35</f>
        <v>0</v>
      </c>
      <c r="C176" s="744">
        <f t="shared" si="143"/>
        <v>0</v>
      </c>
      <c r="D176" s="750">
        <f>+AI35</f>
        <v>0</v>
      </c>
      <c r="E176" s="746">
        <f t="shared" si="144"/>
        <v>0</v>
      </c>
      <c r="F176" s="750">
        <f>+AS35</f>
        <v>0</v>
      </c>
      <c r="G176" s="746">
        <f t="shared" si="145"/>
        <v>0</v>
      </c>
      <c r="H176" s="750">
        <f>+BC35</f>
        <v>0</v>
      </c>
      <c r="I176" s="746">
        <f t="shared" si="146"/>
        <v>0</v>
      </c>
      <c r="J176" s="750">
        <f>+BM35</f>
        <v>0</v>
      </c>
      <c r="K176" s="747">
        <f t="shared" si="147"/>
        <v>0</v>
      </c>
    </row>
    <row r="177" spans="1:11" ht="12.75">
      <c r="A177" s="748" t="s">
        <v>224</v>
      </c>
      <c r="B177" s="749">
        <f>+Y36</f>
        <v>1757.8256891564843</v>
      </c>
      <c r="C177" s="744">
        <f t="shared" si="143"/>
        <v>0.09464111161015813</v>
      </c>
      <c r="D177" s="750">
        <f>+AI36</f>
        <v>1688.8991028092369</v>
      </c>
      <c r="E177" s="746">
        <f t="shared" si="144"/>
        <v>0.09948764482753618</v>
      </c>
      <c r="F177" s="750">
        <f>+AS36</f>
        <v>1683.458774701109</v>
      </c>
      <c r="G177" s="746">
        <f t="shared" si="145"/>
        <v>0.09575052715758936</v>
      </c>
      <c r="H177" s="750">
        <f>+BC36</f>
        <v>1944.7297075254683</v>
      </c>
      <c r="I177" s="746">
        <f t="shared" si="146"/>
        <v>0.10064021711402737</v>
      </c>
      <c r="J177" s="750">
        <f>+BM36</f>
        <v>1515.291885102665</v>
      </c>
      <c r="K177" s="747">
        <f t="shared" si="147"/>
        <v>0.09508335248699643</v>
      </c>
    </row>
    <row r="178" spans="1:11" ht="12.75">
      <c r="A178" s="748" t="s">
        <v>226</v>
      </c>
      <c r="B178" s="749">
        <f>+Y37</f>
        <v>3547.6477185526237</v>
      </c>
      <c r="C178" s="744">
        <f t="shared" si="143"/>
        <v>0.19100490211073054</v>
      </c>
      <c r="D178" s="750">
        <f>+AI37</f>
        <v>1767.7808010982008</v>
      </c>
      <c r="E178" s="746">
        <f t="shared" si="144"/>
        <v>0.1041343133998101</v>
      </c>
      <c r="F178" s="750">
        <f>+AS37</f>
        <v>873.4188193024839</v>
      </c>
      <c r="G178" s="746">
        <f t="shared" si="145"/>
        <v>0.0496776717282075</v>
      </c>
      <c r="H178" s="750">
        <f>+BC37</f>
        <v>3650.869481870961</v>
      </c>
      <c r="I178" s="746">
        <f t="shared" si="146"/>
        <v>0.18893334939485842</v>
      </c>
      <c r="J178" s="750">
        <f>+BM37</f>
        <v>2168.541120576671</v>
      </c>
      <c r="K178" s="747">
        <f t="shared" si="147"/>
        <v>0.13607421895245467</v>
      </c>
    </row>
    <row r="179" spans="1:11" ht="12.75">
      <c r="A179" s="748" t="s">
        <v>228</v>
      </c>
      <c r="B179" s="749">
        <f>+Y38</f>
        <v>976.6247565078803</v>
      </c>
      <c r="C179" s="744">
        <f t="shared" si="143"/>
        <v>0.05258135272005213</v>
      </c>
      <c r="D179" s="750">
        <f>+AI38</f>
        <v>1169.0334362896506</v>
      </c>
      <c r="E179" s="746">
        <f t="shared" si="144"/>
        <v>0.06886402101087244</v>
      </c>
      <c r="F179" s="750">
        <f>+AS38</f>
        <v>1722.7621879452392</v>
      </c>
      <c r="G179" s="746">
        <f t="shared" si="145"/>
        <v>0.0979859977219851</v>
      </c>
      <c r="H179" s="750">
        <f>+BC38</f>
        <v>1212.8162997042393</v>
      </c>
      <c r="I179" s="746">
        <f t="shared" si="146"/>
        <v>0.06276352711090956</v>
      </c>
      <c r="J179" s="750">
        <f>+BM38</f>
        <v>818.9206531236347</v>
      </c>
      <c r="K179" s="747">
        <f t="shared" si="147"/>
        <v>0.05138661526888615</v>
      </c>
    </row>
    <row r="180" spans="1:11" s="609" customFormat="1" ht="12.75">
      <c r="A180" s="748" t="s">
        <v>230</v>
      </c>
      <c r="B180" s="651">
        <f>+Y26+Y27+Y30+Y31+Y32+Y33+Y25</f>
        <v>976.9612183460245</v>
      </c>
      <c r="C180" s="636">
        <f t="shared" si="143"/>
        <v>0.05259946778263927</v>
      </c>
      <c r="D180" s="652">
        <f>+AI26+AI27+AI30+AI31+AI32+AI33+AI25</f>
        <v>475.3431877236849</v>
      </c>
      <c r="E180" s="638">
        <f t="shared" si="144"/>
        <v>0.028000946979474098</v>
      </c>
      <c r="F180" s="652">
        <f>+AS26+AS27+AS30+AS31+AS32+AS33+AS25</f>
        <v>357.6689586817816</v>
      </c>
      <c r="G180" s="638">
        <f t="shared" si="145"/>
        <v>0.02034323136173444</v>
      </c>
      <c r="H180" s="652">
        <f>+BC26+BC27+BC30+BC31+BC32+BC33+BC25</f>
        <v>779.5062438383176</v>
      </c>
      <c r="I180" s="638">
        <f t="shared" si="146"/>
        <v>0.04033963039596384</v>
      </c>
      <c r="J180" s="652">
        <f>+BM26+BM27+BM30+BM31+BM32+BM33+BM25</f>
        <v>528.6833770205329</v>
      </c>
      <c r="K180" s="640">
        <f t="shared" si="147"/>
        <v>0.033174458588124164</v>
      </c>
    </row>
    <row r="181" spans="1:11" ht="13.5" thickBot="1">
      <c r="A181" s="751" t="s">
        <v>232</v>
      </c>
      <c r="B181" s="752"/>
      <c r="C181" s="753"/>
      <c r="D181" s="754"/>
      <c r="E181" s="755"/>
      <c r="F181" s="754"/>
      <c r="G181" s="755"/>
      <c r="H181" s="754"/>
      <c r="I181" s="755"/>
      <c r="J181" s="754"/>
      <c r="K181" s="756"/>
    </row>
    <row r="182" spans="1:11" s="609" customFormat="1" ht="17.25" customHeight="1">
      <c r="A182" s="662"/>
      <c r="B182" s="662"/>
      <c r="C182" s="663"/>
      <c r="D182" s="662"/>
      <c r="E182" s="663"/>
      <c r="F182" s="662"/>
      <c r="G182" s="663"/>
      <c r="H182" s="662"/>
      <c r="I182" s="663"/>
      <c r="J182" s="662"/>
      <c r="K182" s="663"/>
    </row>
    <row r="183" spans="1:11" s="609" customFormat="1" ht="17.25" customHeight="1" hidden="1">
      <c r="A183" s="662"/>
      <c r="B183" s="662"/>
      <c r="C183" s="663"/>
      <c r="D183" s="662"/>
      <c r="E183" s="663"/>
      <c r="F183" s="662"/>
      <c r="G183" s="663"/>
      <c r="H183" s="662"/>
      <c r="I183" s="663"/>
      <c r="J183" s="662"/>
      <c r="K183" s="663"/>
    </row>
    <row r="184" spans="1:11" s="609" customFormat="1" ht="17.25" customHeight="1" hidden="1">
      <c r="A184" s="662"/>
      <c r="B184" s="662"/>
      <c r="C184" s="663"/>
      <c r="D184" s="662"/>
      <c r="E184" s="663"/>
      <c r="F184" s="662"/>
      <c r="G184" s="663"/>
      <c r="H184" s="662"/>
      <c r="I184" s="663"/>
      <c r="J184" s="662"/>
      <c r="K184" s="663"/>
    </row>
    <row r="185" spans="1:11" s="609" customFormat="1" ht="17.25" customHeight="1" hidden="1">
      <c r="A185" s="662"/>
      <c r="B185" s="662"/>
      <c r="C185" s="663"/>
      <c r="D185" s="662"/>
      <c r="E185" s="663"/>
      <c r="F185" s="662"/>
      <c r="G185" s="663"/>
      <c r="H185" s="662"/>
      <c r="I185" s="663"/>
      <c r="J185" s="662"/>
      <c r="K185" s="663"/>
    </row>
    <row r="186" spans="1:11" s="609" customFormat="1" ht="17.25" customHeight="1" hidden="1">
      <c r="A186" s="662"/>
      <c r="B186" s="662"/>
      <c r="C186" s="663"/>
      <c r="D186" s="662"/>
      <c r="E186" s="663"/>
      <c r="F186" s="662"/>
      <c r="G186" s="663"/>
      <c r="H186" s="662"/>
      <c r="I186" s="663"/>
      <c r="J186" s="662"/>
      <c r="K186" s="663"/>
    </row>
    <row r="187" spans="1:11" s="609" customFormat="1" ht="17.25" customHeight="1" hidden="1">
      <c r="A187" s="662"/>
      <c r="B187" s="662"/>
      <c r="C187" s="663"/>
      <c r="D187" s="662"/>
      <c r="E187" s="663"/>
      <c r="F187" s="662"/>
      <c r="G187" s="663"/>
      <c r="H187" s="662"/>
      <c r="I187" s="663"/>
      <c r="J187" s="662"/>
      <c r="K187" s="663"/>
    </row>
    <row r="188" spans="1:11" s="609" customFormat="1" ht="17.25" customHeight="1" hidden="1">
      <c r="A188" s="662"/>
      <c r="B188" s="662"/>
      <c r="C188" s="663"/>
      <c r="D188" s="662"/>
      <c r="E188" s="663"/>
      <c r="F188" s="662"/>
      <c r="G188" s="663"/>
      <c r="H188" s="662"/>
      <c r="I188" s="663"/>
      <c r="J188" s="662"/>
      <c r="K188" s="663"/>
    </row>
    <row r="189" spans="1:11" s="609" customFormat="1" ht="17.25" customHeight="1" hidden="1">
      <c r="A189" s="662"/>
      <c r="B189" s="662"/>
      <c r="C189" s="663"/>
      <c r="D189" s="662"/>
      <c r="E189" s="663"/>
      <c r="F189" s="662"/>
      <c r="G189" s="663"/>
      <c r="H189" s="662"/>
      <c r="I189" s="663"/>
      <c r="J189" s="662"/>
      <c r="K189" s="663"/>
    </row>
    <row r="190" spans="1:11" s="609" customFormat="1" ht="17.25" customHeight="1" hidden="1">
      <c r="A190" s="662"/>
      <c r="B190" s="662"/>
      <c r="C190" s="663"/>
      <c r="D190" s="662"/>
      <c r="E190" s="663"/>
      <c r="F190" s="662"/>
      <c r="G190" s="663"/>
      <c r="H190" s="662"/>
      <c r="I190" s="663"/>
      <c r="J190" s="662"/>
      <c r="K190" s="663"/>
    </row>
    <row r="191" spans="1:11" s="609" customFormat="1" ht="17.25" customHeight="1" hidden="1">
      <c r="A191" s="662"/>
      <c r="B191" s="662"/>
      <c r="C191" s="663"/>
      <c r="D191" s="662"/>
      <c r="E191" s="663"/>
      <c r="F191" s="662"/>
      <c r="G191" s="663"/>
      <c r="H191" s="662"/>
      <c r="I191" s="663"/>
      <c r="J191" s="662"/>
      <c r="K191" s="663"/>
    </row>
    <row r="192" spans="1:11" s="609" customFormat="1" ht="17.25" customHeight="1" hidden="1">
      <c r="A192" s="662"/>
      <c r="B192" s="662"/>
      <c r="C192" s="663"/>
      <c r="D192" s="662"/>
      <c r="E192" s="663"/>
      <c r="F192" s="662"/>
      <c r="G192" s="663"/>
      <c r="H192" s="662"/>
      <c r="I192" s="663"/>
      <c r="J192" s="662"/>
      <c r="K192" s="663"/>
    </row>
    <row r="193" spans="1:11" s="609" customFormat="1" ht="17.25" customHeight="1" hidden="1">
      <c r="A193" s="662"/>
      <c r="B193" s="662"/>
      <c r="C193" s="663"/>
      <c r="D193" s="662"/>
      <c r="E193" s="663"/>
      <c r="F193" s="662"/>
      <c r="G193" s="663"/>
      <c r="H193" s="662"/>
      <c r="I193" s="663"/>
      <c r="J193" s="662"/>
      <c r="K193" s="663"/>
    </row>
    <row r="194" spans="1:11" s="609" customFormat="1" ht="17.25" customHeight="1" hidden="1">
      <c r="A194" s="662"/>
      <c r="B194" s="662"/>
      <c r="C194" s="663"/>
      <c r="D194" s="662"/>
      <c r="E194" s="663"/>
      <c r="F194" s="662"/>
      <c r="G194" s="663"/>
      <c r="H194" s="662"/>
      <c r="I194" s="663"/>
      <c r="J194" s="662"/>
      <c r="K194" s="663"/>
    </row>
    <row r="195" spans="1:11" s="609" customFormat="1" ht="17.25" customHeight="1" hidden="1">
      <c r="A195" s="662"/>
      <c r="B195" s="662"/>
      <c r="C195" s="663"/>
      <c r="D195" s="662"/>
      <c r="E195" s="663"/>
      <c r="F195" s="662"/>
      <c r="G195" s="663"/>
      <c r="H195" s="662"/>
      <c r="I195" s="663"/>
      <c r="J195" s="662"/>
      <c r="K195" s="663"/>
    </row>
    <row r="196" spans="1:11" s="609" customFormat="1" ht="17.25" customHeight="1" hidden="1">
      <c r="A196" s="662"/>
      <c r="B196" s="662"/>
      <c r="C196" s="663"/>
      <c r="D196" s="662"/>
      <c r="E196" s="663"/>
      <c r="F196" s="662"/>
      <c r="G196" s="663"/>
      <c r="H196" s="662"/>
      <c r="I196" s="663"/>
      <c r="J196" s="662"/>
      <c r="K196" s="663"/>
    </row>
    <row r="197" spans="1:11" s="609" customFormat="1" ht="17.25" customHeight="1" thickBot="1">
      <c r="A197" s="662"/>
      <c r="B197" s="662"/>
      <c r="C197" s="663"/>
      <c r="D197" s="662"/>
      <c r="E197" s="663"/>
      <c r="F197" s="662"/>
      <c r="G197" s="663"/>
      <c r="H197" s="662"/>
      <c r="I197" s="663"/>
      <c r="J197" s="662"/>
      <c r="K197" s="663"/>
    </row>
    <row r="198" spans="1:11" s="609" customFormat="1" ht="25.5" customHeight="1" thickBot="1">
      <c r="A198" s="1760" t="s">
        <v>98</v>
      </c>
      <c r="B198" s="1751" t="s">
        <v>269</v>
      </c>
      <c r="C198" s="1752"/>
      <c r="D198" s="1752"/>
      <c r="E198" s="1752"/>
      <c r="F198" s="1752"/>
      <c r="G198" s="1752"/>
      <c r="H198" s="1752"/>
      <c r="I198" s="1752"/>
      <c r="J198" s="1752"/>
      <c r="K198" s="1753"/>
    </row>
    <row r="199" spans="1:11" ht="36.75" customHeight="1" thickBot="1">
      <c r="A199" s="1761"/>
      <c r="B199" s="1754" t="s">
        <v>207</v>
      </c>
      <c r="C199" s="1755"/>
      <c r="D199" s="1756" t="s">
        <v>22</v>
      </c>
      <c r="E199" s="1757"/>
      <c r="F199" s="1756" t="s">
        <v>21</v>
      </c>
      <c r="G199" s="1757"/>
      <c r="H199" s="1756" t="s">
        <v>20</v>
      </c>
      <c r="I199" s="1758"/>
      <c r="J199" s="1756" t="s">
        <v>205</v>
      </c>
      <c r="K199" s="1759"/>
    </row>
    <row r="200" spans="1:11" s="609" customFormat="1" ht="24" customHeight="1" thickBot="1">
      <c r="A200" s="622" t="s">
        <v>213</v>
      </c>
      <c r="B200" s="623">
        <f>+Z23</f>
        <v>11140.393902368067</v>
      </c>
      <c r="C200" s="697" t="s">
        <v>214</v>
      </c>
      <c r="D200" s="625">
        <f>+AJ23</f>
        <v>10812.565153162193</v>
      </c>
      <c r="E200" s="624" t="s">
        <v>214</v>
      </c>
      <c r="F200" s="625">
        <f>+AT23</f>
        <v>12097.74069884364</v>
      </c>
      <c r="G200" s="624" t="s">
        <v>214</v>
      </c>
      <c r="H200" s="625">
        <f>+BD23</f>
        <v>11292.168200281854</v>
      </c>
      <c r="I200" s="624" t="s">
        <v>214</v>
      </c>
      <c r="J200" s="625">
        <f>+BN23</f>
        <v>9829.893925812097</v>
      </c>
      <c r="K200" s="626" t="s">
        <v>214</v>
      </c>
    </row>
    <row r="201" spans="1:11" ht="12.75">
      <c r="A201" s="742" t="s">
        <v>216</v>
      </c>
      <c r="B201" s="743">
        <f>+Z24</f>
        <v>7490.911735614126</v>
      </c>
      <c r="C201" s="744">
        <f aca="true" t="shared" si="148" ref="C201:C208">+B201/$B$200</f>
        <v>0.6724099525800263</v>
      </c>
      <c r="D201" s="745">
        <f>+AJ24</f>
        <v>8187.573515065363</v>
      </c>
      <c r="E201" s="746">
        <f aca="true" t="shared" si="149" ref="E201:E208">+D201/$D$200</f>
        <v>0.7572276697607563</v>
      </c>
      <c r="F201" s="745">
        <f>+AT24</f>
        <v>8701.750251382604</v>
      </c>
      <c r="G201" s="746">
        <f aca="true" t="shared" si="150" ref="G201:G208">+F201/$F$200</f>
        <v>0.719287218002148</v>
      </c>
      <c r="H201" s="745">
        <f>+BD24</f>
        <v>8435.062795324546</v>
      </c>
      <c r="I201" s="746">
        <f aca="true" t="shared" si="151" ref="I201:I208">+H201/$H$200</f>
        <v>0.7469834531081467</v>
      </c>
      <c r="J201" s="745">
        <f>+BN24</f>
        <v>6914.1946258590515</v>
      </c>
      <c r="K201" s="747">
        <f aca="true" t="shared" si="152" ref="K201:K208">+J201/$J$200</f>
        <v>0.7033844594907808</v>
      </c>
    </row>
    <row r="202" spans="1:11" ht="12.75">
      <c r="A202" s="748" t="s">
        <v>218</v>
      </c>
      <c r="B202" s="749">
        <f>+Z28</f>
        <v>562.884738465119</v>
      </c>
      <c r="C202" s="744">
        <f t="shared" si="148"/>
        <v>0.05052646642462695</v>
      </c>
      <c r="D202" s="750">
        <f>+AJ28</f>
        <v>247.8753797697689</v>
      </c>
      <c r="E202" s="746">
        <f t="shared" si="149"/>
        <v>0.022924752476268444</v>
      </c>
      <c r="F202" s="750">
        <f>+AT28</f>
        <v>958.1468912351265</v>
      </c>
      <c r="G202" s="746">
        <f t="shared" si="150"/>
        <v>0.07920048173347861</v>
      </c>
      <c r="H202" s="750">
        <f>+BD28</f>
        <v>373.46845726602004</v>
      </c>
      <c r="I202" s="746">
        <f t="shared" si="151"/>
        <v>0.03307322833330611</v>
      </c>
      <c r="J202" s="750">
        <f>+BN28</f>
        <v>243.81696333290645</v>
      </c>
      <c r="K202" s="747">
        <f t="shared" si="152"/>
        <v>0.02480362099255954</v>
      </c>
    </row>
    <row r="203" spans="1:11" ht="12.75">
      <c r="A203" s="650" t="s">
        <v>220</v>
      </c>
      <c r="B203" s="749">
        <f>+Z29</f>
        <v>80.36888345842787</v>
      </c>
      <c r="C203" s="744">
        <f t="shared" si="148"/>
        <v>0.00721418687371047</v>
      </c>
      <c r="D203" s="750">
        <f>+AJ29</f>
        <v>243.18295844134124</v>
      </c>
      <c r="E203" s="746">
        <f t="shared" si="149"/>
        <v>0.02249077392798147</v>
      </c>
      <c r="F203" s="750">
        <f>+AT29</f>
        <v>391.9117647058824</v>
      </c>
      <c r="G203" s="746">
        <f t="shared" si="150"/>
        <v>0.03239545089136711</v>
      </c>
      <c r="H203" s="750">
        <f>+BD29</f>
        <v>32.06084721876813</v>
      </c>
      <c r="I203" s="746">
        <f t="shared" si="151"/>
        <v>0.0028392109159309092</v>
      </c>
      <c r="J203" s="750">
        <f>+BN29</f>
        <v>124.86767405130831</v>
      </c>
      <c r="K203" s="747">
        <f t="shared" si="152"/>
        <v>0.012702850609956339</v>
      </c>
    </row>
    <row r="204" spans="1:11" ht="12.75">
      <c r="A204" s="748" t="s">
        <v>222</v>
      </c>
      <c r="B204" s="749">
        <f>+Z35</f>
        <v>0</v>
      </c>
      <c r="C204" s="744">
        <f t="shared" si="148"/>
        <v>0</v>
      </c>
      <c r="D204" s="750">
        <f>+AJ35</f>
        <v>0</v>
      </c>
      <c r="E204" s="746">
        <f t="shared" si="149"/>
        <v>0</v>
      </c>
      <c r="F204" s="750">
        <f>+AT35</f>
        <v>0</v>
      </c>
      <c r="G204" s="746">
        <f t="shared" si="150"/>
        <v>0</v>
      </c>
      <c r="H204" s="750">
        <f>+BD35</f>
        <v>0</v>
      </c>
      <c r="I204" s="746">
        <f t="shared" si="151"/>
        <v>0</v>
      </c>
      <c r="J204" s="750">
        <f>+BN35</f>
        <v>0</v>
      </c>
      <c r="K204" s="747">
        <f t="shared" si="152"/>
        <v>0</v>
      </c>
    </row>
    <row r="205" spans="1:11" ht="12.75">
      <c r="A205" s="748" t="s">
        <v>224</v>
      </c>
      <c r="B205" s="749">
        <f>+Z36</f>
        <v>1134.0363840887492</v>
      </c>
      <c r="C205" s="744">
        <f t="shared" si="148"/>
        <v>0.10179499881487061</v>
      </c>
      <c r="D205" s="750">
        <f>+AJ36</f>
        <v>1008.4155587144968</v>
      </c>
      <c r="E205" s="746">
        <f t="shared" si="149"/>
        <v>0.09326330472280023</v>
      </c>
      <c r="F205" s="750">
        <f>+AT36</f>
        <v>1092.2396095190213</v>
      </c>
      <c r="G205" s="746">
        <f t="shared" si="150"/>
        <v>0.09028459418240158</v>
      </c>
      <c r="H205" s="750">
        <f>+BD36</f>
        <v>1001.3957970654066</v>
      </c>
      <c r="I205" s="746">
        <f t="shared" si="151"/>
        <v>0.08868055977419921</v>
      </c>
      <c r="J205" s="750">
        <f>+BN36</f>
        <v>989.0393562982882</v>
      </c>
      <c r="K205" s="747">
        <f t="shared" si="152"/>
        <v>0.10061546581913687</v>
      </c>
    </row>
    <row r="206" spans="1:11" ht="12.75">
      <c r="A206" s="748" t="s">
        <v>226</v>
      </c>
      <c r="B206" s="749">
        <f>+Z37</f>
        <v>584.5547021973972</v>
      </c>
      <c r="C206" s="744">
        <f t="shared" si="148"/>
        <v>0.0524716367590145</v>
      </c>
      <c r="D206" s="750">
        <f>+AJ37</f>
        <v>3.0165565682749396</v>
      </c>
      <c r="E206" s="746">
        <f t="shared" si="149"/>
        <v>0.0002789862096130566</v>
      </c>
      <c r="F206" s="750">
        <f>+AT37</f>
        <v>17.887967152673035</v>
      </c>
      <c r="G206" s="746">
        <f t="shared" si="150"/>
        <v>0.0014786204794737295</v>
      </c>
      <c r="H206" s="750">
        <f>+BD37</f>
        <v>557.0121445743181</v>
      </c>
      <c r="I206" s="746">
        <f t="shared" si="151"/>
        <v>0.049327297884246446</v>
      </c>
      <c r="J206" s="750">
        <f>+BN37</f>
        <v>683.1001622060016</v>
      </c>
      <c r="K206" s="747">
        <f t="shared" si="152"/>
        <v>0.06949211938210893</v>
      </c>
    </row>
    <row r="207" spans="1:11" ht="12.75">
      <c r="A207" s="748" t="s">
        <v>228</v>
      </c>
      <c r="B207" s="749">
        <f>+Z38</f>
        <v>431.6731638253719</v>
      </c>
      <c r="C207" s="744">
        <f t="shared" si="148"/>
        <v>0.03874846505504737</v>
      </c>
      <c r="D207" s="750">
        <f>+AJ38</f>
        <v>370.9549293419182</v>
      </c>
      <c r="E207" s="746">
        <f t="shared" si="149"/>
        <v>0.03430776361457859</v>
      </c>
      <c r="F207" s="750">
        <f>+AT38</f>
        <v>427.43422155186863</v>
      </c>
      <c r="G207" s="746">
        <f t="shared" si="150"/>
        <v>0.03533173938772922</v>
      </c>
      <c r="H207" s="750">
        <f>+BD38</f>
        <v>42.07079499295366</v>
      </c>
      <c r="I207" s="746">
        <f t="shared" si="151"/>
        <v>0.0037256613828957636</v>
      </c>
      <c r="J207" s="750">
        <f>+BN38</f>
        <v>181.03683783668416</v>
      </c>
      <c r="K207" s="747">
        <f t="shared" si="152"/>
        <v>0.01841696758917241</v>
      </c>
    </row>
    <row r="208" spans="1:11" s="609" customFormat="1" ht="12.75">
      <c r="A208" s="748" t="s">
        <v>230</v>
      </c>
      <c r="B208" s="651">
        <f>+Z26+Z27+Z30+Z31+Z32+Z33+Z25</f>
        <v>855.9642947188765</v>
      </c>
      <c r="C208" s="636">
        <f t="shared" si="148"/>
        <v>0.07683429349270386</v>
      </c>
      <c r="D208" s="652">
        <f>+AJ26+AJ27+AJ30+AJ31+AJ32+AJ33+AJ25</f>
        <v>751.5462552610308</v>
      </c>
      <c r="E208" s="638">
        <f t="shared" si="149"/>
        <v>0.06950674928800193</v>
      </c>
      <c r="F208" s="652">
        <f>+AT26+AT27+AT30+AT31+AT32+AT33+AT25</f>
        <v>508.36999329646386</v>
      </c>
      <c r="G208" s="638">
        <f t="shared" si="150"/>
        <v>0.04202189532340169</v>
      </c>
      <c r="H208" s="652">
        <f>+BD26+BD27+BD30+BD31+BD32+BD33+BD25</f>
        <v>851.0973638398408</v>
      </c>
      <c r="I208" s="638">
        <f t="shared" si="151"/>
        <v>0.07537058860127475</v>
      </c>
      <c r="J208" s="652">
        <f>+BN26+BN27+BN30+BN31+BN32+BN33+BN25</f>
        <v>693.8383062278567</v>
      </c>
      <c r="K208" s="640">
        <f t="shared" si="152"/>
        <v>0.07058451611628508</v>
      </c>
    </row>
    <row r="209" spans="1:11" ht="13.5" thickBot="1">
      <c r="A209" s="751" t="s">
        <v>232</v>
      </c>
      <c r="B209" s="752"/>
      <c r="C209" s="755"/>
      <c r="D209" s="754"/>
      <c r="E209" s="755"/>
      <c r="F209" s="754"/>
      <c r="G209" s="755"/>
      <c r="H209" s="754"/>
      <c r="I209" s="755"/>
      <c r="J209" s="754"/>
      <c r="K209" s="756"/>
    </row>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3.5" thickBot="1"/>
    <row r="230" spans="1:11" s="609" customFormat="1" ht="25.5" customHeight="1" thickBot="1">
      <c r="A230" s="1749" t="s">
        <v>243</v>
      </c>
      <c r="B230" s="1751" t="s">
        <v>269</v>
      </c>
      <c r="C230" s="1752"/>
      <c r="D230" s="1752"/>
      <c r="E230" s="1752"/>
      <c r="F230" s="1752"/>
      <c r="G230" s="1752"/>
      <c r="H230" s="1752"/>
      <c r="I230" s="1752"/>
      <c r="J230" s="1752"/>
      <c r="K230" s="1753"/>
    </row>
    <row r="231" spans="1:11" ht="36.75" customHeight="1" thickBot="1">
      <c r="A231" s="1750"/>
      <c r="B231" s="1754" t="s">
        <v>207</v>
      </c>
      <c r="C231" s="1755"/>
      <c r="D231" s="1756" t="s">
        <v>22</v>
      </c>
      <c r="E231" s="1757"/>
      <c r="F231" s="1756" t="s">
        <v>21</v>
      </c>
      <c r="G231" s="1757"/>
      <c r="H231" s="1756" t="s">
        <v>20</v>
      </c>
      <c r="I231" s="1758"/>
      <c r="J231" s="1756" t="s">
        <v>205</v>
      </c>
      <c r="K231" s="1759"/>
    </row>
    <row r="232" spans="1:11" s="609" customFormat="1" ht="24" customHeight="1" thickBot="1">
      <c r="A232" s="622" t="s">
        <v>213</v>
      </c>
      <c r="B232" s="623">
        <f>+BO23</f>
        <v>19928.020291389646</v>
      </c>
      <c r="C232" s="697" t="s">
        <v>214</v>
      </c>
      <c r="D232" s="625">
        <f>+BP23</f>
        <v>20468.62229416847</v>
      </c>
      <c r="E232" s="624" t="s">
        <v>214</v>
      </c>
      <c r="F232" s="625">
        <f>+BQ23</f>
        <v>21155.326126979122</v>
      </c>
      <c r="G232" s="624" t="s">
        <v>214</v>
      </c>
      <c r="H232" s="625">
        <f>+BR23</f>
        <v>20984.390029780483</v>
      </c>
      <c r="I232" s="624" t="s">
        <v>214</v>
      </c>
      <c r="J232" s="625">
        <f>+BS23</f>
        <v>20031.274340699278</v>
      </c>
      <c r="K232" s="626" t="s">
        <v>214</v>
      </c>
    </row>
    <row r="233" spans="1:11" ht="12.75">
      <c r="A233" s="742" t="s">
        <v>216</v>
      </c>
      <c r="B233" s="743">
        <f>+BO24</f>
        <v>12872.202340348267</v>
      </c>
      <c r="C233" s="744">
        <f aca="true" t="shared" si="153" ref="C233:C240">+B233/$B$232</f>
        <v>0.6459348270490267</v>
      </c>
      <c r="D233" s="745">
        <f>+BP24</f>
        <v>13523.026062079049</v>
      </c>
      <c r="E233" s="746">
        <f aca="true" t="shared" si="154" ref="E233:E240">+D233/$D$232</f>
        <v>0.6606710440854523</v>
      </c>
      <c r="F233" s="745">
        <f>+BQ24</f>
        <v>14026.023223396985</v>
      </c>
      <c r="G233" s="746">
        <f>+F233/$F$232</f>
        <v>0.663001985372836</v>
      </c>
      <c r="H233" s="745">
        <f>+BR24</f>
        <v>14026.310511717313</v>
      </c>
      <c r="I233" s="746">
        <f aca="true" t="shared" si="155" ref="I233:I240">+H233/$H$232</f>
        <v>0.668416403422332</v>
      </c>
      <c r="J233" s="745">
        <f>+BS24</f>
        <v>13161.13154193019</v>
      </c>
      <c r="K233" s="747">
        <f aca="true" t="shared" si="156" ref="K233:K240">+J233/$J$232</f>
        <v>0.6570291693918633</v>
      </c>
    </row>
    <row r="234" spans="1:11" ht="12.75">
      <c r="A234" s="748" t="s">
        <v>218</v>
      </c>
      <c r="B234" s="743">
        <f>+BO28</f>
        <v>931.5804477748702</v>
      </c>
      <c r="C234" s="744">
        <f t="shared" si="153"/>
        <v>0.04674726511480825</v>
      </c>
      <c r="D234" s="745">
        <f>+BP28</f>
        <v>1235.4040548983735</v>
      </c>
      <c r="E234" s="746">
        <f t="shared" si="154"/>
        <v>0.06035599451411742</v>
      </c>
      <c r="F234" s="745">
        <f>+BQ28</f>
        <v>1297.806664562622</v>
      </c>
      <c r="G234" s="746">
        <f aca="true" t="shared" si="157" ref="G234:G240">+F234/$F$232</f>
        <v>0.06134656855549702</v>
      </c>
      <c r="H234" s="745">
        <f>+BR28</f>
        <v>1018.3877479972904</v>
      </c>
      <c r="I234" s="746">
        <f t="shared" si="155"/>
        <v>0.04853072910635105</v>
      </c>
      <c r="J234" s="745">
        <f>+BS28</f>
        <v>637.6552651847995</v>
      </c>
      <c r="K234" s="747">
        <f t="shared" si="156"/>
        <v>0.03183298547757493</v>
      </c>
    </row>
    <row r="235" spans="1:11" ht="12.75">
      <c r="A235" s="650" t="s">
        <v>220</v>
      </c>
      <c r="B235" s="743">
        <f>+BO29</f>
        <v>226.7617942217561</v>
      </c>
      <c r="C235" s="744">
        <f t="shared" si="153"/>
        <v>0.011379042720050506</v>
      </c>
      <c r="D235" s="745">
        <f>+BP29</f>
        <v>564.295280545516</v>
      </c>
      <c r="E235" s="746">
        <f t="shared" si="154"/>
        <v>0.027568796396535408</v>
      </c>
      <c r="F235" s="745">
        <f>+BQ29</f>
        <v>954.0726421545423</v>
      </c>
      <c r="G235" s="746">
        <f t="shared" si="157"/>
        <v>0.04509846061592147</v>
      </c>
      <c r="H235" s="745">
        <f>+BR29</f>
        <v>608.6288677738801</v>
      </c>
      <c r="I235" s="746">
        <f t="shared" si="155"/>
        <v>0.02900388655139036</v>
      </c>
      <c r="J235" s="745">
        <f>+BS29</f>
        <v>483.5236292366829</v>
      </c>
      <c r="K235" s="747">
        <f t="shared" si="156"/>
        <v>0.02413843577860975</v>
      </c>
    </row>
    <row r="236" spans="1:11" ht="12.75">
      <c r="A236" s="748" t="s">
        <v>222</v>
      </c>
      <c r="B236" s="743">
        <f>+BO35</f>
        <v>661.2712407986234</v>
      </c>
      <c r="C236" s="744">
        <f t="shared" si="153"/>
        <v>0.03318298712714281</v>
      </c>
      <c r="D236" s="745">
        <f>+BP35</f>
        <v>0</v>
      </c>
      <c r="E236" s="746">
        <f t="shared" si="154"/>
        <v>0</v>
      </c>
      <c r="F236" s="745">
        <f>+BQ35</f>
        <v>0</v>
      </c>
      <c r="G236" s="746">
        <f t="shared" si="157"/>
        <v>0</v>
      </c>
      <c r="H236" s="745">
        <f>+BR35</f>
        <v>0</v>
      </c>
      <c r="I236" s="746">
        <f t="shared" si="155"/>
        <v>0</v>
      </c>
      <c r="J236" s="745">
        <f>+BS35</f>
        <v>0</v>
      </c>
      <c r="K236" s="747">
        <f t="shared" si="156"/>
        <v>0</v>
      </c>
    </row>
    <row r="237" spans="1:11" ht="12.75">
      <c r="A237" s="748" t="s">
        <v>224</v>
      </c>
      <c r="B237" s="743">
        <f>+BO36</f>
        <v>1994.403747408003</v>
      </c>
      <c r="C237" s="744">
        <f t="shared" si="153"/>
        <v>0.10008037518256294</v>
      </c>
      <c r="D237" s="745">
        <f>+BP36</f>
        <v>1984.4154417369937</v>
      </c>
      <c r="E237" s="746">
        <f t="shared" si="154"/>
        <v>0.09694914553689116</v>
      </c>
      <c r="F237" s="745">
        <f>+BQ36</f>
        <v>1959.7333122928837</v>
      </c>
      <c r="G237" s="746">
        <f t="shared" si="157"/>
        <v>0.09263545740349804</v>
      </c>
      <c r="H237" s="745">
        <f>+BR36</f>
        <v>1960.3200550957927</v>
      </c>
      <c r="I237" s="746">
        <f t="shared" si="155"/>
        <v>0.09341801464392147</v>
      </c>
      <c r="J237" s="745">
        <f>+BS36</f>
        <v>1907.7829668442162</v>
      </c>
      <c r="K237" s="747">
        <f t="shared" si="156"/>
        <v>0.09524021958842668</v>
      </c>
    </row>
    <row r="238" spans="1:11" ht="12.75">
      <c r="A238" s="748" t="s">
        <v>226</v>
      </c>
      <c r="B238" s="743">
        <f>+BO37</f>
        <v>873.8957499736981</v>
      </c>
      <c r="C238" s="744">
        <f t="shared" si="153"/>
        <v>0.04385261241184527</v>
      </c>
      <c r="D238" s="745">
        <f>+BP37</f>
        <v>407.43388070276137</v>
      </c>
      <c r="E238" s="746">
        <f t="shared" si="154"/>
        <v>0.019905290881196226</v>
      </c>
      <c r="F238" s="745">
        <f>+BQ37</f>
        <v>118.41262953027199</v>
      </c>
      <c r="G238" s="746">
        <f t="shared" si="157"/>
        <v>0.005597296341334197</v>
      </c>
      <c r="H238" s="745">
        <f>+BR37</f>
        <v>639.7671672967111</v>
      </c>
      <c r="I238" s="746">
        <f t="shared" si="155"/>
        <v>0.0304877657338989</v>
      </c>
      <c r="J238" s="745">
        <f>+BS37</f>
        <v>1871.292439150512</v>
      </c>
      <c r="K238" s="747">
        <f t="shared" si="156"/>
        <v>0.09341854179234343</v>
      </c>
    </row>
    <row r="239" spans="1:11" ht="12.75">
      <c r="A239" s="748" t="s">
        <v>228</v>
      </c>
      <c r="B239" s="743">
        <f>+BO38</f>
        <v>560.3046084090993</v>
      </c>
      <c r="C239" s="744">
        <f t="shared" si="153"/>
        <v>0.028116421010028356</v>
      </c>
      <c r="D239" s="745">
        <f>+BP38</f>
        <v>964.0283221079253</v>
      </c>
      <c r="E239" s="746">
        <f t="shared" si="154"/>
        <v>0.04709786072815355</v>
      </c>
      <c r="F239" s="745">
        <f>+BQ38</f>
        <v>1447.0301404450058</v>
      </c>
      <c r="G239" s="746">
        <f t="shared" si="157"/>
        <v>0.06840027573952767</v>
      </c>
      <c r="H239" s="745">
        <f>+BR38</f>
        <v>877.6426871308182</v>
      </c>
      <c r="I239" s="746">
        <f t="shared" si="155"/>
        <v>0.04182359772599019</v>
      </c>
      <c r="J239" s="745">
        <f>+BS38</f>
        <v>339.66218635076643</v>
      </c>
      <c r="K239" s="747">
        <f t="shared" si="156"/>
        <v>0.016956594002641424</v>
      </c>
    </row>
    <row r="240" spans="1:11" s="609" customFormat="1" ht="12.75">
      <c r="A240" s="748" t="s">
        <v>230</v>
      </c>
      <c r="B240" s="743">
        <f>+BO26+BO27+BO30+BO31+BO32+BO33+BO25</f>
        <v>1807.600362455329</v>
      </c>
      <c r="C240" s="744">
        <f t="shared" si="153"/>
        <v>0.0907064693845351</v>
      </c>
      <c r="D240" s="745">
        <f>+BP26+BP27+BP30+BP31+BP32+BP33+BP25</f>
        <v>1790.0192520978508</v>
      </c>
      <c r="E240" s="746">
        <f t="shared" si="154"/>
        <v>0.08745186785765396</v>
      </c>
      <c r="F240" s="745">
        <f>+BQ26+BQ27+BQ30+BQ31+BQ32+BQ33+BQ25</f>
        <v>1352.2475145968126</v>
      </c>
      <c r="G240" s="746">
        <f t="shared" si="157"/>
        <v>0.06391995597138578</v>
      </c>
      <c r="H240" s="745">
        <f>+BR26+BR27+BR30+BR31+BR32+BR33+BR25</f>
        <v>1853.3329927686768</v>
      </c>
      <c r="I240" s="746">
        <f t="shared" si="155"/>
        <v>0.088319602816116</v>
      </c>
      <c r="J240" s="745">
        <f>+BS26+BS27+BS30+BS31+BS32+BS33+BS25</f>
        <v>1630.2263120021119</v>
      </c>
      <c r="K240" s="747">
        <f t="shared" si="156"/>
        <v>0.08138405396854057</v>
      </c>
    </row>
    <row r="241" spans="1:11" ht="13.5" thickBot="1">
      <c r="A241" s="751" t="s">
        <v>232</v>
      </c>
      <c r="B241" s="752"/>
      <c r="C241" s="753"/>
      <c r="D241" s="754"/>
      <c r="E241" s="755"/>
      <c r="F241" s="754"/>
      <c r="G241" s="755"/>
      <c r="H241" s="754"/>
      <c r="I241" s="755"/>
      <c r="J241" s="754"/>
      <c r="K241" s="756"/>
    </row>
    <row r="261" ht="12.75">
      <c r="A261" s="757" t="s">
        <v>382</v>
      </c>
    </row>
    <row r="262" ht="12.75">
      <c r="A262" s="757"/>
    </row>
  </sheetData>
  <mergeCells count="71">
    <mergeCell ref="A2:K2"/>
    <mergeCell ref="A4:A5"/>
    <mergeCell ref="B5:C5"/>
    <mergeCell ref="D5:E5"/>
    <mergeCell ref="F5:G5"/>
    <mergeCell ref="H5:I5"/>
    <mergeCell ref="J5:K5"/>
    <mergeCell ref="B4:K4"/>
    <mergeCell ref="A31:A32"/>
    <mergeCell ref="B31:K31"/>
    <mergeCell ref="B32:C32"/>
    <mergeCell ref="D32:E32"/>
    <mergeCell ref="F32:G32"/>
    <mergeCell ref="H32:I32"/>
    <mergeCell ref="J32:K32"/>
    <mergeCell ref="A62:A63"/>
    <mergeCell ref="B62:K62"/>
    <mergeCell ref="B63:C63"/>
    <mergeCell ref="D63:E63"/>
    <mergeCell ref="F63:G63"/>
    <mergeCell ref="H63:I63"/>
    <mergeCell ref="J63:K63"/>
    <mergeCell ref="A89:A90"/>
    <mergeCell ref="B89:K89"/>
    <mergeCell ref="B90:C90"/>
    <mergeCell ref="D90:E90"/>
    <mergeCell ref="F90:G90"/>
    <mergeCell ref="H90:I90"/>
    <mergeCell ref="J90:K90"/>
    <mergeCell ref="A116:A117"/>
    <mergeCell ref="B116:K116"/>
    <mergeCell ref="B117:C117"/>
    <mergeCell ref="D117:E117"/>
    <mergeCell ref="F117:G117"/>
    <mergeCell ref="H117:I117"/>
    <mergeCell ref="J117:K117"/>
    <mergeCell ref="A143:A144"/>
    <mergeCell ref="B143:K143"/>
    <mergeCell ref="B144:C144"/>
    <mergeCell ref="D144:E144"/>
    <mergeCell ref="F144:G144"/>
    <mergeCell ref="H144:I144"/>
    <mergeCell ref="J144:K144"/>
    <mergeCell ref="A170:A171"/>
    <mergeCell ref="B170:K170"/>
    <mergeCell ref="B171:C171"/>
    <mergeCell ref="D171:E171"/>
    <mergeCell ref="F171:G171"/>
    <mergeCell ref="H171:I171"/>
    <mergeCell ref="J171:K171"/>
    <mergeCell ref="A198:A199"/>
    <mergeCell ref="B198:K198"/>
    <mergeCell ref="B199:C199"/>
    <mergeCell ref="D199:E199"/>
    <mergeCell ref="F199:G199"/>
    <mergeCell ref="H199:I199"/>
    <mergeCell ref="J199:K199"/>
    <mergeCell ref="P4:P5"/>
    <mergeCell ref="Q4:Z4"/>
    <mergeCell ref="AA4:AJ4"/>
    <mergeCell ref="A230:A231"/>
    <mergeCell ref="B230:K230"/>
    <mergeCell ref="B231:C231"/>
    <mergeCell ref="D231:E231"/>
    <mergeCell ref="F231:G231"/>
    <mergeCell ref="H231:I231"/>
    <mergeCell ref="J231:K231"/>
    <mergeCell ref="BO4:BS4"/>
    <mergeCell ref="AK4:AT4"/>
    <mergeCell ref="AU4:BD4"/>
    <mergeCell ref="BE4:BN4"/>
  </mergeCells>
  <printOptions horizontalCentered="1"/>
  <pageMargins left="0.17" right="0.17" top="0.31" bottom="0.23" header="0.28" footer="0.19"/>
  <pageSetup horizontalDpi="600" verticalDpi="600" orientation="portrait" paperSize="9" scale="85" r:id="rId2"/>
  <rowBreaks count="2" manualBreakCount="2">
    <brk id="115" max="255" man="1"/>
    <brk id="229" max="255" man="1"/>
  </rowBreaks>
  <colBreaks count="1" manualBreakCount="1">
    <brk id="4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Buřič</dc:creator>
  <cp:keywords/>
  <dc:description/>
  <cp:lastModifiedBy>chrastova</cp:lastModifiedBy>
  <cp:lastPrinted>2007-05-24T04:54:09Z</cp:lastPrinted>
  <dcterms:created xsi:type="dcterms:W3CDTF">2004-10-24T11:36:53Z</dcterms:created>
  <dcterms:modified xsi:type="dcterms:W3CDTF">2007-05-24T07:48:31Z</dcterms:modified>
  <cp:category/>
  <cp:version/>
  <cp:contentType/>
  <cp:contentStatus/>
</cp:coreProperties>
</file>