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9480" activeTab="0"/>
  </bookViews>
  <sheets>
    <sheet name="sumář" sheetId="1" r:id="rId1"/>
    <sheet name="stav fondů" sheetId="2" r:id="rId2"/>
    <sheet name="mzdy" sheetId="3" r:id="rId3"/>
    <sheet name="H.Brod" sheetId="4" r:id="rId4"/>
    <sheet name="Pelhřimov" sheetId="5" r:id="rId5"/>
    <sheet name="Jihlava" sheetId="6" r:id="rId6"/>
    <sheet name="Třebíč" sheetId="7" r:id="rId7"/>
    <sheet name="N.Město" sheetId="8" r:id="rId8"/>
  </sheets>
  <definedNames>
    <definedName name="_xlnm.Print_Area" localSheetId="5">'Jihlava'!$A$1:$M$249</definedName>
  </definedNames>
  <calcPr fullCalcOnLoad="1"/>
</workbook>
</file>

<file path=xl/comments6.xml><?xml version="1.0" encoding="utf-8"?>
<comments xmlns="http://schemas.openxmlformats.org/spreadsheetml/2006/main">
  <authors>
    <author>Ing. Martin Šuma</author>
    <author>Ing. Eva Semr?dov?</author>
    <author/>
  </authors>
  <commentList>
    <comment ref="A102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Ultrazvukový přístroj pro urgentní medicínu (AT) a případy hromadných neštěstí</t>
        </r>
      </text>
    </comment>
    <comment ref="D15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1 274 000 dotace na soc.sestru, knihovnu 
39 000 000 provozní dotace -&gt; přesun z investic do provozu
765 960,50 provozní dotace za přijatá plnění za rok 2005 dle příkazní smlouvy (žádost NJ z 27.1.2006)
99 235 provozní dotace za přijatá plnění za rok 2004 dle příkazní smlouvy (žádost NJ z 27.1.2006)
6 166 103 dotace na LSPP
50 000 dotace od KrÚ (Úřad práce)
82 911 -Fond Vysočiny. 0570/09/2005/ZK ze dne 21.12.2005 a schválené žádosti o podporu č. FV 045/131/06
prozatím v plánu odstraněno (nebude nyní RK projednávat)
1 800 000 provozní dotace z příkazní smlouvy z plnění za rok 2006
odstraněno 50 tis. dotace od ÚP - prozatím není v rozpočtu, rozpočet bude upravován dle skutečnosti</t>
        </r>
      </text>
    </comment>
    <comment ref="D70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převod finančních prostředků z roku 2005 ke krytí investičních potřeb v roce 2006:
  1.275.127,51 1667/39/2005/RK ze dne 13.12.2005
  5.000.000,00 1667/39/2005/RK ze dne 13.12.2005
</t>
        </r>
        <r>
          <rPr>
            <u val="single"/>
            <sz val="8"/>
            <rFont val="Tahoma"/>
            <family val="2"/>
          </rPr>
          <t>13.157.980,00</t>
        </r>
        <r>
          <rPr>
            <sz val="8"/>
            <rFont val="Tahoma"/>
            <family val="0"/>
          </rPr>
          <t xml:space="preserve"> 1667/39/2005/RK ze dne 13.12.2005
19.433.108,00 celkem</t>
        </r>
      </text>
    </comment>
    <comment ref="D115" authorId="1">
      <text>
        <r>
          <rPr>
            <b/>
            <sz val="8"/>
            <rFont val="Tahoma"/>
            <family val="0"/>
          </rPr>
          <t>Ing. Eva Semrádová:</t>
        </r>
        <r>
          <rPr>
            <sz val="8"/>
            <rFont val="Tahoma"/>
            <family val="0"/>
          </rPr>
          <t xml:space="preserve">
placeno z darů</t>
        </r>
      </text>
    </comment>
    <comment ref="B70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převod finančních prostředků z roku 2005 ke krytí investičních potřeb v roce 2006:
  1.275.127,51 1667/39/2005/RK ze dne 13.12.2005
  5.000.000,00 1667/39/2005/RK ze dne 13.12.2005
</t>
        </r>
        <r>
          <rPr>
            <u val="single"/>
            <sz val="8"/>
            <rFont val="Tahoma"/>
            <family val="2"/>
          </rPr>
          <t>13.157.980,00</t>
        </r>
        <r>
          <rPr>
            <sz val="8"/>
            <rFont val="Tahoma"/>
            <family val="0"/>
          </rPr>
          <t xml:space="preserve"> 1667/39/2005/RK ze dne 13.12.2005
19.433.108,00 celkem</t>
        </r>
      </text>
    </comment>
    <comment ref="D182" authorId="2">
      <text>
        <r>
          <rPr>
            <b/>
            <sz val="8"/>
            <color indexed="8"/>
            <rFont val="Times New Roman"/>
            <family val="1"/>
          </rPr>
          <t xml:space="preserve">Ing. Martin Šuma:
</t>
        </r>
        <r>
          <rPr>
            <sz val="8"/>
            <color indexed="8"/>
            <rFont val="Times New Roman"/>
            <family val="1"/>
          </rPr>
          <t>1667/39/2005/RK ze dne 13.12.2005</t>
        </r>
      </text>
    </comment>
    <comment ref="D183" authorId="2">
      <text>
        <r>
          <rPr>
            <b/>
            <sz val="8"/>
            <color indexed="8"/>
            <rFont val="Times New Roman"/>
            <family val="1"/>
          </rPr>
          <t xml:space="preserve">Ing. Martin Šuma:
</t>
        </r>
        <r>
          <rPr>
            <sz val="8"/>
            <color indexed="8"/>
            <rFont val="Times New Roman"/>
            <family val="1"/>
          </rPr>
          <t>dle usnesení 1566/38/2005/RK ze dne 6.12.2005</t>
        </r>
      </text>
    </comment>
    <comment ref="D190" authorId="2">
      <text>
        <r>
          <rPr>
            <b/>
            <sz val="8"/>
            <color indexed="8"/>
            <rFont val="Times New Roman"/>
            <family val="1"/>
          </rPr>
          <t xml:space="preserve">Ing. Martin Šuma:
</t>
        </r>
        <r>
          <rPr>
            <sz val="8"/>
            <color indexed="8"/>
            <rFont val="Times New Roman"/>
            <family val="1"/>
          </rPr>
          <t>navýšeno o 5.338 + 350 + 650 (PED) + 1100 (GYN) + 22 (INT dražší defibrilátor), aby nebyl zůstatek záporný. Až dojde k úpravě investičního plánu (převodu z investic do provozu) je potřeba o tuto částku dary v investičním fondu snížit</t>
        </r>
      </text>
    </comment>
  </commentList>
</comments>
</file>

<file path=xl/sharedStrings.xml><?xml version="1.0" encoding="utf-8"?>
<sst xmlns="http://schemas.openxmlformats.org/spreadsheetml/2006/main" count="1814" uniqueCount="657">
  <si>
    <t>Poznámka: převedené prostředky ve výši 18 864 615, 72 obsahují i prostředky z fondu reprodukce (nevyčerpané v roce 2006) ve výši 8 004 022,10 Kč, čistě převedené prostředky z nájemného jsou 10 861 tis. Kč</t>
  </si>
  <si>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</si>
  <si>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</si>
  <si>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</si>
  <si>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</si>
  <si>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</si>
  <si>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</si>
  <si>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</si>
  <si>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</si>
  <si>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</si>
  <si>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</si>
  <si>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</si>
  <si>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</si>
  <si>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</si>
  <si>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</si>
  <si>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</si>
  <si>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</si>
  <si>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</si>
  <si>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</si>
  <si>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</si>
  <si>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</si>
  <si>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</si>
  <si>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</si>
  <si>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</si>
  <si>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</si>
  <si>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</si>
  <si>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</si>
  <si>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</si>
  <si>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</si>
  <si>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</si>
  <si>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</si>
  <si>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</si>
  <si>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</si>
  <si>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</si>
  <si>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</si>
  <si>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</si>
  <si>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</si>
  <si>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</si>
  <si>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</si>
  <si>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</si>
  <si>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</si>
  <si>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Vyčíslení nájemného</t>
  </si>
  <si>
    <t>Typ dotace</t>
  </si>
  <si>
    <t>Dotace na investice</t>
  </si>
  <si>
    <t>Rok</t>
  </si>
  <si>
    <t>celkem</t>
  </si>
  <si>
    <t>movitý majetek</t>
  </si>
  <si>
    <t>nemovitý majetek</t>
  </si>
  <si>
    <t>v %</t>
  </si>
  <si>
    <t>Státní dotace</t>
  </si>
  <si>
    <t>celkem investice</t>
  </si>
  <si>
    <t xml:space="preserve">investice -movitý </t>
  </si>
  <si>
    <t xml:space="preserve">investice -nemovitý </t>
  </si>
  <si>
    <t>provozní dotace</t>
  </si>
  <si>
    <t xml:space="preserve">Dotace celkem </t>
  </si>
  <si>
    <t>dotace ze smluv o nájmu movitého a nemovitého majetku</t>
  </si>
  <si>
    <t xml:space="preserve">dotace z příkazních smluv </t>
  </si>
  <si>
    <t xml:space="preserve">celkem </t>
  </si>
  <si>
    <t>UZ 00051</t>
  </si>
  <si>
    <t>UZ 00052</t>
  </si>
  <si>
    <t xml:space="preserve">položka 6351 </t>
  </si>
  <si>
    <t>CELKEM INVESTICE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</si>
  <si>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</si>
  <si>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</si>
  <si>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</si>
  <si>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</si>
  <si>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</si>
  <si>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</si>
  <si>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</si>
  <si>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</si>
  <si>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</si>
  <si>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</si>
  <si>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</si>
  <si>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Investiční fond</t>
  </si>
  <si>
    <t>Běžný účet FKSP</t>
  </si>
  <si>
    <t>INVESTIĆNÍ FOND</t>
  </si>
  <si>
    <t>REZERVNÍ FOND</t>
  </si>
  <si>
    <t>Počátečný stav</t>
  </si>
  <si>
    <t>Počáteční stav</t>
  </si>
  <si>
    <t xml:space="preserve">    odpisy</t>
  </si>
  <si>
    <t xml:space="preserve">   příděl ze zlepšeného hosp. výsledku</t>
  </si>
  <si>
    <t xml:space="preserve">   dary</t>
  </si>
  <si>
    <t xml:space="preserve">    investiční dotace ze SR</t>
  </si>
  <si>
    <t xml:space="preserve">   převod z rezervního fondu</t>
  </si>
  <si>
    <t xml:space="preserve">  k dalšímu rozvoji činnosti</t>
  </si>
  <si>
    <t xml:space="preserve">  k úhradě ztráty za předch. léta</t>
  </si>
  <si>
    <t>Zůstatek</t>
  </si>
  <si>
    <t>do 30 dnů</t>
  </si>
  <si>
    <t>31-90</t>
  </si>
  <si>
    <t>91-180</t>
  </si>
  <si>
    <t>181-360</t>
  </si>
  <si>
    <t>nad 360</t>
  </si>
  <si>
    <t>Pohledávky</t>
  </si>
  <si>
    <t>Oddělení</t>
  </si>
  <si>
    <t xml:space="preserve">Lůžka </t>
  </si>
  <si>
    <t>Obložnost</t>
  </si>
  <si>
    <t>interní</t>
  </si>
  <si>
    <t>infekční</t>
  </si>
  <si>
    <t>TRN</t>
  </si>
  <si>
    <t>neurologické</t>
  </si>
  <si>
    <t>psychiatrie</t>
  </si>
  <si>
    <t>pediatrie</t>
  </si>
  <si>
    <t>gynekologie</t>
  </si>
  <si>
    <t>chirurgické</t>
  </si>
  <si>
    <t xml:space="preserve">ARO </t>
  </si>
  <si>
    <t>ortopedické</t>
  </si>
  <si>
    <t>urologické</t>
  </si>
  <si>
    <t>ORL</t>
  </si>
  <si>
    <t>oftalmologie</t>
  </si>
  <si>
    <t>kožní</t>
  </si>
  <si>
    <t>radioterapeutické</t>
  </si>
  <si>
    <t>rehabilitační</t>
  </si>
  <si>
    <t>následná péče</t>
  </si>
  <si>
    <t>centrální JIP</t>
  </si>
  <si>
    <t>Rozbor mzdových nákladů podle kategorií</t>
  </si>
  <si>
    <t>k 31.12.2004</t>
  </si>
  <si>
    <t>Průměrný přepočtený počet</t>
  </si>
  <si>
    <t>mzdové náklady</t>
  </si>
  <si>
    <t>Průměrná mzda</t>
  </si>
  <si>
    <t>Lékaři</t>
  </si>
  <si>
    <t>Farmaceuti</t>
  </si>
  <si>
    <t>všeobecné sestry, porodní asistentky</t>
  </si>
  <si>
    <t>ostatní zdrav.pracovníci nelékaři s odbornou způsobilostí</t>
  </si>
  <si>
    <t>zdrav.pracovníci nelékaři s odb. a special. způsobilostí</t>
  </si>
  <si>
    <t>zdrav.pracovníci nelékaři pod odborn. dohledem nebo přímým vedením</t>
  </si>
  <si>
    <t>jiní odborní pracovníci nelékaři s odbornou způsobilostí</t>
  </si>
  <si>
    <t>pedagogičtí pracovníci</t>
  </si>
  <si>
    <t>THP</t>
  </si>
  <si>
    <t>dělníci a provozní pracovníci</t>
  </si>
  <si>
    <t>Příspěvek na provoz</t>
  </si>
  <si>
    <t>Limit prostředků na platy</t>
  </si>
  <si>
    <t>Nemocnice Jihlava</t>
  </si>
  <si>
    <t>Název akce</t>
  </si>
  <si>
    <t>Rezerva na nutné hvarijní stavy nemovitého majetku</t>
  </si>
  <si>
    <t>Smluvní servis zdravotnických přístrojů</t>
  </si>
  <si>
    <t>Rezerva na nutné hvarijní stavy movitého majetku</t>
  </si>
  <si>
    <t xml:space="preserve">   opravy a údržba nemovitého majetku</t>
  </si>
  <si>
    <t>Závazky</t>
  </si>
  <si>
    <t>*účet 691 je vyšší o 6.166 tis. Kč - jde o dotace od MÚ na provoz LSPP</t>
  </si>
  <si>
    <t>Příspěvek na sociální sestru, knihovnu a živelní pojištění UZ 00000</t>
  </si>
  <si>
    <t>Z nájemného ze smluv o nájmu movitého a nemovitého majetku UZ 00051</t>
  </si>
  <si>
    <t>Z příkazních smluv UZ 00052</t>
  </si>
  <si>
    <t>Z příjmů z prodeje movitého majetku UZ 00055</t>
  </si>
  <si>
    <t>I. Návrh finančního plánu, investičního plánu, odpisového plánu</t>
  </si>
  <si>
    <t>Podíl typů dotace na  nájemném</t>
  </si>
  <si>
    <t>Příspěvek resp. dotace na provoz - položka 5331</t>
  </si>
  <si>
    <t>Dotace na investice - položka 6351</t>
  </si>
  <si>
    <t>CELKEM nemovitý majetek</t>
  </si>
  <si>
    <t>CELKEM movitý majetek</t>
  </si>
  <si>
    <t>Závazné ukazatele pro rok 2006</t>
  </si>
  <si>
    <t>Stav k 1.1.2006</t>
  </si>
  <si>
    <t>Stav k 31.12.2006</t>
  </si>
  <si>
    <t>Rozdíl 2006 - 2005</t>
  </si>
  <si>
    <t>Urodynamická jednotka (GYN)</t>
  </si>
  <si>
    <t>Unuator (LEK)</t>
  </si>
  <si>
    <t>EKG (ODN)</t>
  </si>
  <si>
    <t>Centrifuga chlazená (OKBMI)</t>
  </si>
  <si>
    <t>Klinický audiometr (ORL)</t>
  </si>
  <si>
    <t>Digitalizace Fomei (RDG)</t>
  </si>
  <si>
    <t>k 31.12.2005</t>
  </si>
  <si>
    <t>Po lhůtě</t>
  </si>
  <si>
    <t>splatnosti</t>
  </si>
  <si>
    <t xml:space="preserve">     z toho</t>
  </si>
  <si>
    <t>Dotace z kapitálových výdajů</t>
  </si>
  <si>
    <t>Oprava střešního pláště diagnostického pavilonu</t>
  </si>
  <si>
    <t>Bronchoskop (TRN)</t>
  </si>
  <si>
    <t/>
  </si>
  <si>
    <t xml:space="preserve"> vlastní zdroje</t>
  </si>
  <si>
    <t xml:space="preserve">   výnosy z prodeje hmotného inv. majetku</t>
  </si>
  <si>
    <t xml:space="preserve">   vlastní investiční výdaje na movité věci</t>
  </si>
  <si>
    <t xml:space="preserve">   investiční výdaje na movité věci ÚZ 00051</t>
  </si>
  <si>
    <t xml:space="preserve">   investiční výdaje na movité věci ÚZ 00052</t>
  </si>
  <si>
    <t xml:space="preserve">   investiční výdaje na TZ nemovitostí ÚZ 00051</t>
  </si>
  <si>
    <t xml:space="preserve">   investiční výdaje na TZ nemovitostí ÚZ 00052</t>
  </si>
  <si>
    <t xml:space="preserve">    investiční dotace od zřizovatele ÚZ 00052</t>
  </si>
  <si>
    <t xml:space="preserve">    investiční dotace od zřizovatele ÚZ 00051</t>
  </si>
  <si>
    <t>z toho převod z rozpočtu kraje k 31.12.2005</t>
  </si>
  <si>
    <t>z toho nařízený odvod z investičního fondu</t>
  </si>
  <si>
    <t>Vyčíslení nájemného v Kč</t>
  </si>
  <si>
    <t>II. Závazné ukazatele v tis. Kč</t>
  </si>
  <si>
    <t>celkem bez prostředků z investičního fondu</t>
  </si>
  <si>
    <t>Nemovitý majetek  v Kč</t>
  </si>
  <si>
    <t>Movitý majetek  v Kč</t>
  </si>
  <si>
    <t>I. Návrh finančního plánu, investičního plánu, odpisového plánu, závazné ukazatele</t>
  </si>
  <si>
    <t>Nemocnice Třebíč</t>
  </si>
  <si>
    <t>Jiné</t>
  </si>
  <si>
    <t>z toho po lhůtě splatnosti</t>
  </si>
  <si>
    <t xml:space="preserve">   investiční výdaje na movitý</t>
  </si>
  <si>
    <t xml:space="preserve">   investiční výdaje na nemovitý</t>
  </si>
  <si>
    <t>převod do IF</t>
  </si>
  <si>
    <t xml:space="preserve">Doplňující </t>
  </si>
  <si>
    <t>Nemocnice Havlíčkův Brod</t>
  </si>
  <si>
    <t>dotace z kapitálových výdajů - schváleno usnesením 0076/01/2005/ZK</t>
  </si>
  <si>
    <t>Nemovitý majetek § 3522, položka 6351 v Kč</t>
  </si>
  <si>
    <t>Převedené prostředky z roku 2004</t>
  </si>
  <si>
    <t xml:space="preserve"> vlastní zdroje organizace</t>
  </si>
  <si>
    <t>UZ 00055</t>
  </si>
  <si>
    <t>CELKEM stavební investice - nemovitý majetek</t>
  </si>
  <si>
    <t>Movitý majetek § 3522, položka 6351 v Kč</t>
  </si>
  <si>
    <t>Strojní investice</t>
  </si>
  <si>
    <t>00052</t>
  </si>
  <si>
    <t>CELKEM strojní investice - movitý majetek</t>
  </si>
  <si>
    <t xml:space="preserve">     Opravy nemovitého majetku</t>
  </si>
  <si>
    <t>Náklady v tis. Kč</t>
  </si>
  <si>
    <t xml:space="preserve">            Opravy movitého majetku</t>
  </si>
  <si>
    <t xml:space="preserve">Celkem </t>
  </si>
  <si>
    <t>převod do investičního fondu</t>
  </si>
  <si>
    <t>Skutečnost 2004</t>
  </si>
  <si>
    <t>Jiné (úřad práce)</t>
  </si>
  <si>
    <t xml:space="preserve">    investiční dotace od zřizovatele00051</t>
  </si>
  <si>
    <t xml:space="preserve">    investiční dotace od zřizovatele00052</t>
  </si>
  <si>
    <t>IV. Lidské zdroje - rozbor mzdových nákladů</t>
  </si>
  <si>
    <t>v  Kč</t>
  </si>
  <si>
    <t>Kategorie</t>
  </si>
  <si>
    <t xml:space="preserve">   vyrovnání kumulované ztráty</t>
  </si>
  <si>
    <t xml:space="preserve">   opravy a údržba</t>
  </si>
  <si>
    <t xml:space="preserve">   příděl ze zlepšeného h. výsledku</t>
  </si>
  <si>
    <t>III. Plán čerpání investičního fondu - položkový přehled investičních akcí</t>
  </si>
  <si>
    <t>IV. Plán čerpání fondů</t>
  </si>
  <si>
    <t>opravy nad rámec běžné údržby</t>
  </si>
  <si>
    <t>Předpokládané náklady (v Kč)</t>
  </si>
  <si>
    <t>malování - oddělení</t>
  </si>
  <si>
    <t>běžná údržba</t>
  </si>
  <si>
    <t>elektro</t>
  </si>
  <si>
    <t>ZTI</t>
  </si>
  <si>
    <t>topení</t>
  </si>
  <si>
    <t>zámečnictví</t>
  </si>
  <si>
    <t>malířství</t>
  </si>
  <si>
    <t>stavební drobné úpravy</t>
  </si>
  <si>
    <t>truhlářské práce</t>
  </si>
  <si>
    <t xml:space="preserve"> broušení nástrojů zdravotního zařízení</t>
  </si>
  <si>
    <t>opravy mediciálních plynů</t>
  </si>
  <si>
    <t>drobné opravy klimatizačního zařízení vč. M a R, chlazení, vlhčení</t>
  </si>
  <si>
    <t>drobné opravy MR, EPS, STA, EZS, telefonu</t>
  </si>
  <si>
    <t>VO</t>
  </si>
  <si>
    <t>závory, brány, oplocení</t>
  </si>
  <si>
    <t>drobné opravy výtahů</t>
  </si>
  <si>
    <t xml:space="preserve">drobné opravy v kotelnách a výměníkových stanicích </t>
  </si>
  <si>
    <t>drobné opravy plynových spotřebičů a zařízení</t>
  </si>
  <si>
    <t>běžná údržba a opravy nad rámec běžné údržby</t>
  </si>
  <si>
    <t xml:space="preserve">    investiční dotace od zřizovatele 00051</t>
  </si>
  <si>
    <t xml:space="preserve">   investiční výdaje na nemovitý 00051</t>
  </si>
  <si>
    <t xml:space="preserve">   investiční výdaje na nemovitý 00052</t>
  </si>
  <si>
    <t xml:space="preserve">   investiční výdaje na movitý 00052</t>
  </si>
  <si>
    <t xml:space="preserve">   investiční výdaje na movitý 00051</t>
  </si>
  <si>
    <t>Rekonstrukce laboratoří - stavební část</t>
  </si>
  <si>
    <t>Nemocnice Pelhřimov</t>
  </si>
  <si>
    <t>CELKEM investice -nemovitý majetek</t>
  </si>
  <si>
    <t>CELKEM investice- movitý majetek</t>
  </si>
  <si>
    <t xml:space="preserve">   opravy a údžba nemovitého majetku</t>
  </si>
  <si>
    <t xml:space="preserve">   jiné</t>
  </si>
  <si>
    <t>Skutečnost 2005</t>
  </si>
  <si>
    <t>rezerva</t>
  </si>
  <si>
    <t>finančně nekrytý FRIM</t>
  </si>
  <si>
    <t>zdravotnická technika</t>
  </si>
  <si>
    <t>Lůžkový fond</t>
  </si>
  <si>
    <t>Nemocnice Nové Město na Moravě</t>
  </si>
  <si>
    <t>CELKEM investice- nemovitý majetek</t>
  </si>
  <si>
    <t>Nájemné</t>
  </si>
  <si>
    <t>HV</t>
  </si>
  <si>
    <t>Příspěvek na provoz celkem</t>
  </si>
  <si>
    <t>HV bez dotace na provoz z nájemného</t>
  </si>
  <si>
    <t>HV bez dotace na provoz z nájemného ale s dotací na lineár</t>
  </si>
  <si>
    <t xml:space="preserve">z FP celkem </t>
  </si>
  <si>
    <t>Havlíčkův Brod</t>
  </si>
  <si>
    <t>Jihlava</t>
  </si>
  <si>
    <t>Pelhřimov</t>
  </si>
  <si>
    <t>Třebíč</t>
  </si>
  <si>
    <t>Nové Město na Moravě</t>
  </si>
  <si>
    <t>Nemocnice</t>
  </si>
  <si>
    <t>Spotřeba energie (účet 502,503)</t>
  </si>
  <si>
    <t>Spotřeba materiálu</t>
  </si>
  <si>
    <t>Odpisy</t>
  </si>
  <si>
    <t>Tržby z prodeje služeb</t>
  </si>
  <si>
    <t>Tržby za prodané zboží</t>
  </si>
  <si>
    <t>nezdravotní technika</t>
  </si>
  <si>
    <t>zdravotní technika</t>
  </si>
  <si>
    <t>dopravní prostředky</t>
  </si>
  <si>
    <t>V. Lůžkový fond</t>
  </si>
  <si>
    <t>LDN Třebíč</t>
  </si>
  <si>
    <r>
      <t xml:space="preserve">    investiční dotace od zřizovatele</t>
    </r>
    <r>
      <rPr>
        <b/>
        <sz val="7"/>
        <rFont val="Arial CE"/>
        <family val="2"/>
      </rPr>
      <t xml:space="preserve">  00052</t>
    </r>
  </si>
  <si>
    <t xml:space="preserve">   vlastní investiční výdaje na TZ nem. majetku</t>
  </si>
  <si>
    <t>LDN Buchtův kopec</t>
  </si>
  <si>
    <t>TRN Buchtův kopec</t>
  </si>
  <si>
    <t>Úřady práce</t>
  </si>
  <si>
    <t>Jiné - stará nemocnice, splátky kraj u investic</t>
  </si>
  <si>
    <t>2004*</t>
  </si>
  <si>
    <t>dotace na provoz z nájemného v % (bez lineára)</t>
  </si>
  <si>
    <t>Usnesení 0421/09/2006/RK - na úhradu škody z mimořádné události</t>
  </si>
  <si>
    <t>z toho sestry, knihovny, jiné</t>
  </si>
  <si>
    <t>Dotace z rezervy kraje na (servery),NOR,Fond Vysočiny</t>
  </si>
  <si>
    <t>Skutečnost 2006</t>
  </si>
  <si>
    <t>Návrh na rok 2007</t>
  </si>
  <si>
    <t>Rozdíl 2007 - 2006</t>
  </si>
  <si>
    <t>Účetní stav 2006</t>
  </si>
  <si>
    <t>Zůstatek účtu k 31.12.2006</t>
  </si>
  <si>
    <t>Zůstatek účtu k 1.1.2006</t>
  </si>
  <si>
    <t>Stav k 1.1.2007</t>
  </si>
  <si>
    <t>Stav k 31.12.2007</t>
  </si>
  <si>
    <t>Plán tvorby a čerpání fondů 2007</t>
  </si>
  <si>
    <t>k 31.12.2006</t>
  </si>
  <si>
    <t>Odpisový plán na rok 2007</t>
  </si>
  <si>
    <t>Oprávky k 1.1.2007</t>
  </si>
  <si>
    <t>Zůstatková cena k 31.12.2007</t>
  </si>
  <si>
    <t>Zůstat. cena k 31.12.2007</t>
  </si>
  <si>
    <t>stav k 31.12.2006</t>
  </si>
  <si>
    <t>V. Doplňující údaje z výsledků hospodaření za rok 2006</t>
  </si>
  <si>
    <t>Centrální myčka nádobí ve stravovacím provozu</t>
  </si>
  <si>
    <t>1 ks sanitní automobil</t>
  </si>
  <si>
    <t>1 ks tlakové varné zařízení</t>
  </si>
  <si>
    <t>Laminární box pro ředění cytostatik</t>
  </si>
  <si>
    <t>2 ks elektrochirurgická jednotka (gastroenterologie)</t>
  </si>
  <si>
    <t>1 ks videogastroskop (gastroenterologie)</t>
  </si>
  <si>
    <t>Prováděcí projekt na Rekostrukci hlavní lůžkové budovy</t>
  </si>
  <si>
    <t>Pracoviště pro přípravu cytostatik</t>
  </si>
  <si>
    <t>k úhradě závazků</t>
  </si>
  <si>
    <t xml:space="preserve">    investiční dotace od zřizovatele00054</t>
  </si>
  <si>
    <t xml:space="preserve">    fond Vysočiny</t>
  </si>
  <si>
    <t>z toho převod z rozpočtu kraje do násled.roku</t>
  </si>
  <si>
    <t xml:space="preserve">    investiční dotace Město H.Brod</t>
  </si>
  <si>
    <t>Adaptace administrativní budovy</t>
  </si>
  <si>
    <t>Rezerva na stavební úpravy</t>
  </si>
  <si>
    <t>Úprava východu z hlavní budovy</t>
  </si>
  <si>
    <t>Stavební úpravy ONM</t>
  </si>
  <si>
    <t>Projektová dokumentace budova interny</t>
  </si>
  <si>
    <t>UZ 00054</t>
  </si>
  <si>
    <t>Gamakamera SPECT</t>
  </si>
  <si>
    <t>Vybavení interního oddělení</t>
  </si>
  <si>
    <t>Kamerový systém</t>
  </si>
  <si>
    <t>Izolátor</t>
  </si>
  <si>
    <t>HW-NIS</t>
  </si>
  <si>
    <t>Monitorace ARO</t>
  </si>
  <si>
    <t>Endoskopie</t>
  </si>
  <si>
    <t>Ventilátory plicní</t>
  </si>
  <si>
    <t>Operační stůl</t>
  </si>
  <si>
    <t>Tlakový injektor</t>
  </si>
  <si>
    <t>Přístroje-oční odd.</t>
  </si>
  <si>
    <t>Operační sály</t>
  </si>
  <si>
    <t>Inkubátory</t>
  </si>
  <si>
    <t>Operační fréza</t>
  </si>
  <si>
    <t>Elektrokoagulace</t>
  </si>
  <si>
    <t>Rezerva</t>
  </si>
  <si>
    <t>Záložní zdroj el. Energie</t>
  </si>
  <si>
    <t>Rekonstrukce rozvodny</t>
  </si>
  <si>
    <t>Sanitní vozidlo</t>
  </si>
  <si>
    <t>Nákladní vozidlo</t>
  </si>
  <si>
    <t>Obnova technologie stravovacího provozu</t>
  </si>
  <si>
    <t>Monitoring spotřeby energií</t>
  </si>
  <si>
    <t>Stavební opravy budov.</t>
  </si>
  <si>
    <t>Opravy povrchových úprav ( PVC, dlažby ).</t>
  </si>
  <si>
    <t>Opravy maleb a nátěrů.</t>
  </si>
  <si>
    <t>Opravy vozovek a chodníků.</t>
  </si>
  <si>
    <t>Opravy střech a oplechování.</t>
  </si>
  <si>
    <t>Opravy vodovodních instalací.</t>
  </si>
  <si>
    <t>Opravy el. instalací v budovách.</t>
  </si>
  <si>
    <t>Opravy energetických celků.</t>
  </si>
  <si>
    <t>Opravy vytápění.</t>
  </si>
  <si>
    <t>0statní opravy nem. majetku.</t>
  </si>
  <si>
    <t>Diagnostická zdravotnická technika</t>
  </si>
  <si>
    <t>Akutní zdravotnická technika</t>
  </si>
  <si>
    <t>Laboratorní přístroje</t>
  </si>
  <si>
    <t>Opravy dopravních prostředků</t>
  </si>
  <si>
    <t>Vybavení operačních sálů a sterilizace</t>
  </si>
  <si>
    <t>Ostatní zdravotnické přístroje</t>
  </si>
  <si>
    <t>Výpočetní technika</t>
  </si>
  <si>
    <t>Opravy energetických zdrojů.</t>
  </si>
  <si>
    <t>Ostatní technika</t>
  </si>
  <si>
    <t>Z příkazních smluv      UZ 00052</t>
  </si>
  <si>
    <t>Z příjmů z prodeje movitého majetku   UZ 00055</t>
  </si>
  <si>
    <t xml:space="preserve">Návrh příspěvku nebo dotace na provoz a investiční dotace pro rok 2007 </t>
  </si>
  <si>
    <t>dotace z kapitálových výdajů</t>
  </si>
  <si>
    <r>
      <t xml:space="preserve">Z nájemného ze smluv o nájmu movitého a nemovitého majetku </t>
    </r>
    <r>
      <rPr>
        <b/>
        <sz val="9"/>
        <rFont val="Times New Roman"/>
        <family val="1"/>
      </rPr>
      <t>UZ 00051</t>
    </r>
  </si>
  <si>
    <t>Příspěvek na sociální sestru, knihovnu a živelní pojištění  UZ 00000</t>
  </si>
  <si>
    <t>Převedené prostředky z roku 2006</t>
  </si>
  <si>
    <t>Dopady nového zákoníku práce do navýšení osobních nákladů</t>
  </si>
  <si>
    <t>složka mzdy</t>
  </si>
  <si>
    <t>navýšení</t>
  </si>
  <si>
    <t>tarif</t>
  </si>
  <si>
    <t>složky mzdy odvíjející se z průměrné hodinové mzdy</t>
  </si>
  <si>
    <t>příplatek za vedení</t>
  </si>
  <si>
    <t>příplatek za riziko</t>
  </si>
  <si>
    <t>příplatek za obtížnost a směnnost</t>
  </si>
  <si>
    <t>odměny celkem</t>
  </si>
  <si>
    <t xml:space="preserve">    z toho 2006 startovné, 2007 dorovnání služeb</t>
  </si>
  <si>
    <t>přesčasy</t>
  </si>
  <si>
    <t>ostatní složky mzdy celkem</t>
  </si>
  <si>
    <t>celkem platy</t>
  </si>
  <si>
    <t>celkem OON</t>
  </si>
  <si>
    <t xml:space="preserve">    z toho dohody na ústavní služby </t>
  </si>
  <si>
    <t>mzdové náklady celkem</t>
  </si>
  <si>
    <t>osobní náklady celkem</t>
  </si>
  <si>
    <t>Zdravotnická záchranná služba kraje Vysočina</t>
  </si>
  <si>
    <t>Dětský domov Kamenice nad Lipou</t>
  </si>
  <si>
    <t>Dětské centrum Jihlava</t>
  </si>
  <si>
    <t>Zdravotnická zařízení zřizovaná krajem celkem</t>
  </si>
  <si>
    <t>Fond Vysočiny</t>
  </si>
  <si>
    <t>Sanitní vozidlo (DZS)</t>
  </si>
  <si>
    <t>GO posypového vozidla Multicat</t>
  </si>
  <si>
    <t>GO prosklené chodby na gynekologicko porodnickém odd.</t>
  </si>
  <si>
    <t>Lůžkové monitory  (DEO)</t>
  </si>
  <si>
    <t>Hematologický analyzátor (HTO)</t>
  </si>
  <si>
    <t>Svařečka hadiček krevních vaků (HTO)</t>
  </si>
  <si>
    <t>Stolní centrifuga  (HTO)</t>
  </si>
  <si>
    <t>Zvedací hygienická židle (neurologie)</t>
  </si>
  <si>
    <t>Stolní centrifuga (PAO)</t>
  </si>
  <si>
    <t>Automatický haemokultivační systém (mikrobiologie)</t>
  </si>
  <si>
    <t>Vodní lázeň (mikrobiologie)</t>
  </si>
  <si>
    <t>Odstředivka (mikrobiologie)</t>
  </si>
  <si>
    <t>Vodní lázeň na dolní končetiny (RHB)</t>
  </si>
  <si>
    <t>Mikrovrtačka pro sředoušní chirurgii (ORL)</t>
  </si>
  <si>
    <t>Optika bronchoskopická (ORL)</t>
  </si>
  <si>
    <t>Světelný zdroj k vaginoskopu (gyn.por. odd.)</t>
  </si>
  <si>
    <t>Souprava na jícnovou PH metrii (DEO)</t>
  </si>
  <si>
    <t>Pulsní oxymetr (DEO)</t>
  </si>
  <si>
    <t>Dialyzační monitor (HMD)</t>
  </si>
  <si>
    <t>Dialyzační křesla (HMD)</t>
  </si>
  <si>
    <t>EKG  (interní odd.)</t>
  </si>
  <si>
    <t>Vyšetřovací modul FC/RV spirometrie (TRN)</t>
  </si>
  <si>
    <t>Digitální váhy  (ústavní lékárna)</t>
  </si>
  <si>
    <t>Ohřívač krve a infuzí (ARO)</t>
  </si>
  <si>
    <t>Obnova techniky operačních sálů dle aktuálního stavu (pohonná jednotka, optika endoskopy 4x, laparoskopické nástroje)</t>
  </si>
  <si>
    <t>Rekonstrukce hlavní lůžkové budovy (doplatek projektu)</t>
  </si>
  <si>
    <t>dotace  kapitálových výdajů</t>
  </si>
  <si>
    <t xml:space="preserve">   investiční výdaje na movitý 00054</t>
  </si>
  <si>
    <t xml:space="preserve">   investiční výdaje na nemovitý 00054</t>
  </si>
  <si>
    <t xml:space="preserve">    investiční dotace od zřizovatele 00054</t>
  </si>
  <si>
    <t xml:space="preserve"> </t>
  </si>
  <si>
    <t>Návrh příspěvku nebo dotace na provoz a investiční dotace pro rok 2007</t>
  </si>
  <si>
    <t>Závazné ukazatele pro rok 2007</t>
  </si>
  <si>
    <t>0.00</t>
  </si>
  <si>
    <t>dotace z kapizálových výdajů</t>
  </si>
  <si>
    <t>Opatření z energetického auditu</t>
  </si>
  <si>
    <t>Angiografický komplet (RTG)</t>
  </si>
  <si>
    <t>Digitalizace Fomei - II.etapa</t>
  </si>
  <si>
    <t>Kom. systém sestra - pac.</t>
  </si>
  <si>
    <t>Kombinovaný terapeutický př.</t>
  </si>
  <si>
    <t>Motodlaha - koleno 2 ks</t>
  </si>
  <si>
    <t>UV zářič - plantopalmární</t>
  </si>
  <si>
    <t>Izolátor na ředění cytostatik (L)</t>
  </si>
  <si>
    <t>Laminární box</t>
  </si>
  <si>
    <t>Kobaltový zářič - obměna (ONK)</t>
  </si>
  <si>
    <t>Harmonický skalpel (CHIR)</t>
  </si>
  <si>
    <t>Skiaskopická sklopná stěna -obměna (RDG)</t>
  </si>
  <si>
    <t>Úpravy JIP (INT)</t>
  </si>
  <si>
    <t>dary</t>
  </si>
  <si>
    <t>Rekonstrukce porodních sálů I.etapa (GYN)</t>
  </si>
  <si>
    <t>Oprava CT (2x) (rentgenka)</t>
  </si>
  <si>
    <t>Výměna absolutních filtrů (PED JIP))</t>
  </si>
  <si>
    <t>Oprava Gamacamery</t>
  </si>
  <si>
    <t>Oprava skiaskopické stěny (rentgenka)</t>
  </si>
  <si>
    <t>Oprava překládacích zařízení COS</t>
  </si>
  <si>
    <t>Oprava rozvodů stlačeného vzduchu (COS)</t>
  </si>
  <si>
    <t>Oprava mobilních C ramen (COS)</t>
  </si>
  <si>
    <t>Rekonstrukce výtahů interna</t>
  </si>
  <si>
    <t>Oprava ÚPS (dětské JIP,INT JIP)</t>
  </si>
  <si>
    <t>Oprava chladící jednotky (pavilon operačních sálů)</t>
  </si>
  <si>
    <t>Oprava vozovek</t>
  </si>
  <si>
    <t>Opravy nátěrů střešního pláště (INF,INTERNA)</t>
  </si>
  <si>
    <t>Oprava rozvodů VZT PAO</t>
  </si>
  <si>
    <t>Oprava kondezačního potrubí (kotelna)</t>
  </si>
  <si>
    <t>Oprava nátěrů výtahů</t>
  </si>
  <si>
    <t>Oprava M+R (gynpor pavilon)</t>
  </si>
  <si>
    <t>Oprava dveří mrazíren OLVS (2x)</t>
  </si>
  <si>
    <t>Malířské práce</t>
  </si>
  <si>
    <t xml:space="preserve">   investiční výdaje na movité věci SR</t>
  </si>
  <si>
    <t xml:space="preserve">   zřizovatelem nařízený odvod z IF</t>
  </si>
  <si>
    <t xml:space="preserve">   vlastní investiční výdaje z darů</t>
  </si>
  <si>
    <t>z toho převod z rozpočtu kraje z minulého roku</t>
  </si>
  <si>
    <t xml:space="preserve">Mimořádná dotace </t>
  </si>
  <si>
    <t>"Stravovací provoz" UZ 00999, kapitálové výdaje</t>
  </si>
  <si>
    <t xml:space="preserve">   investiční výdaje na movité věci z rezervy kraje </t>
  </si>
  <si>
    <t>údržba komunikací,chodníků a zeleně</t>
  </si>
  <si>
    <t>MaR, VZT a chlazení</t>
  </si>
  <si>
    <t>oprava PVC, podlahových krytin</t>
  </si>
  <si>
    <t>opravy žaluzií, rolet, těsnění apod.</t>
  </si>
  <si>
    <t>opravy elektro</t>
  </si>
  <si>
    <t>opravy střech, klempířské práce, okapy</t>
  </si>
  <si>
    <t>opravy stavební</t>
  </si>
  <si>
    <t>opravy oken a dveří ( zasklení, kování, mechanizmy, pohony)</t>
  </si>
  <si>
    <t>opravy vzduchotechnických zařízení</t>
  </si>
  <si>
    <t>opravy ZTI ( havárie kanalizace, stoupaček apod.)</t>
  </si>
  <si>
    <t>celoroční údržba komunikací ,chodníků a zeleně</t>
  </si>
  <si>
    <t>Stavební investice</t>
  </si>
  <si>
    <t>převedený příděl z roku 2006</t>
  </si>
  <si>
    <t>dotace nájemné 2007</t>
  </si>
  <si>
    <t>fond reprodukce z odpisů 06+07</t>
  </si>
  <si>
    <t>celkem cena</t>
  </si>
  <si>
    <t>Projektová dokumentace - pavilon MaD</t>
  </si>
  <si>
    <t>Pavilon MaD - správní poplatek - stavební povolení</t>
  </si>
  <si>
    <t>Přípojka CZT pro sklad CO včetně montáže</t>
  </si>
  <si>
    <t>CELKEM stavební investice</t>
  </si>
  <si>
    <t>EEG - neurologie</t>
  </si>
  <si>
    <t>Lůžkový monitor ORT JIP 2ks</t>
  </si>
  <si>
    <t>Laminární box pro přípravu radiofarmak</t>
  </si>
  <si>
    <t>Defibrilátory INT, INT amb., ORT JIP, Dětské - 4ks</t>
  </si>
  <si>
    <t>Dataprojektor pro vizitovací pracoviště</t>
  </si>
  <si>
    <t>Poštovní server Foxinus SMTP Server RED</t>
  </si>
  <si>
    <t>Hlavní router Foxinus Fire Wall</t>
  </si>
  <si>
    <t>Přístroj "UNT Unguator Cito e/s" - lékárna (RNDr. Kulich)</t>
  </si>
  <si>
    <t>CELKEM strojní investice</t>
  </si>
  <si>
    <t>UZ 00000</t>
  </si>
  <si>
    <t>mimořádná dotace</t>
  </si>
  <si>
    <t>z kapitálových výdajů</t>
  </si>
  <si>
    <t>Rekonstrukce laboratoří - pozastávka PD z roku 2006</t>
  </si>
  <si>
    <t>Rekonstrukce laboratoří - konzultační činnost PD - p. Šprongl</t>
  </si>
  <si>
    <t>Rekonstrukce laboratoří - organizace soutěže - CPS consulting</t>
  </si>
  <si>
    <t>Rekonstrukce laboratoří - technologická část</t>
  </si>
  <si>
    <t>Rekonstrukce laboratoří - software M-Lab + síť. program</t>
  </si>
  <si>
    <t>Centrální laboratoře a vybavení</t>
  </si>
  <si>
    <t>Ambulance respiračních chorob TRN a vybavení</t>
  </si>
  <si>
    <t>Realizace "Rekonstrukce a přístavba interního pavilonu"</t>
  </si>
  <si>
    <t>Gamakamera včetně prostor</t>
  </si>
  <si>
    <t>Hašení-heliport</t>
  </si>
  <si>
    <t>Ředění cytostatik</t>
  </si>
  <si>
    <t>Napájení servrovny</t>
  </si>
  <si>
    <t>Přemístění oční ambulance</t>
  </si>
  <si>
    <t>Vjezd do nemocnice</t>
  </si>
  <si>
    <t>Kožní ambulance na G.</t>
  </si>
  <si>
    <t>ČOV Buchtův kopec</t>
  </si>
  <si>
    <t>komunikace a chodníky</t>
  </si>
  <si>
    <t>fasády a střechy</t>
  </si>
  <si>
    <t>rošty v kuchyni</t>
  </si>
  <si>
    <t>zastřešení pavilonu buchtův kopec</t>
  </si>
  <si>
    <t>ÚT</t>
  </si>
  <si>
    <t>El. Instalace</t>
  </si>
  <si>
    <t>vodoinstalace a rozvody páry</t>
  </si>
  <si>
    <t>malby a nátěry</t>
  </si>
  <si>
    <t>podlahy</t>
  </si>
  <si>
    <t>Zůstatková cena  k 31.12.2007</t>
  </si>
  <si>
    <t>úřady práce</t>
  </si>
  <si>
    <t xml:space="preserve">   inv. Dotace z kapitálových výdajů</t>
  </si>
  <si>
    <t>Finanční plány pro rok 2007</t>
  </si>
  <si>
    <t>Skutečnost k 31.12.2006</t>
  </si>
  <si>
    <r>
      <t xml:space="preserve">    investiční dotace od zřizovatele</t>
    </r>
    <r>
      <rPr>
        <b/>
        <sz val="7"/>
        <rFont val="Arial CE"/>
        <family val="2"/>
      </rPr>
      <t xml:space="preserve">  00054</t>
    </r>
  </si>
  <si>
    <t xml:space="preserve">   investiční výdaje na movité věci ÚZ 00054</t>
  </si>
  <si>
    <t xml:space="preserve">   investiční výdaje na TZ nemovitostí ÚZ 00054</t>
  </si>
  <si>
    <t xml:space="preserve">   investiční výdaje na TZ nemovitostí ÚZ 00000</t>
  </si>
  <si>
    <t xml:space="preserve">   investiční výdaje na movité věci ÚZ 00000</t>
  </si>
  <si>
    <t>Vybavení mamografického pracoviště</t>
  </si>
  <si>
    <t>dotace z kapitálových výdajů , u provozu odvod z investičního fondu</t>
  </si>
  <si>
    <t>Rekonstrukce laboratoří - mandátní smlouva (výkon investorské činnosti)</t>
  </si>
  <si>
    <t>Rekonstrukce laboratoří - veřejné oznámení v ISVZ - poplatek</t>
  </si>
  <si>
    <t>Celkem běžná údržba</t>
  </si>
  <si>
    <t>Celkem nad rámec běžné údržby</t>
  </si>
  <si>
    <r>
      <t xml:space="preserve">    investiční dotace od zřizovatele </t>
    </r>
    <r>
      <rPr>
        <sz val="7"/>
        <rFont val="Arial CE"/>
        <family val="0"/>
      </rPr>
      <t>00051</t>
    </r>
  </si>
  <si>
    <r>
      <t xml:space="preserve">    investiční dotace od zřizovatele </t>
    </r>
    <r>
      <rPr>
        <sz val="7"/>
        <rFont val="Arial CE"/>
        <family val="0"/>
      </rPr>
      <t>00052</t>
    </r>
  </si>
  <si>
    <r>
      <t xml:space="preserve">    investiční dotace od zřizovatele </t>
    </r>
    <r>
      <rPr>
        <sz val="7"/>
        <rFont val="Arial CE"/>
        <family val="0"/>
      </rPr>
      <t>00054</t>
    </r>
  </si>
  <si>
    <r>
      <t xml:space="preserve">    investiční dotace od zřizovatele </t>
    </r>
    <r>
      <rPr>
        <sz val="7"/>
        <rFont val="Arial CE"/>
        <family val="0"/>
      </rPr>
      <t>00055</t>
    </r>
  </si>
  <si>
    <t xml:space="preserve">    investiční dotace od zřizovatele</t>
  </si>
  <si>
    <t xml:space="preserve">   opravy z minulých let</t>
  </si>
  <si>
    <r>
      <t xml:space="preserve">   investiční dotace od zřizovatele </t>
    </r>
    <r>
      <rPr>
        <sz val="7"/>
        <rFont val="Arial CE"/>
        <family val="0"/>
      </rPr>
      <t>00055</t>
    </r>
  </si>
  <si>
    <t xml:space="preserve">   investiční výdaje  00054 movitý</t>
  </si>
  <si>
    <t xml:space="preserve">   investiční výdaje  00054 nemovitý</t>
  </si>
  <si>
    <t xml:space="preserve">   investiční dotace od zřizovatele  mov.</t>
  </si>
  <si>
    <t xml:space="preserve">   investiční dotace ze SR mov.</t>
  </si>
  <si>
    <t xml:space="preserve">   vlastní inv. Výdaje  na TZ nemovitého majetku</t>
  </si>
  <si>
    <t xml:space="preserve">   vlastní inv. ýdaje  na poř.movitého maj.</t>
  </si>
  <si>
    <t xml:space="preserve">   odúčtování nekr.FRIM</t>
  </si>
  <si>
    <t xml:space="preserve">   mimořádná dotace ze SR movitý</t>
  </si>
  <si>
    <t xml:space="preserve">   mimořádná dotace ze SR nemovitý</t>
  </si>
  <si>
    <t xml:space="preserve">   finančně nekrytý FRIM</t>
  </si>
  <si>
    <r>
      <t>Závazky</t>
    </r>
    <r>
      <rPr>
        <b/>
        <sz val="8"/>
        <color indexed="12"/>
        <rFont val="Arial CE"/>
        <family val="0"/>
      </rPr>
      <t xml:space="preserve"> (včetně dlouhodobých)</t>
    </r>
  </si>
  <si>
    <t>Závazky včetně dlouhodobých (ve výši 3.323,864 tis. kč)</t>
  </si>
  <si>
    <t>Komentář: K nemocnici patří dále 80 lůžek léčebny pro dlouhodobě nemocné v Moravských Budějovicích. Ke dni 31.12.2004 došlo k zániku psychiatrického oddělení s celkovým počtem lůžek 50.</t>
  </si>
  <si>
    <t>Konvenktomat</t>
  </si>
  <si>
    <t>Spirometr</t>
  </si>
  <si>
    <t>Laser na varixy</t>
  </si>
  <si>
    <t>Infuzní pumpa pro aplikaci cytostatik</t>
  </si>
  <si>
    <t>Doplnění a obnova instrumentárií</t>
  </si>
  <si>
    <t>Laparoskopická optika 10 mm 30 st.</t>
  </si>
  <si>
    <t>Arthroskopická optika 4 mm</t>
  </si>
  <si>
    <t>Infuzní pumpa (JIP)</t>
  </si>
  <si>
    <t>Defibrilátor (JIP)</t>
  </si>
  <si>
    <t>Argonová plazmatická koagulace</t>
  </si>
  <si>
    <t>Dialyzační monitory 4 ks</t>
  </si>
  <si>
    <t>Defibrilátor</t>
  </si>
  <si>
    <t>Kolposkop</t>
  </si>
  <si>
    <t>Infuzní pumpa</t>
  </si>
  <si>
    <t>Oxymetr pro porodnické účely</t>
  </si>
  <si>
    <t>Monitor vitálních funkcí</t>
  </si>
  <si>
    <t>Diatermie</t>
  </si>
  <si>
    <t>Bilirubinometr</t>
  </si>
  <si>
    <t>EKG Holter</t>
  </si>
  <si>
    <t>Pojízdný RTG přístroj pro dětské oddělení</t>
  </si>
  <si>
    <t>Ventilátor (ARO)</t>
  </si>
  <si>
    <t>EKG (Ortopdie)</t>
  </si>
  <si>
    <t>Oční laser</t>
  </si>
  <si>
    <t>Měřící sonda na biometr AXIS (2006)</t>
  </si>
  <si>
    <t>Stojan pro oční oddělení</t>
  </si>
  <si>
    <t>Dokončení 1.etapy PACSu</t>
  </si>
  <si>
    <t>Software CT perfúze pro dg mozkové ischemie v akutní fázi</t>
  </si>
  <si>
    <t>Obměna UZ přístroje ATL HDI 3000</t>
  </si>
  <si>
    <t>Kombinovaný elektroléčebný terapeutický přístroj BTL 5825 se stolkem pod přístroj</t>
  </si>
  <si>
    <t>Odsávačka</t>
  </si>
  <si>
    <t>EKG monitor</t>
  </si>
  <si>
    <t>Digitální fotoaparát</t>
  </si>
  <si>
    <t>Cytospin</t>
  </si>
  <si>
    <t>Bodypletysmograf</t>
  </si>
  <si>
    <t>Rezerva na obměnu přístrojového vybavení</t>
  </si>
  <si>
    <t>Zůstatek bankovního účtu k 31.12.2006</t>
  </si>
  <si>
    <t xml:space="preserve">Dotace na investice </t>
  </si>
  <si>
    <t>Stav rezervního  a investičního fondu</t>
  </si>
  <si>
    <t>rezervní</t>
  </si>
  <si>
    <t>investiční</t>
  </si>
  <si>
    <t>Plán oprav  dlouhodobého majetku  na rok 2007</t>
  </si>
  <si>
    <t>Plán oprav  dlouhodobého majetku na rok 2007</t>
  </si>
  <si>
    <t>z toho z nájemného UZ 00051</t>
  </si>
  <si>
    <t>Dotace na investice z nájemného UZ 00051</t>
  </si>
  <si>
    <t>jiná schválená dotace na inv. UZ 00000</t>
  </si>
  <si>
    <t>Investice z kapitálových výdajů UZ 00054</t>
  </si>
  <si>
    <t>příkazní smlouvy - není zapracováno do návrhu UZ 00052</t>
  </si>
  <si>
    <t>Manažerský informační systém - doplatek (EN)</t>
  </si>
  <si>
    <t>Kardiotokograf (GYN)</t>
  </si>
  <si>
    <t>Hysteroresektoskop (GYN)</t>
  </si>
  <si>
    <t>Gamasonda pro lokální detekci (ONM)</t>
  </si>
  <si>
    <t>Monitor vitálních funkcí 2 ks (GYN)</t>
  </si>
  <si>
    <t>Výměna vybavení centrální kuchyně (PTN)</t>
  </si>
  <si>
    <t>UPS na JIP (INT)</t>
  </si>
  <si>
    <t>Celon (ORL)</t>
  </si>
  <si>
    <t>Křeslo por kardiaky (ARO)</t>
  </si>
  <si>
    <t>Osobní vůz 2 ks</t>
  </si>
  <si>
    <t xml:space="preserve">Sada zevních fixatérů (TRM) </t>
  </si>
  <si>
    <t>Univerzální sklopná stěna (RDG)</t>
  </si>
  <si>
    <t>Fakoemulzifikátor (OPH)</t>
  </si>
  <si>
    <t>Resuscitační lůžko s přís. 2 ks (ARO)</t>
  </si>
  <si>
    <t>VAPR k artroskop. věži (ORT)</t>
  </si>
  <si>
    <t>Videogastroskop (INT)</t>
  </si>
  <si>
    <t>Automatická myčka endoskopů (TRN)</t>
  </si>
  <si>
    <t>Zař. pro plasmakinetickou vaporizaci (UROLOG)</t>
  </si>
  <si>
    <t>Server 3 ks + fiberchanel switch 8 ports (EN)</t>
  </si>
  <si>
    <t>Endoskopická věž (COS)</t>
  </si>
  <si>
    <t>SPECT kamera (ONM)</t>
  </si>
  <si>
    <t>Operační stůl (COS)</t>
  </si>
  <si>
    <t>Hydraulický zvedák pro pacienta (INT)</t>
  </si>
  <si>
    <t>Hemodialyzační přístroj (12ks)</t>
  </si>
  <si>
    <t>Prohlížecí stanice 3ks (COS)</t>
  </si>
  <si>
    <t>Koagulační analyzátor (HTO) obměna</t>
  </si>
  <si>
    <t>Rezerva na nepředvídané havárie</t>
  </si>
  <si>
    <t>Plán oprav a údržby na rok 2007 v tis. Kč</t>
  </si>
  <si>
    <t>servisní a technické kontroly zdravotnických přístrojů</t>
  </si>
  <si>
    <t>strojní úprava</t>
  </si>
  <si>
    <t>údržba vozového parku</t>
  </si>
  <si>
    <t>stavební údržba</t>
  </si>
  <si>
    <t>malování objektů</t>
  </si>
  <si>
    <t>z příkazní smlouvy - není součástí schvalovacího procesu</t>
  </si>
  <si>
    <t>Opravy movitého majetku</t>
  </si>
  <si>
    <t>Prodané zboží</t>
  </si>
  <si>
    <t>H.Brod</t>
  </si>
  <si>
    <t>N.Město</t>
  </si>
  <si>
    <t>Prostředky z investičního fondu - z minulých let</t>
  </si>
  <si>
    <t>převedené prostředky z roku 2006 a předchozích</t>
  </si>
  <si>
    <t>kapitálové výdaje</t>
  </si>
  <si>
    <t>jiné</t>
  </si>
  <si>
    <t>Ventilátor 2 ks</t>
  </si>
  <si>
    <t>Lůžko JIP 4 ks (NEU)</t>
  </si>
  <si>
    <t>počet stran: 19</t>
  </si>
  <si>
    <t>RK-14-2007-34, př. 1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</si>
</sst>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Arial CE"/>
      <family val="0"/>
    </font>
    <font>
      <u val="single"/>
      <sz val="8"/>
      <name val="Tahoma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imes New Roman CE"/>
      <family val="1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sz val="10"/>
      <name val="Helv"/>
      <family val="0"/>
    </font>
    <font>
      <b/>
      <sz val="7"/>
      <color indexed="10"/>
      <name val="Arial CE"/>
      <family val="0"/>
    </font>
    <font>
      <i/>
      <sz val="7"/>
      <name val="Arial CE"/>
      <family val="2"/>
    </font>
    <font>
      <sz val="10"/>
      <color indexed="62"/>
      <name val="Arial CE"/>
      <family val="2"/>
    </font>
    <font>
      <sz val="10"/>
      <color indexed="62"/>
      <name val="Arial"/>
      <family val="0"/>
    </font>
    <font>
      <sz val="8"/>
      <color indexed="12"/>
      <name val="Arial CE"/>
      <family val="0"/>
    </font>
    <font>
      <sz val="8"/>
      <color indexed="14"/>
      <name val="Arial CE"/>
      <family val="0"/>
    </font>
    <font>
      <b/>
      <i/>
      <sz val="8"/>
      <color indexed="12"/>
      <name val="Arial CE"/>
      <family val="2"/>
    </font>
    <font>
      <sz val="8"/>
      <name val="Times New Roman"/>
      <family val="1"/>
    </font>
    <font>
      <b/>
      <sz val="9"/>
      <name val="Arial"/>
      <family val="2"/>
    </font>
    <font>
      <sz val="8"/>
      <color indexed="53"/>
      <name val="Arial CE"/>
      <family val="2"/>
    </font>
    <font>
      <strike/>
      <sz val="8"/>
      <name val="Arial CE"/>
      <family val="2"/>
    </font>
    <font>
      <sz val="10"/>
      <color indexed="53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9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28">
    <xf numFmtId="0" fontId="0" fillId="0" borderId="0" xfId="0" applyAlignment="1">
      <alignment/>
    </xf>
    <xf numFmtId="0" fontId="7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quotePrefix="1">
      <alignment horizontal="center"/>
    </xf>
    <xf numFmtId="3" fontId="2" fillId="0" borderId="1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 quotePrefix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2" borderId="17" xfId="0" applyNumberFormat="1" applyFont="1" applyFill="1" applyBorder="1" applyAlignment="1">
      <alignment vertical="center" wrapText="1"/>
    </xf>
    <xf numFmtId="3" fontId="7" fillId="2" borderId="18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quotePrefix="1">
      <alignment horizontal="center" vertical="center"/>
    </xf>
    <xf numFmtId="0" fontId="7" fillId="2" borderId="8" xfId="0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/>
    </xf>
    <xf numFmtId="0" fontId="9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3" fontId="7" fillId="0" borderId="28" xfId="0" applyNumberFormat="1" applyFont="1" applyBorder="1" applyAlignment="1">
      <alignment vertical="center" wrapText="1"/>
    </xf>
    <xf numFmtId="3" fontId="7" fillId="3" borderId="1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0" fillId="2" borderId="2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/>
    </xf>
    <xf numFmtId="0" fontId="7" fillId="2" borderId="3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horizontal="right" vertical="center" wrapText="1"/>
    </xf>
    <xf numFmtId="3" fontId="7" fillId="4" borderId="34" xfId="0" applyNumberFormat="1" applyFont="1" applyFill="1" applyBorder="1" applyAlignment="1">
      <alignment horizontal="right" vertical="center" wrapText="1"/>
    </xf>
    <xf numFmtId="10" fontId="7" fillId="4" borderId="35" xfId="0" applyNumberFormat="1" applyFont="1" applyFill="1" applyBorder="1" applyAlignment="1">
      <alignment horizontal="right" vertical="center" wrapText="1"/>
    </xf>
    <xf numFmtId="3" fontId="7" fillId="4" borderId="36" xfId="0" applyNumberFormat="1" applyFont="1" applyFill="1" applyBorder="1" applyAlignment="1">
      <alignment horizontal="right" vertical="center" wrapText="1"/>
    </xf>
    <xf numFmtId="10" fontId="7" fillId="4" borderId="3" xfId="0" applyNumberFormat="1" applyFont="1" applyFill="1" applyBorder="1" applyAlignment="1">
      <alignment horizontal="right" vertical="center" wrapText="1"/>
    </xf>
    <xf numFmtId="3" fontId="7" fillId="4" borderId="7" xfId="0" applyNumberFormat="1" applyFont="1" applyFill="1" applyBorder="1" applyAlignment="1">
      <alignment horizontal="right" vertical="center" wrapText="1"/>
    </xf>
    <xf numFmtId="10" fontId="7" fillId="4" borderId="9" xfId="0" applyNumberFormat="1" applyFont="1" applyFill="1" applyBorder="1" applyAlignment="1">
      <alignment horizontal="right" vertical="center" wrapText="1"/>
    </xf>
    <xf numFmtId="10" fontId="7" fillId="4" borderId="23" xfId="0" applyNumberFormat="1" applyFont="1" applyFill="1" applyBorder="1" applyAlignment="1">
      <alignment horizontal="right" vertical="center" wrapText="1"/>
    </xf>
    <xf numFmtId="3" fontId="7" fillId="4" borderId="12" xfId="0" applyNumberFormat="1" applyFont="1" applyFill="1" applyBorder="1" applyAlignment="1">
      <alignment horizontal="right" vertical="center" wrapText="1"/>
    </xf>
    <xf numFmtId="10" fontId="7" fillId="4" borderId="5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Continuous"/>
    </xf>
    <xf numFmtId="0" fontId="2" fillId="3" borderId="33" xfId="0" applyFont="1" applyFill="1" applyBorder="1" applyAlignment="1">
      <alignment horizontal="left"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2" fillId="3" borderId="37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3" borderId="38" xfId="0" applyNumberFormat="1" applyFont="1" applyFill="1" applyBorder="1" applyAlignment="1">
      <alignment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10" fillId="3" borderId="0" xfId="0" applyFont="1" applyFill="1" applyAlignment="1">
      <alignment/>
    </xf>
    <xf numFmtId="3" fontId="7" fillId="3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39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4" fontId="11" fillId="0" borderId="1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3" borderId="4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7" fillId="3" borderId="0" xfId="0" applyFont="1" applyFill="1" applyAlignment="1">
      <alignment/>
    </xf>
    <xf numFmtId="3" fontId="2" fillId="3" borderId="42" xfId="0" applyNumberFormat="1" applyFont="1" applyFill="1" applyBorder="1" applyAlignment="1">
      <alignment vertical="center" wrapText="1"/>
    </xf>
    <xf numFmtId="3" fontId="2" fillId="3" borderId="43" xfId="0" applyNumberFormat="1" applyFont="1" applyFill="1" applyBorder="1" applyAlignment="1">
      <alignment vertical="center" wrapText="1"/>
    </xf>
    <xf numFmtId="3" fontId="2" fillId="3" borderId="44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2" borderId="40" xfId="22" applyFont="1" applyFill="1" applyBorder="1" applyAlignment="1">
      <alignment horizontal="center" vertical="center"/>
      <protection/>
    </xf>
    <xf numFmtId="0" fontId="2" fillId="3" borderId="0" xfId="0" applyFont="1" applyFill="1" applyAlignment="1">
      <alignment vertical="center"/>
    </xf>
    <xf numFmtId="0" fontId="0" fillId="0" borderId="0" xfId="0" applyFont="1" applyAlignment="1">
      <alignment/>
    </xf>
    <xf numFmtId="10" fontId="5" fillId="3" borderId="15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0" fillId="3" borderId="4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0" xfId="0" applyFill="1" applyBorder="1" applyAlignment="1">
      <alignment horizontal="right"/>
    </xf>
    <xf numFmtId="10" fontId="5" fillId="3" borderId="25" xfId="0" applyNumberFormat="1" applyFont="1" applyFill="1" applyBorder="1" applyAlignment="1">
      <alignment horizontal="center" vertical="center"/>
    </xf>
    <xf numFmtId="10" fontId="5" fillId="3" borderId="13" xfId="0" applyNumberFormat="1" applyFont="1" applyFill="1" applyBorder="1" applyAlignment="1">
      <alignment horizontal="center" vertical="center"/>
    </xf>
    <xf numFmtId="10" fontId="5" fillId="3" borderId="21" xfId="0" applyNumberFormat="1" applyFont="1" applyFill="1" applyBorder="1" applyAlignment="1">
      <alignment horizontal="center" vertical="center"/>
    </xf>
    <xf numFmtId="10" fontId="5" fillId="3" borderId="22" xfId="0" applyNumberFormat="1" applyFont="1" applyFill="1" applyBorder="1" applyAlignment="1">
      <alignment horizontal="center" vertical="center"/>
    </xf>
    <xf numFmtId="10" fontId="5" fillId="3" borderId="11" xfId="0" applyNumberFormat="1" applyFont="1" applyFill="1" applyBorder="1" applyAlignment="1">
      <alignment horizontal="center" vertical="center"/>
    </xf>
    <xf numFmtId="10" fontId="5" fillId="3" borderId="23" xfId="0" applyNumberFormat="1" applyFont="1" applyFill="1" applyBorder="1" applyAlignment="1">
      <alignment horizontal="center" vertical="center"/>
    </xf>
    <xf numFmtId="10" fontId="7" fillId="2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10" fontId="7" fillId="2" borderId="25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10" fillId="2" borderId="3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42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9" fillId="5" borderId="33" xfId="0" applyNumberFormat="1" applyFont="1" applyFill="1" applyBorder="1" applyAlignment="1">
      <alignment vertical="center" wrapText="1"/>
    </xf>
    <xf numFmtId="0" fontId="9" fillId="5" borderId="23" xfId="0" applyFont="1" applyFill="1" applyBorder="1" applyAlignment="1">
      <alignment vertical="center" wrapText="1"/>
    </xf>
    <xf numFmtId="0" fontId="10" fillId="0" borderId="43" xfId="0" applyFont="1" applyBorder="1" applyAlignment="1">
      <alignment horizontal="left"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9" fillId="5" borderId="34" xfId="0" applyNumberFormat="1" applyFont="1" applyFill="1" applyBorder="1" applyAlignment="1">
      <alignment vertical="center" wrapText="1"/>
    </xf>
    <xf numFmtId="10" fontId="9" fillId="5" borderId="35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vertical="center" wrapText="1"/>
    </xf>
    <xf numFmtId="3" fontId="9" fillId="5" borderId="36" xfId="0" applyNumberFormat="1" applyFont="1" applyFill="1" applyBorder="1" applyAlignment="1">
      <alignment vertical="center" wrapText="1"/>
    </xf>
    <xf numFmtId="10" fontId="9" fillId="5" borderId="3" xfId="0" applyNumberFormat="1" applyFont="1" applyFill="1" applyBorder="1" applyAlignment="1">
      <alignment vertical="center" wrapText="1"/>
    </xf>
    <xf numFmtId="0" fontId="9" fillId="2" borderId="45" xfId="0" applyFont="1" applyFill="1" applyBorder="1" applyAlignment="1">
      <alignment horizontal="left" vertical="center" wrapText="1"/>
    </xf>
    <xf numFmtId="3" fontId="9" fillId="2" borderId="31" xfId="0" applyNumberFormat="1" applyFont="1" applyFill="1" applyBorder="1" applyAlignment="1">
      <alignment vertical="center" wrapText="1"/>
    </xf>
    <xf numFmtId="3" fontId="9" fillId="5" borderId="7" xfId="0" applyNumberFormat="1" applyFont="1" applyFill="1" applyBorder="1" applyAlignment="1">
      <alignment vertical="center" wrapText="1"/>
    </xf>
    <xf numFmtId="10" fontId="9" fillId="5" borderId="9" xfId="0" applyNumberFormat="1" applyFont="1" applyFill="1" applyBorder="1" applyAlignment="1">
      <alignment vertical="center" wrapText="1"/>
    </xf>
    <xf numFmtId="10" fontId="9" fillId="5" borderId="23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3" fontId="10" fillId="0" borderId="49" xfId="0" applyNumberFormat="1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vertical="center" wrapText="1"/>
    </xf>
    <xf numFmtId="3" fontId="9" fillId="5" borderId="12" xfId="0" applyNumberFormat="1" applyFont="1" applyFill="1" applyBorder="1" applyAlignment="1">
      <alignment vertical="center" wrapText="1"/>
    </xf>
    <xf numFmtId="10" fontId="9" fillId="5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9" fillId="2" borderId="13" xfId="22" applyFont="1" applyFill="1" applyBorder="1" applyAlignment="1">
      <alignment horizontal="center" vertical="center"/>
      <protection/>
    </xf>
    <xf numFmtId="0" fontId="9" fillId="2" borderId="41" xfId="22" applyFont="1" applyFill="1" applyBorder="1" applyAlignment="1">
      <alignment horizontal="center" vertical="center"/>
      <protection/>
    </xf>
    <xf numFmtId="3" fontId="7" fillId="0" borderId="19" xfId="22" applyNumberFormat="1" applyFont="1" applyBorder="1" applyAlignment="1">
      <alignment horizontal="center" vertical="center"/>
      <protection/>
    </xf>
    <xf numFmtId="0" fontId="9" fillId="0" borderId="42" xfId="0" applyFont="1" applyBorder="1" applyAlignment="1">
      <alignment/>
    </xf>
    <xf numFmtId="3" fontId="7" fillId="0" borderId="1" xfId="0" applyNumberFormat="1" applyFont="1" applyBorder="1" applyAlignment="1" quotePrefix="1">
      <alignment horizontal="center"/>
    </xf>
    <xf numFmtId="3" fontId="7" fillId="0" borderId="23" xfId="0" applyNumberFormat="1" applyFont="1" applyBorder="1" applyAlignment="1" quotePrefix="1">
      <alignment horizontal="center"/>
    </xf>
    <xf numFmtId="3" fontId="7" fillId="0" borderId="42" xfId="0" applyNumberFormat="1" applyFont="1" applyBorder="1" applyAlignment="1">
      <alignment/>
    </xf>
    <xf numFmtId="3" fontId="7" fillId="0" borderId="50" xfId="0" applyNumberFormat="1" applyFont="1" applyBorder="1" applyAlignment="1" quotePrefix="1">
      <alignment horizontal="center"/>
    </xf>
    <xf numFmtId="0" fontId="9" fillId="0" borderId="43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4" xfId="0" applyNumberFormat="1" applyFont="1" applyBorder="1" applyAlignment="1" quotePrefix="1">
      <alignment horizontal="center"/>
    </xf>
    <xf numFmtId="3" fontId="7" fillId="0" borderId="29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 quotePrefix="1">
      <alignment horizontal="right"/>
    </xf>
    <xf numFmtId="0" fontId="9" fillId="0" borderId="51" xfId="0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2" borderId="1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 horizontal="center"/>
    </xf>
    <xf numFmtId="3" fontId="7" fillId="2" borderId="35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164" fontId="11" fillId="0" borderId="23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164" fontId="11" fillId="2" borderId="9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7" fillId="2" borderId="31" xfId="0" applyNumberFormat="1" applyFont="1" applyFill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49" xfId="0" applyNumberFormat="1" applyFont="1" applyFill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3" fontId="7" fillId="0" borderId="27" xfId="22" applyNumberFormat="1" applyFont="1" applyBorder="1" applyAlignment="1">
      <alignment horizontal="right" vertical="center"/>
      <protection/>
    </xf>
    <xf numFmtId="3" fontId="7" fillId="0" borderId="5" xfId="22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5" fillId="2" borderId="1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7" fillId="0" borderId="12" xfId="0" applyFont="1" applyBorder="1" applyAlignment="1">
      <alignment/>
    </xf>
    <xf numFmtId="3" fontId="7" fillId="0" borderId="49" xfId="0" applyNumberFormat="1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 wrapText="1"/>
    </xf>
    <xf numFmtId="4" fontId="7" fillId="2" borderId="7" xfId="0" applyNumberFormat="1" applyFont="1" applyFill="1" applyBorder="1" applyAlignment="1">
      <alignment vertical="center"/>
    </xf>
    <xf numFmtId="0" fontId="5" fillId="2" borderId="2" xfId="20" applyFont="1" applyFill="1" applyBorder="1" applyAlignment="1">
      <alignment horizontal="centerContinuous"/>
      <protection/>
    </xf>
    <xf numFmtId="0" fontId="5" fillId="2" borderId="55" xfId="20" applyFont="1" applyFill="1" applyBorder="1" applyAlignment="1">
      <alignment horizontal="centerContinuous"/>
      <protection/>
    </xf>
    <xf numFmtId="0" fontId="5" fillId="2" borderId="56" xfId="20" applyFont="1" applyFill="1" applyBorder="1" applyAlignment="1">
      <alignment horizontal="centerContinuous"/>
      <protection/>
    </xf>
    <xf numFmtId="0" fontId="2" fillId="2" borderId="16" xfId="20" applyFont="1" applyFill="1" applyBorder="1" applyAlignment="1">
      <alignment horizontal="center"/>
      <protection/>
    </xf>
    <xf numFmtId="0" fontId="10" fillId="2" borderId="28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19" xfId="20" applyFont="1" applyFill="1" applyBorder="1" applyAlignment="1">
      <alignment horizontal="center"/>
      <protection/>
    </xf>
    <xf numFmtId="0" fontId="2" fillId="2" borderId="27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7" fillId="0" borderId="0" xfId="0" applyFont="1" applyAlignment="1">
      <alignment horizontal="centerContinuous"/>
    </xf>
    <xf numFmtId="0" fontId="2" fillId="0" borderId="33" xfId="0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 vertical="center" wrapText="1"/>
    </xf>
    <xf numFmtId="3" fontId="7" fillId="5" borderId="33" xfId="0" applyNumberFormat="1" applyFont="1" applyFill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 wrapText="1"/>
    </xf>
    <xf numFmtId="3" fontId="7" fillId="5" borderId="34" xfId="0" applyNumberFormat="1" applyFont="1" applyFill="1" applyBorder="1" applyAlignment="1">
      <alignment vertical="center" wrapText="1"/>
    </xf>
    <xf numFmtId="10" fontId="7" fillId="5" borderId="35" xfId="0" applyNumberFormat="1" applyFont="1" applyFill="1" applyBorder="1" applyAlignment="1">
      <alignment vertical="center" wrapText="1"/>
    </xf>
    <xf numFmtId="0" fontId="10" fillId="0" borderId="3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7" fillId="5" borderId="7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horizontal="left" vertical="center" wrapText="1"/>
    </xf>
    <xf numFmtId="3" fontId="2" fillId="0" borderId="56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18" fillId="0" borderId="46" xfId="0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3" fontId="7" fillId="0" borderId="53" xfId="0" applyNumberFormat="1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10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45" xfId="0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7" fillId="2" borderId="1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13" xfId="22" applyFont="1" applyFill="1" applyBorder="1" applyAlignment="1">
      <alignment horizontal="center" vertical="center"/>
      <protection/>
    </xf>
    <xf numFmtId="3" fontId="7" fillId="0" borderId="12" xfId="22" applyNumberFormat="1" applyFont="1" applyBorder="1" applyAlignment="1">
      <alignment horizontal="center" vertical="center"/>
      <protection/>
    </xf>
    <xf numFmtId="3" fontId="7" fillId="0" borderId="24" xfId="22" applyNumberFormat="1" applyFont="1" applyBorder="1" applyAlignment="1">
      <alignment horizontal="right" vertical="center"/>
      <protection/>
    </xf>
    <xf numFmtId="0" fontId="7" fillId="0" borderId="42" xfId="0" applyFont="1" applyBorder="1" applyAlignment="1">
      <alignment/>
    </xf>
    <xf numFmtId="3" fontId="7" fillId="0" borderId="11" xfId="0" applyNumberFormat="1" applyFont="1" applyBorder="1" applyAlignment="1" quotePrefix="1">
      <alignment horizontal="center"/>
    </xf>
    <xf numFmtId="0" fontId="7" fillId="0" borderId="43" xfId="0" applyFont="1" applyBorder="1" applyAlignment="1">
      <alignment/>
    </xf>
    <xf numFmtId="3" fontId="7" fillId="0" borderId="37" xfId="0" applyNumberFormat="1" applyFont="1" applyBorder="1" applyAlignment="1" quotePrefix="1">
      <alignment horizontal="center"/>
    </xf>
    <xf numFmtId="0" fontId="7" fillId="0" borderId="51" xfId="0" applyFont="1" applyBorder="1" applyAlignment="1">
      <alignment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64" fontId="11" fillId="0" borderId="36" xfId="0" applyNumberFormat="1" applyFont="1" applyBorder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/>
    </xf>
    <xf numFmtId="3" fontId="2" fillId="0" borderId="57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 wrapText="1"/>
    </xf>
    <xf numFmtId="0" fontId="7" fillId="0" borderId="4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9" xfId="22" applyFont="1" applyFill="1" applyBorder="1" applyAlignment="1">
      <alignment horizontal="center" vertical="center"/>
      <protection/>
    </xf>
    <xf numFmtId="0" fontId="7" fillId="2" borderId="53" xfId="22" applyFont="1" applyFill="1" applyBorder="1" applyAlignment="1">
      <alignment horizontal="center" vertical="center"/>
      <protection/>
    </xf>
    <xf numFmtId="10" fontId="7" fillId="0" borderId="1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0" fontId="7" fillId="0" borderId="35" xfId="0" applyNumberFormat="1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10" fontId="7" fillId="0" borderId="21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2" fillId="0" borderId="61" xfId="0" applyNumberFormat="1" applyFont="1" applyBorder="1" applyAlignment="1">
      <alignment vertical="center" wrapText="1"/>
    </xf>
    <xf numFmtId="3" fontId="2" fillId="0" borderId="62" xfId="0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vertical="center" wrapText="1"/>
    </xf>
    <xf numFmtId="3" fontId="2" fillId="0" borderId="44" xfId="0" applyNumberFormat="1" applyFont="1" applyFill="1" applyBorder="1" applyAlignment="1">
      <alignment vertical="center" wrapText="1"/>
    </xf>
    <xf numFmtId="3" fontId="2" fillId="0" borderId="61" xfId="0" applyNumberFormat="1" applyFont="1" applyFill="1" applyBorder="1" applyAlignment="1">
      <alignment vertical="center" wrapText="1"/>
    </xf>
    <xf numFmtId="3" fontId="2" fillId="0" borderId="42" xfId="0" applyNumberFormat="1" applyFont="1" applyFill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7" fillId="2" borderId="45" xfId="0" applyNumberFormat="1" applyFont="1" applyFill="1" applyBorder="1" applyAlignment="1">
      <alignment horizontal="right" vertical="center" wrapText="1"/>
    </xf>
    <xf numFmtId="3" fontId="7" fillId="2" borderId="61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69" fontId="7" fillId="0" borderId="40" xfId="0" applyNumberFormat="1" applyFont="1" applyBorder="1" applyAlignment="1">
      <alignment vertical="center"/>
    </xf>
    <xf numFmtId="164" fontId="11" fillId="0" borderId="28" xfId="0" applyNumberFormat="1" applyFont="1" applyBorder="1" applyAlignment="1">
      <alignment horizontal="right" vertical="center"/>
    </xf>
    <xf numFmtId="164" fontId="11" fillId="2" borderId="26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63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center"/>
    </xf>
    <xf numFmtId="2" fontId="7" fillId="0" borderId="40" xfId="0" applyNumberFormat="1" applyFont="1" applyFill="1" applyBorder="1" applyAlignment="1">
      <alignment vertical="center"/>
    </xf>
    <xf numFmtId="2" fontId="7" fillId="2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40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0" fontId="7" fillId="2" borderId="25" xfId="0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0" borderId="0" xfId="22" applyNumberFormat="1" applyFont="1" applyBorder="1" applyAlignment="1">
      <alignment horizontal="center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 horizontal="right"/>
    </xf>
    <xf numFmtId="169" fontId="5" fillId="3" borderId="56" xfId="0" applyNumberFormat="1" applyFont="1" applyFill="1" applyBorder="1" applyAlignment="1">
      <alignment vertical="center"/>
    </xf>
    <xf numFmtId="169" fontId="5" fillId="3" borderId="35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0" fontId="7" fillId="0" borderId="23" xfId="0" applyNumberFormat="1" applyFont="1" applyBorder="1" applyAlignment="1">
      <alignment horizontal="center" vertical="center"/>
    </xf>
    <xf numFmtId="169" fontId="7" fillId="3" borderId="56" xfId="0" applyNumberFormat="1" applyFont="1" applyFill="1" applyBorder="1" applyAlignment="1">
      <alignment vertical="center"/>
    </xf>
    <xf numFmtId="169" fontId="7" fillId="3" borderId="35" xfId="0" applyNumberFormat="1" applyFont="1" applyFill="1" applyBorder="1" applyAlignment="1">
      <alignment vertical="center"/>
    </xf>
    <xf numFmtId="169" fontId="7" fillId="3" borderId="5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2" borderId="35" xfId="0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/>
    </xf>
    <xf numFmtId="3" fontId="2" fillId="5" borderId="33" xfId="0" applyNumberFormat="1" applyFont="1" applyFill="1" applyBorder="1" applyAlignment="1">
      <alignment vertical="center" wrapText="1"/>
    </xf>
    <xf numFmtId="0" fontId="0" fillId="5" borderId="23" xfId="0" applyFont="1" applyFill="1" applyBorder="1" applyAlignment="1">
      <alignment vertical="center" wrapText="1"/>
    </xf>
    <xf numFmtId="3" fontId="2" fillId="5" borderId="34" xfId="0" applyNumberFormat="1" applyFont="1" applyFill="1" applyBorder="1" applyAlignment="1">
      <alignment vertical="center" wrapText="1"/>
    </xf>
    <xf numFmtId="10" fontId="2" fillId="5" borderId="35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0" fontId="7" fillId="0" borderId="25" xfId="0" applyNumberFormat="1" applyFont="1" applyBorder="1" applyAlignment="1">
      <alignment horizontal="center" vertical="center"/>
    </xf>
    <xf numFmtId="0" fontId="7" fillId="2" borderId="41" xfId="22" applyFont="1" applyFill="1" applyBorder="1" applyAlignment="1">
      <alignment horizontal="center" vertical="center"/>
      <protection/>
    </xf>
    <xf numFmtId="3" fontId="7" fillId="0" borderId="6" xfId="22" applyNumberFormat="1" applyFont="1" applyBorder="1" applyAlignment="1">
      <alignment horizontal="right" vertical="center"/>
      <protection/>
    </xf>
    <xf numFmtId="0" fontId="7" fillId="0" borderId="2" xfId="0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2" fillId="0" borderId="38" xfId="0" applyNumberFormat="1" applyFont="1" applyBorder="1" applyAlignment="1">
      <alignment vertical="center" wrapText="1"/>
    </xf>
    <xf numFmtId="3" fontId="7" fillId="2" borderId="7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10" fontId="2" fillId="5" borderId="9" xfId="0" applyNumberFormat="1" applyFont="1" applyFill="1" applyBorder="1" applyAlignment="1">
      <alignment vertical="center" wrapText="1"/>
    </xf>
    <xf numFmtId="10" fontId="2" fillId="5" borderId="56" xfId="0" applyNumberFormat="1" applyFont="1" applyFill="1" applyBorder="1" applyAlignment="1">
      <alignment vertical="center" wrapText="1"/>
    </xf>
    <xf numFmtId="3" fontId="2" fillId="0" borderId="62" xfId="0" applyNumberFormat="1" applyFont="1" applyBorder="1" applyAlignment="1">
      <alignment vertical="center" wrapText="1"/>
    </xf>
    <xf numFmtId="10" fontId="2" fillId="5" borderId="3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 quotePrefix="1">
      <alignment horizontal="center"/>
    </xf>
    <xf numFmtId="3" fontId="2" fillId="0" borderId="43" xfId="0" applyNumberFormat="1" applyFont="1" applyBorder="1" applyAlignment="1">
      <alignment vertical="center" wrapText="1"/>
    </xf>
    <xf numFmtId="3" fontId="2" fillId="0" borderId="64" xfId="0" applyNumberFormat="1" applyFont="1" applyBorder="1" applyAlignment="1">
      <alignment vertical="center" wrapText="1"/>
    </xf>
    <xf numFmtId="3" fontId="2" fillId="5" borderId="36" xfId="0" applyNumberFormat="1" applyFont="1" applyFill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7" fillId="2" borderId="45" xfId="0" applyFont="1" applyFill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4" fontId="7" fillId="2" borderId="10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36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 quotePrefix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2" borderId="17" xfId="0" applyFont="1" applyFill="1" applyBorder="1" applyAlignment="1">
      <alignment horizontal="right" vertical="center" wrapText="1"/>
    </xf>
    <xf numFmtId="164" fontId="11" fillId="2" borderId="7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42" xfId="0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vertical="center" wrapText="1"/>
    </xf>
    <xf numFmtId="0" fontId="9" fillId="0" borderId="61" xfId="0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3" fontId="7" fillId="0" borderId="34" xfId="0" applyNumberFormat="1" applyFont="1" applyFill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3" fontId="7" fillId="0" borderId="33" xfId="0" applyNumberFormat="1" applyFont="1" applyBorder="1" applyAlignment="1" quotePrefix="1">
      <alignment horizontal="center"/>
    </xf>
    <xf numFmtId="3" fontId="7" fillId="0" borderId="55" xfId="0" applyNumberFormat="1" applyFont="1" applyBorder="1" applyAlignment="1" quotePrefix="1">
      <alignment horizontal="center"/>
    </xf>
    <xf numFmtId="3" fontId="7" fillId="2" borderId="41" xfId="0" applyNumberFormat="1" applyFont="1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/>
    </xf>
    <xf numFmtId="3" fontId="7" fillId="0" borderId="65" xfId="0" applyNumberFormat="1" applyFont="1" applyFill="1" applyBorder="1" applyAlignment="1">
      <alignment horizontal="right" vertical="center" wrapText="1"/>
    </xf>
    <xf numFmtId="3" fontId="7" fillId="0" borderId="5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2" borderId="26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0" fontId="22" fillId="0" borderId="0" xfId="21" applyFont="1">
      <alignment/>
      <protection/>
    </xf>
    <xf numFmtId="3" fontId="21" fillId="0" borderId="0" xfId="21" applyNumberFormat="1">
      <alignment/>
      <protection/>
    </xf>
    <xf numFmtId="0" fontId="21" fillId="0" borderId="0" xfId="21">
      <alignment/>
      <protection/>
    </xf>
    <xf numFmtId="0" fontId="21" fillId="0" borderId="0" xfId="21" applyAlignment="1">
      <alignment vertical="center" wrapText="1"/>
      <protection/>
    </xf>
    <xf numFmtId="3" fontId="23" fillId="2" borderId="13" xfId="21" applyNumberFormat="1" applyFont="1" applyFill="1" applyBorder="1" applyAlignment="1">
      <alignment horizontal="center" vertical="center" wrapText="1"/>
      <protection/>
    </xf>
    <xf numFmtId="0" fontId="23" fillId="0" borderId="22" xfId="21" applyFont="1" applyFill="1" applyBorder="1" applyAlignment="1">
      <alignment vertical="center" wrapText="1"/>
      <protection/>
    </xf>
    <xf numFmtId="3" fontId="23" fillId="0" borderId="22" xfId="21" applyNumberFormat="1" applyFont="1" applyFill="1" applyBorder="1" applyAlignment="1">
      <alignment vertical="center"/>
      <protection/>
    </xf>
    <xf numFmtId="3" fontId="23" fillId="0" borderId="11" xfId="21" applyNumberFormat="1" applyFont="1" applyFill="1" applyBorder="1" applyAlignment="1">
      <alignment vertical="center"/>
      <protection/>
    </xf>
    <xf numFmtId="3" fontId="23" fillId="0" borderId="23" xfId="21" applyNumberFormat="1" applyFont="1" applyFill="1" applyBorder="1" applyAlignment="1">
      <alignment vertical="center"/>
      <protection/>
    </xf>
    <xf numFmtId="0" fontId="21" fillId="0" borderId="0" xfId="21" applyFill="1" applyAlignment="1">
      <alignment vertical="center"/>
      <protection/>
    </xf>
    <xf numFmtId="0" fontId="23" fillId="0" borderId="15" xfId="21" applyFont="1" applyFill="1" applyBorder="1" applyAlignment="1">
      <alignment vertical="center" wrapText="1"/>
      <protection/>
    </xf>
    <xf numFmtId="3" fontId="23" fillId="0" borderId="15" xfId="21" applyNumberFormat="1" applyFont="1" applyFill="1" applyBorder="1" applyAlignment="1">
      <alignment vertical="center"/>
      <protection/>
    </xf>
    <xf numFmtId="3" fontId="23" fillId="0" borderId="1" xfId="21" applyNumberFormat="1" applyFont="1" applyFill="1" applyBorder="1" applyAlignment="1">
      <alignment vertical="center"/>
      <protection/>
    </xf>
    <xf numFmtId="10" fontId="23" fillId="0" borderId="35" xfId="21" applyNumberFormat="1" applyFont="1" applyFill="1" applyBorder="1" applyAlignment="1">
      <alignment vertical="center"/>
      <protection/>
    </xf>
    <xf numFmtId="3" fontId="23" fillId="0" borderId="35" xfId="21" applyNumberFormat="1" applyFont="1" applyFill="1" applyBorder="1" applyAlignment="1">
      <alignment vertical="center"/>
      <protection/>
    </xf>
    <xf numFmtId="0" fontId="23" fillId="0" borderId="16" xfId="21" applyFont="1" applyFill="1" applyBorder="1" applyAlignment="1">
      <alignment vertical="center" wrapText="1"/>
      <protection/>
    </xf>
    <xf numFmtId="3" fontId="23" fillId="0" borderId="16" xfId="21" applyNumberFormat="1" applyFont="1" applyFill="1" applyBorder="1" applyAlignment="1">
      <alignment vertical="center"/>
      <protection/>
    </xf>
    <xf numFmtId="3" fontId="23" fillId="0" borderId="28" xfId="21" applyNumberFormat="1" applyFont="1" applyFill="1" applyBorder="1" applyAlignment="1">
      <alignment vertical="center"/>
      <protection/>
    </xf>
    <xf numFmtId="10" fontId="23" fillId="0" borderId="3" xfId="21" applyNumberFormat="1" applyFont="1" applyFill="1" applyBorder="1" applyAlignment="1">
      <alignment vertical="center"/>
      <protection/>
    </xf>
    <xf numFmtId="3" fontId="23" fillId="0" borderId="3" xfId="21" applyNumberFormat="1" applyFont="1" applyFill="1" applyBorder="1" applyAlignment="1">
      <alignment vertical="center"/>
      <protection/>
    </xf>
    <xf numFmtId="0" fontId="23" fillId="2" borderId="10" xfId="21" applyFont="1" applyFill="1" applyBorder="1" applyAlignment="1">
      <alignment vertical="center"/>
      <protection/>
    </xf>
    <xf numFmtId="3" fontId="23" fillId="2" borderId="10" xfId="21" applyNumberFormat="1" applyFont="1" applyFill="1" applyBorder="1" applyAlignment="1">
      <alignment vertical="center"/>
      <protection/>
    </xf>
    <xf numFmtId="3" fontId="23" fillId="2" borderId="18" xfId="21" applyNumberFormat="1" applyFont="1" applyFill="1" applyBorder="1" applyAlignment="1">
      <alignment vertical="center"/>
      <protection/>
    </xf>
    <xf numFmtId="10" fontId="23" fillId="2" borderId="9" xfId="21" applyNumberFormat="1" applyFont="1" applyFill="1" applyBorder="1" applyAlignment="1">
      <alignment vertical="center"/>
      <protection/>
    </xf>
    <xf numFmtId="3" fontId="23" fillId="2" borderId="9" xfId="21" applyNumberFormat="1" applyFont="1" applyFill="1" applyBorder="1" applyAlignment="1">
      <alignment vertical="center"/>
      <protection/>
    </xf>
    <xf numFmtId="0" fontId="21" fillId="0" borderId="0" xfId="21" applyAlignment="1">
      <alignment vertical="center"/>
      <protection/>
    </xf>
    <xf numFmtId="0" fontId="23" fillId="0" borderId="0" xfId="21" applyFont="1">
      <alignment/>
      <protection/>
    </xf>
    <xf numFmtId="3" fontId="23" fillId="0" borderId="0" xfId="21" applyNumberFormat="1" applyFont="1">
      <alignment/>
      <protection/>
    </xf>
    <xf numFmtId="1" fontId="23" fillId="2" borderId="13" xfId="21" applyNumberFormat="1" applyFont="1" applyFill="1" applyBorder="1" applyAlignment="1">
      <alignment horizontal="center" vertical="center"/>
      <protection/>
    </xf>
    <xf numFmtId="3" fontId="23" fillId="2" borderId="13" xfId="21" applyNumberFormat="1" applyFont="1" applyFill="1" applyBorder="1" applyAlignment="1" quotePrefix="1">
      <alignment horizontal="center" vertical="center"/>
      <protection/>
    </xf>
    <xf numFmtId="1" fontId="23" fillId="2" borderId="25" xfId="21" applyNumberFormat="1" applyFont="1" applyFill="1" applyBorder="1" applyAlignment="1">
      <alignment horizontal="center" vertical="center"/>
      <protection/>
    </xf>
    <xf numFmtId="3" fontId="23" fillId="2" borderId="21" xfId="21" applyNumberFormat="1" applyFont="1" applyFill="1" applyBorder="1" applyAlignment="1">
      <alignment horizontal="center" vertical="center"/>
      <protection/>
    </xf>
    <xf numFmtId="10" fontId="23" fillId="0" borderId="40" xfId="21" applyNumberFormat="1" applyFont="1" applyFill="1" applyBorder="1" applyAlignment="1">
      <alignment vertical="center"/>
      <protection/>
    </xf>
    <xf numFmtId="10" fontId="23" fillId="0" borderId="4" xfId="21" applyNumberFormat="1" applyFont="1" applyFill="1" applyBorder="1" applyAlignment="1">
      <alignment vertical="center"/>
      <protection/>
    </xf>
    <xf numFmtId="10" fontId="23" fillId="2" borderId="8" xfId="21" applyNumberFormat="1" applyFont="1" applyFill="1" applyBorder="1" applyAlignment="1">
      <alignment vertical="center"/>
      <protection/>
    </xf>
    <xf numFmtId="0" fontId="10" fillId="2" borderId="5" xfId="0" applyFont="1" applyFill="1" applyBorder="1" applyAlignment="1">
      <alignment horizontal="center"/>
    </xf>
    <xf numFmtId="0" fontId="10" fillId="2" borderId="12" xfId="0" applyFont="1" applyFill="1" applyBorder="1" applyAlignment="1" quotePrefix="1">
      <alignment horizontal="center"/>
    </xf>
    <xf numFmtId="0" fontId="5" fillId="3" borderId="0" xfId="0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3" fontId="7" fillId="0" borderId="39" xfId="0" applyNumberFormat="1" applyFont="1" applyBorder="1" applyAlignment="1" quotePrefix="1">
      <alignment horizontal="center"/>
    </xf>
    <xf numFmtId="3" fontId="7" fillId="0" borderId="30" xfId="0" applyNumberFormat="1" applyFont="1" applyBorder="1" applyAlignment="1" quotePrefix="1">
      <alignment horizontal="center"/>
    </xf>
    <xf numFmtId="3" fontId="7" fillId="0" borderId="53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7" fillId="0" borderId="22" xfId="0" applyFont="1" applyBorder="1" applyAlignment="1">
      <alignment/>
    </xf>
    <xf numFmtId="3" fontId="7" fillId="0" borderId="22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23" fillId="0" borderId="33" xfId="21" applyFont="1" applyFill="1" applyBorder="1" applyAlignment="1">
      <alignment vertical="center" wrapText="1"/>
      <protection/>
    </xf>
    <xf numFmtId="0" fontId="23" fillId="0" borderId="34" xfId="21" applyFont="1" applyFill="1" applyBorder="1" applyAlignment="1">
      <alignment vertical="center" wrapText="1"/>
      <protection/>
    </xf>
    <xf numFmtId="0" fontId="23" fillId="0" borderId="36" xfId="21" applyFont="1" applyFill="1" applyBorder="1" applyAlignment="1">
      <alignment vertical="center" wrapText="1"/>
      <protection/>
    </xf>
    <xf numFmtId="0" fontId="23" fillId="2" borderId="7" xfId="21" applyFont="1" applyFill="1" applyBorder="1" applyAlignment="1">
      <alignment vertical="center"/>
      <protection/>
    </xf>
    <xf numFmtId="10" fontId="23" fillId="0" borderId="39" xfId="21" applyNumberFormat="1" applyFont="1" applyFill="1" applyBorder="1" applyAlignment="1">
      <alignment vertical="center"/>
      <protection/>
    </xf>
    <xf numFmtId="3" fontId="23" fillId="0" borderId="42" xfId="21" applyNumberFormat="1" applyFont="1" applyFill="1" applyBorder="1" applyAlignment="1">
      <alignment vertical="center"/>
      <protection/>
    </xf>
    <xf numFmtId="3" fontId="23" fillId="0" borderId="43" xfId="21" applyNumberFormat="1" applyFont="1" applyFill="1" applyBorder="1" applyAlignment="1">
      <alignment vertical="center"/>
      <protection/>
    </xf>
    <xf numFmtId="3" fontId="23" fillId="0" borderId="44" xfId="21" applyNumberFormat="1" applyFont="1" applyFill="1" applyBorder="1" applyAlignment="1">
      <alignment vertical="center"/>
      <protection/>
    </xf>
    <xf numFmtId="3" fontId="23" fillId="2" borderId="45" xfId="21" applyNumberFormat="1" applyFont="1" applyFill="1" applyBorder="1" applyAlignment="1">
      <alignment vertical="center"/>
      <protection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3" fontId="7" fillId="2" borderId="15" xfId="0" applyNumberFormat="1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0" fillId="0" borderId="40" xfId="0" applyFont="1" applyBorder="1" applyAlignment="1">
      <alignment/>
    </xf>
    <xf numFmtId="169" fontId="23" fillId="0" borderId="11" xfId="21" applyNumberFormat="1" applyFont="1" applyFill="1" applyBorder="1" applyAlignment="1">
      <alignment vertical="center"/>
      <protection/>
    </xf>
    <xf numFmtId="169" fontId="23" fillId="0" borderId="1" xfId="21" applyNumberFormat="1" applyFont="1" applyFill="1" applyBorder="1" applyAlignment="1">
      <alignment vertical="center"/>
      <protection/>
    </xf>
    <xf numFmtId="169" fontId="23" fillId="0" borderId="28" xfId="21" applyNumberFormat="1" applyFont="1" applyFill="1" applyBorder="1" applyAlignment="1">
      <alignment vertical="center"/>
      <protection/>
    </xf>
    <xf numFmtId="169" fontId="23" fillId="2" borderId="18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0" fontId="7" fillId="0" borderId="58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7" fillId="2" borderId="67" xfId="0" applyFont="1" applyFill="1" applyBorder="1" applyAlignment="1" quotePrefix="1">
      <alignment horizontal="center" vertical="center"/>
    </xf>
    <xf numFmtId="0" fontId="7" fillId="0" borderId="22" xfId="0" applyFont="1" applyBorder="1" applyAlignment="1">
      <alignment vertical="center"/>
    </xf>
    <xf numFmtId="164" fontId="11" fillId="0" borderId="39" xfId="0" applyNumberFormat="1" applyFont="1" applyBorder="1" applyAlignment="1">
      <alignment horizontal="right" vertical="center"/>
    </xf>
    <xf numFmtId="169" fontId="7" fillId="0" borderId="11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11" fillId="0" borderId="40" xfId="0" applyNumberFormat="1" applyFont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164" fontId="11" fillId="2" borderId="34" xfId="0" applyNumberFormat="1" applyFont="1" applyFill="1" applyBorder="1" applyAlignment="1">
      <alignment horizontal="right" vertical="center"/>
    </xf>
    <xf numFmtId="169" fontId="7" fillId="2" borderId="40" xfId="0" applyNumberFormat="1" applyFont="1" applyFill="1" applyBorder="1" applyAlignment="1">
      <alignment vertical="center"/>
    </xf>
    <xf numFmtId="169" fontId="7" fillId="2" borderId="1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4" fontId="11" fillId="2" borderId="36" xfId="0" applyNumberFormat="1" applyFont="1" applyFill="1" applyBorder="1" applyAlignment="1">
      <alignment horizontal="right" vertical="center"/>
    </xf>
    <xf numFmtId="169" fontId="7" fillId="2" borderId="41" xfId="0" applyNumberFormat="1" applyFont="1" applyFill="1" applyBorder="1" applyAlignment="1">
      <alignment vertical="center"/>
    </xf>
    <xf numFmtId="169" fontId="7" fillId="2" borderId="13" xfId="0" applyNumberFormat="1" applyFont="1" applyFill="1" applyBorder="1" applyAlignment="1">
      <alignment vertical="center"/>
    </xf>
    <xf numFmtId="169" fontId="24" fillId="2" borderId="8" xfId="0" applyNumberFormat="1" applyFont="1" applyFill="1" applyBorder="1" applyAlignment="1">
      <alignment horizontal="right" vertical="center" wrapText="1"/>
    </xf>
    <xf numFmtId="164" fontId="11" fillId="2" borderId="8" xfId="0" applyNumberFormat="1" applyFont="1" applyFill="1" applyBorder="1" applyAlignment="1">
      <alignment horizontal="right" vertical="center"/>
    </xf>
    <xf numFmtId="169" fontId="24" fillId="2" borderId="18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/>
    </xf>
    <xf numFmtId="3" fontId="2" fillId="3" borderId="22" xfId="0" applyNumberFormat="1" applyFont="1" applyFill="1" applyBorder="1" applyAlignment="1">
      <alignment vertical="center" wrapText="1"/>
    </xf>
    <xf numFmtId="3" fontId="2" fillId="3" borderId="23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0" fontId="25" fillId="0" borderId="0" xfId="21" applyFont="1">
      <alignment/>
      <protection/>
    </xf>
    <xf numFmtId="0" fontId="25" fillId="0" borderId="0" xfId="21" applyFont="1" applyAlignment="1">
      <alignment vertical="top"/>
      <protection/>
    </xf>
    <xf numFmtId="0" fontId="21" fillId="0" borderId="0" xfId="21" applyFont="1">
      <alignment/>
      <protection/>
    </xf>
    <xf numFmtId="3" fontId="7" fillId="0" borderId="30" xfId="0" applyNumberFormat="1" applyFont="1" applyFill="1" applyBorder="1" applyAlignment="1">
      <alignment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justify" vertical="center"/>
    </xf>
    <xf numFmtId="0" fontId="7" fillId="2" borderId="5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justify" vertical="center"/>
    </xf>
    <xf numFmtId="0" fontId="5" fillId="3" borderId="34" xfId="0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19" fillId="2" borderId="10" xfId="0" applyFont="1" applyFill="1" applyBorder="1" applyAlignment="1">
      <alignment horizontal="justify" vertical="center"/>
    </xf>
    <xf numFmtId="0" fontId="7" fillId="0" borderId="11" xfId="0" applyFont="1" applyBorder="1" applyAlignment="1">
      <alignment vertical="center" wrapText="1"/>
    </xf>
    <xf numFmtId="4" fontId="7" fillId="2" borderId="10" xfId="0" applyNumberFormat="1" applyFont="1" applyFill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10" fontId="7" fillId="0" borderId="27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/>
    </xf>
    <xf numFmtId="164" fontId="11" fillId="0" borderId="30" xfId="0" applyNumberFormat="1" applyFont="1" applyBorder="1" applyAlignment="1">
      <alignment horizontal="right" vertical="center"/>
    </xf>
    <xf numFmtId="164" fontId="11" fillId="0" borderId="29" xfId="0" applyNumberFormat="1" applyFont="1" applyBorder="1" applyAlignment="1">
      <alignment horizontal="right" vertical="center"/>
    </xf>
    <xf numFmtId="164" fontId="11" fillId="0" borderId="60" xfId="0" applyNumberFormat="1" applyFont="1" applyBorder="1" applyAlignment="1">
      <alignment horizontal="right" vertical="center"/>
    </xf>
    <xf numFmtId="3" fontId="2" fillId="5" borderId="68" xfId="0" applyNumberFormat="1" applyFont="1" applyFill="1" applyBorder="1" applyAlignment="1">
      <alignment vertical="center" wrapText="1"/>
    </xf>
    <xf numFmtId="3" fontId="2" fillId="5" borderId="53" xfId="0" applyNumberFormat="1" applyFont="1" applyFill="1" applyBorder="1" applyAlignment="1">
      <alignment vertical="center" wrapText="1"/>
    </xf>
    <xf numFmtId="3" fontId="2" fillId="5" borderId="59" xfId="0" applyNumberFormat="1" applyFont="1" applyFill="1" applyBorder="1" applyAlignment="1">
      <alignment vertical="center" wrapText="1"/>
    </xf>
    <xf numFmtId="3" fontId="2" fillId="5" borderId="17" xfId="0" applyNumberFormat="1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9" fillId="2" borderId="21" xfId="0" applyFont="1" applyFill="1" applyBorder="1" applyAlignment="1" quotePrefix="1">
      <alignment horizontal="center" vertical="center"/>
    </xf>
    <xf numFmtId="3" fontId="2" fillId="2" borderId="9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/>
    </xf>
    <xf numFmtId="0" fontId="7" fillId="0" borderId="28" xfId="0" applyFont="1" applyBorder="1" applyAlignment="1">
      <alignment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3" fontId="7" fillId="0" borderId="5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5" borderId="36" xfId="0" applyNumberFormat="1" applyFont="1" applyFill="1" applyBorder="1" applyAlignment="1">
      <alignment vertical="center" wrapText="1"/>
    </xf>
    <xf numFmtId="10" fontId="7" fillId="5" borderId="3" xfId="0" applyNumberFormat="1" applyFont="1" applyFill="1" applyBorder="1" applyAlignment="1">
      <alignment vertical="center" wrapText="1"/>
    </xf>
    <xf numFmtId="10" fontId="7" fillId="5" borderId="23" xfId="0" applyNumberFormat="1" applyFont="1" applyFill="1" applyBorder="1" applyAlignment="1">
      <alignment vertical="center" wrapText="1"/>
    </xf>
    <xf numFmtId="10" fontId="7" fillId="5" borderId="9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/>
    </xf>
    <xf numFmtId="0" fontId="0" fillId="2" borderId="31" xfId="0" applyFill="1" applyBorder="1" applyAlignment="1">
      <alignment/>
    </xf>
    <xf numFmtId="10" fontId="7" fillId="2" borderId="66" xfId="0" applyNumberFormat="1" applyFont="1" applyFill="1" applyBorder="1" applyAlignment="1">
      <alignment horizontal="center" vertical="center" wrapText="1"/>
    </xf>
    <xf numFmtId="10" fontId="7" fillId="0" borderId="58" xfId="0" applyNumberFormat="1" applyFont="1" applyBorder="1" applyAlignment="1">
      <alignment horizontal="center" vertical="center"/>
    </xf>
    <xf numFmtId="10" fontId="7" fillId="0" borderId="53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 wrapText="1"/>
    </xf>
    <xf numFmtId="0" fontId="19" fillId="0" borderId="22" xfId="0" applyFont="1" applyBorder="1" applyAlignment="1">
      <alignment horizontal="justify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3" fontId="7" fillId="6" borderId="23" xfId="0" applyNumberFormat="1" applyFont="1" applyFill="1" applyBorder="1" applyAlignment="1">
      <alignment vertical="center"/>
    </xf>
    <xf numFmtId="3" fontId="7" fillId="6" borderId="39" xfId="0" applyNumberFormat="1" applyFont="1" applyFill="1" applyBorder="1" applyAlignment="1">
      <alignment vertical="center"/>
    </xf>
    <xf numFmtId="4" fontId="7" fillId="6" borderId="39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6" borderId="9" xfId="0" applyNumberFormat="1" applyFont="1" applyFill="1" applyBorder="1" applyAlignment="1">
      <alignment vertical="center"/>
    </xf>
    <xf numFmtId="3" fontId="7" fillId="6" borderId="8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15" xfId="0" applyFont="1" applyBorder="1" applyAlignment="1">
      <alignment vertical="center"/>
    </xf>
    <xf numFmtId="3" fontId="7" fillId="6" borderId="35" xfId="0" applyNumberFormat="1" applyFont="1" applyFill="1" applyBorder="1" applyAlignment="1">
      <alignment vertical="center"/>
    </xf>
    <xf numFmtId="0" fontId="7" fillId="0" borderId="53" xfId="0" applyFont="1" applyBorder="1" applyAlignment="1">
      <alignment vertical="center"/>
    </xf>
    <xf numFmtId="4" fontId="7" fillId="6" borderId="40" xfId="0" applyNumberFormat="1" applyFont="1" applyFill="1" applyBorder="1" applyAlignment="1">
      <alignment vertical="center"/>
    </xf>
    <xf numFmtId="3" fontId="7" fillId="6" borderId="3" xfId="0" applyNumberFormat="1" applyFont="1" applyFill="1" applyBorder="1" applyAlignment="1">
      <alignment vertical="center"/>
    </xf>
    <xf numFmtId="4" fontId="7" fillId="6" borderId="4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  <xf numFmtId="4" fontId="7" fillId="6" borderId="8" xfId="0" applyNumberFormat="1" applyFont="1" applyFill="1" applyBorder="1" applyAlignment="1">
      <alignment vertical="center"/>
    </xf>
    <xf numFmtId="4" fontId="7" fillId="6" borderId="9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5" fillId="2" borderId="6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3" fontId="7" fillId="6" borderId="42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3" fontId="7" fillId="6" borderId="43" xfId="0" applyNumberFormat="1" applyFont="1" applyFill="1" applyBorder="1" applyAlignment="1">
      <alignment vertical="center"/>
    </xf>
    <xf numFmtId="3" fontId="7" fillId="6" borderId="44" xfId="0" applyNumberFormat="1" applyFont="1" applyFill="1" applyBorder="1" applyAlignment="1">
      <alignment vertic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28" fillId="0" borderId="0" xfId="0" applyFont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169" fontId="5" fillId="3" borderId="5" xfId="0" applyNumberFormat="1" applyFont="1" applyFill="1" applyBorder="1" applyAlignment="1">
      <alignment vertical="center"/>
    </xf>
    <xf numFmtId="3" fontId="2" fillId="7" borderId="16" xfId="0" applyNumberFormat="1" applyFont="1" applyFill="1" applyBorder="1" applyAlignment="1">
      <alignment vertical="center" wrapText="1"/>
    </xf>
    <xf numFmtId="3" fontId="7" fillId="7" borderId="11" xfId="0" applyNumberFormat="1" applyFont="1" applyFill="1" applyBorder="1" applyAlignment="1">
      <alignment vertical="center" wrapText="1"/>
    </xf>
    <xf numFmtId="3" fontId="7" fillId="7" borderId="18" xfId="0" applyNumberFormat="1" applyFont="1" applyFill="1" applyBorder="1" applyAlignment="1">
      <alignment vertical="center" wrapText="1"/>
    </xf>
    <xf numFmtId="3" fontId="2" fillId="7" borderId="49" xfId="0" applyNumberFormat="1" applyFont="1" applyFill="1" applyBorder="1" applyAlignment="1">
      <alignment vertical="center" wrapText="1"/>
    </xf>
    <xf numFmtId="3" fontId="2" fillId="7" borderId="35" xfId="0" applyNumberFormat="1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7" fillId="7" borderId="9" xfId="0" applyNumberFormat="1" applyFont="1" applyFill="1" applyBorder="1" applyAlignment="1">
      <alignment vertical="center" wrapText="1"/>
    </xf>
    <xf numFmtId="3" fontId="2" fillId="7" borderId="56" xfId="0" applyNumberFormat="1" applyFont="1" applyFill="1" applyBorder="1" applyAlignment="1">
      <alignment vertical="center" wrapText="1"/>
    </xf>
    <xf numFmtId="3" fontId="2" fillId="7" borderId="23" xfId="0" applyNumberFormat="1" applyFont="1" applyFill="1" applyBorder="1" applyAlignment="1">
      <alignment vertical="center" wrapText="1"/>
    </xf>
    <xf numFmtId="3" fontId="2" fillId="7" borderId="37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/>
    </xf>
    <xf numFmtId="3" fontId="7" fillId="2" borderId="25" xfId="0" applyNumberFormat="1" applyFont="1" applyFill="1" applyBorder="1" applyAlignment="1">
      <alignment/>
    </xf>
    <xf numFmtId="2" fontId="7" fillId="0" borderId="47" xfId="0" applyNumberFormat="1" applyFont="1" applyFill="1" applyBorder="1" applyAlignment="1">
      <alignment vertical="center"/>
    </xf>
    <xf numFmtId="2" fontId="7" fillId="0" borderId="36" xfId="0" applyNumberFormat="1" applyFont="1" applyFill="1" applyBorder="1" applyAlignment="1">
      <alignment vertical="center"/>
    </xf>
    <xf numFmtId="3" fontId="7" fillId="2" borderId="69" xfId="0" applyNumberFormat="1" applyFont="1" applyFill="1" applyBorder="1" applyAlignment="1">
      <alignment horizontal="right" vertical="center" wrapText="1"/>
    </xf>
    <xf numFmtId="3" fontId="7" fillId="2" borderId="67" xfId="0" applyNumberFormat="1" applyFont="1" applyFill="1" applyBorder="1" applyAlignment="1">
      <alignment horizontal="right" vertical="center" wrapText="1"/>
    </xf>
    <xf numFmtId="3" fontId="7" fillId="5" borderId="14" xfId="0" applyNumberFormat="1" applyFont="1" applyFill="1" applyBorder="1" applyAlignment="1">
      <alignment vertical="center" wrapText="1"/>
    </xf>
    <xf numFmtId="10" fontId="7" fillId="5" borderId="21" xfId="0" applyNumberFormat="1" applyFont="1" applyFill="1" applyBorder="1" applyAlignment="1">
      <alignment vertical="center" wrapText="1"/>
    </xf>
    <xf numFmtId="3" fontId="7" fillId="5" borderId="57" xfId="0" applyNumberFormat="1" applyFont="1" applyFill="1" applyBorder="1" applyAlignment="1">
      <alignment vertical="center" wrapText="1"/>
    </xf>
    <xf numFmtId="10" fontId="7" fillId="5" borderId="56" xfId="0" applyNumberFormat="1" applyFont="1" applyFill="1" applyBorder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11" fillId="0" borderId="43" xfId="0" applyFont="1" applyBorder="1" applyAlignment="1">
      <alignment horizontal="justify" vertical="center"/>
    </xf>
    <xf numFmtId="0" fontId="11" fillId="0" borderId="44" xfId="0" applyFont="1" applyBorder="1" applyAlignment="1">
      <alignment horizontal="justify" vertical="center"/>
    </xf>
    <xf numFmtId="0" fontId="11" fillId="2" borderId="45" xfId="0" applyFont="1" applyFill="1" applyBorder="1" applyAlignment="1">
      <alignment horizontal="justify" vertical="center"/>
    </xf>
    <xf numFmtId="2" fontId="7" fillId="0" borderId="63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2" fontId="7" fillId="0" borderId="40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/>
    </xf>
    <xf numFmtId="0" fontId="7" fillId="3" borderId="53" xfId="0" applyFont="1" applyFill="1" applyBorder="1" applyAlignment="1">
      <alignment/>
    </xf>
    <xf numFmtId="0" fontId="5" fillId="2" borderId="5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11" fillId="2" borderId="10" xfId="0" applyFont="1" applyFill="1" applyBorder="1" applyAlignment="1">
      <alignment horizontal="justify" vertical="center"/>
    </xf>
    <xf numFmtId="0" fontId="11" fillId="0" borderId="15" xfId="0" applyFont="1" applyBorder="1" applyAlignment="1">
      <alignment horizontal="justify" vertical="center"/>
    </xf>
    <xf numFmtId="0" fontId="11" fillId="0" borderId="22" xfId="0" applyFont="1" applyBorder="1" applyAlignment="1">
      <alignment horizontal="justify" vertical="center"/>
    </xf>
    <xf numFmtId="4" fontId="7" fillId="0" borderId="3" xfId="26" applyNumberFormat="1" applyFont="1" applyFill="1" applyBorder="1" applyAlignment="1">
      <alignment vertical="center" wrapText="1"/>
      <protection/>
    </xf>
    <xf numFmtId="4" fontId="7" fillId="0" borderId="28" xfId="26" applyNumberFormat="1" applyFont="1" applyFill="1" applyBorder="1" applyAlignment="1">
      <alignment vertical="center" wrapText="1"/>
      <protection/>
    </xf>
    <xf numFmtId="4" fontId="7" fillId="0" borderId="35" xfId="26" applyNumberFormat="1" applyFont="1" applyFill="1" applyBorder="1" applyAlignment="1">
      <alignment vertical="center" wrapText="1"/>
      <protection/>
    </xf>
    <xf numFmtId="4" fontId="7" fillId="0" borderId="1" xfId="26" applyNumberFormat="1" applyFont="1" applyFill="1" applyBorder="1" applyAlignment="1">
      <alignment vertical="center" wrapText="1"/>
      <protection/>
    </xf>
    <xf numFmtId="4" fontId="7" fillId="0" borderId="11" xfId="26" applyNumberFormat="1" applyFont="1" applyFill="1" applyBorder="1" applyAlignment="1">
      <alignment vertical="center" wrapText="1"/>
      <protection/>
    </xf>
    <xf numFmtId="4" fontId="7" fillId="0" borderId="23" xfId="26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11" fillId="2" borderId="15" xfId="0" applyFont="1" applyFill="1" applyBorder="1" applyAlignment="1">
      <alignment horizontal="justify" vertical="center"/>
    </xf>
    <xf numFmtId="0" fontId="11" fillId="2" borderId="16" xfId="0" applyFont="1" applyFill="1" applyBorder="1" applyAlignment="1">
      <alignment horizontal="justify" vertical="center"/>
    </xf>
    <xf numFmtId="0" fontId="7" fillId="0" borderId="47" xfId="0" applyFont="1" applyBorder="1" applyAlignment="1">
      <alignment vertical="center" wrapText="1"/>
    </xf>
    <xf numFmtId="3" fontId="2" fillId="3" borderId="30" xfId="0" applyNumberFormat="1" applyFont="1" applyFill="1" applyBorder="1" applyAlignment="1">
      <alignment vertical="center" wrapText="1"/>
    </xf>
    <xf numFmtId="3" fontId="2" fillId="3" borderId="29" xfId="0" applyNumberFormat="1" applyFont="1" applyFill="1" applyBorder="1" applyAlignment="1">
      <alignment vertical="center" wrapText="1"/>
    </xf>
    <xf numFmtId="3" fontId="2" fillId="3" borderId="60" xfId="0" applyNumberFormat="1" applyFont="1" applyFill="1" applyBorder="1" applyAlignment="1">
      <alignment vertical="center" wrapText="1"/>
    </xf>
    <xf numFmtId="2" fontId="2" fillId="8" borderId="70" xfId="0" applyNumberFormat="1" applyFont="1" applyFill="1" applyBorder="1" applyAlignment="1">
      <alignment vertical="center" wrapText="1"/>
    </xf>
    <xf numFmtId="0" fontId="7" fillId="8" borderId="71" xfId="0" applyFont="1" applyFill="1" applyBorder="1" applyAlignment="1">
      <alignment/>
    </xf>
    <xf numFmtId="0" fontId="5" fillId="8" borderId="72" xfId="0" applyFont="1" applyFill="1" applyBorder="1" applyAlignment="1">
      <alignment/>
    </xf>
    <xf numFmtId="3" fontId="7" fillId="8" borderId="73" xfId="0" applyNumberFormat="1" applyFont="1" applyFill="1" applyBorder="1" applyAlignment="1">
      <alignment/>
    </xf>
    <xf numFmtId="3" fontId="7" fillId="8" borderId="74" xfId="0" applyNumberFormat="1" applyFont="1" applyFill="1" applyBorder="1" applyAlignment="1">
      <alignment/>
    </xf>
    <xf numFmtId="3" fontId="7" fillId="8" borderId="73" xfId="0" applyNumberFormat="1" applyFont="1" applyFill="1" applyBorder="1" applyAlignment="1">
      <alignment horizontal="right"/>
    </xf>
    <xf numFmtId="0" fontId="7" fillId="8" borderId="75" xfId="0" applyFont="1" applyFill="1" applyBorder="1" applyAlignment="1">
      <alignment/>
    </xf>
    <xf numFmtId="0" fontId="7" fillId="8" borderId="76" xfId="0" applyFont="1" applyFill="1" applyBorder="1" applyAlignment="1">
      <alignment/>
    </xf>
    <xf numFmtId="0" fontId="7" fillId="8" borderId="76" xfId="0" applyFont="1" applyFill="1" applyBorder="1" applyAlignment="1">
      <alignment horizontal="left"/>
    </xf>
    <xf numFmtId="0" fontId="7" fillId="9" borderId="77" xfId="22" applyFont="1" applyFill="1" applyBorder="1" applyAlignment="1">
      <alignment horizontal="center" vertical="center"/>
      <protection/>
    </xf>
    <xf numFmtId="0" fontId="7" fillId="9" borderId="78" xfId="22" applyFont="1" applyFill="1" applyBorder="1" applyAlignment="1">
      <alignment horizontal="center" vertical="center"/>
      <protection/>
    </xf>
    <xf numFmtId="3" fontId="7" fillId="8" borderId="79" xfId="22" applyNumberFormat="1" applyFont="1" applyFill="1" applyBorder="1" applyAlignment="1">
      <alignment horizontal="right" vertical="center"/>
      <protection/>
    </xf>
    <xf numFmtId="3" fontId="7" fillId="8" borderId="80" xfId="22" applyNumberFormat="1" applyFont="1" applyFill="1" applyBorder="1" applyAlignment="1">
      <alignment horizontal="right" vertical="center"/>
      <protection/>
    </xf>
    <xf numFmtId="3" fontId="7" fillId="8" borderId="81" xfId="22" applyNumberFormat="1" applyFont="1" applyFill="1" applyBorder="1" applyAlignment="1">
      <alignment horizontal="right" vertical="center"/>
      <protection/>
    </xf>
    <xf numFmtId="3" fontId="7" fillId="8" borderId="82" xfId="22" applyNumberFormat="1" applyFont="1" applyFill="1" applyBorder="1" applyAlignment="1">
      <alignment horizontal="right" vertical="center"/>
      <protection/>
    </xf>
    <xf numFmtId="0" fontId="9" fillId="8" borderId="83" xfId="0" applyFont="1" applyFill="1" applyBorder="1" applyAlignment="1">
      <alignment/>
    </xf>
    <xf numFmtId="3" fontId="7" fillId="8" borderId="84" xfId="0" applyNumberFormat="1" applyFont="1" applyFill="1" applyBorder="1" applyAlignment="1">
      <alignment horizontal="right"/>
    </xf>
    <xf numFmtId="3" fontId="7" fillId="8" borderId="85" xfId="0" applyNumberFormat="1" applyFont="1" applyFill="1" applyBorder="1" applyAlignment="1">
      <alignment horizontal="right"/>
    </xf>
    <xf numFmtId="0" fontId="0" fillId="8" borderId="0" xfId="0" applyFont="1" applyFill="1" applyAlignment="1">
      <alignment/>
    </xf>
    <xf numFmtId="0" fontId="2" fillId="8" borderId="0" xfId="0" applyFont="1" applyFill="1" applyAlignment="1">
      <alignment horizontal="center" vertical="center"/>
    </xf>
    <xf numFmtId="0" fontId="9" fillId="8" borderId="86" xfId="0" applyFont="1" applyFill="1" applyBorder="1" applyAlignment="1">
      <alignment/>
    </xf>
    <xf numFmtId="3" fontId="7" fillId="8" borderId="87" xfId="0" applyNumberFormat="1" applyFont="1" applyFill="1" applyBorder="1" applyAlignment="1">
      <alignment horizontal="right"/>
    </xf>
    <xf numFmtId="3" fontId="7" fillId="8" borderId="86" xfId="0" applyNumberFormat="1" applyFont="1" applyFill="1" applyBorder="1" applyAlignment="1">
      <alignment horizontal="right"/>
    </xf>
    <xf numFmtId="3" fontId="7" fillId="8" borderId="88" xfId="0" applyNumberFormat="1" applyFont="1" applyFill="1" applyBorder="1" applyAlignment="1">
      <alignment horizontal="right"/>
    </xf>
    <xf numFmtId="3" fontId="7" fillId="8" borderId="89" xfId="0" applyNumberFormat="1" applyFont="1" applyFill="1" applyBorder="1" applyAlignment="1">
      <alignment horizontal="right"/>
    </xf>
    <xf numFmtId="0" fontId="9" fillId="8" borderId="90" xfId="0" applyFont="1" applyFill="1" applyBorder="1" applyAlignment="1">
      <alignment/>
    </xf>
    <xf numFmtId="3" fontId="7" fillId="8" borderId="91" xfId="0" applyNumberFormat="1" applyFont="1" applyFill="1" applyBorder="1" applyAlignment="1">
      <alignment horizontal="right"/>
    </xf>
    <xf numFmtId="3" fontId="7" fillId="8" borderId="80" xfId="0" applyNumberFormat="1" applyFont="1" applyFill="1" applyBorder="1" applyAlignment="1">
      <alignment horizontal="right"/>
    </xf>
    <xf numFmtId="3" fontId="7" fillId="8" borderId="82" xfId="0" applyNumberFormat="1" applyFont="1" applyFill="1" applyBorder="1" applyAlignment="1">
      <alignment horizontal="right"/>
    </xf>
    <xf numFmtId="3" fontId="7" fillId="8" borderId="92" xfId="0" applyNumberFormat="1" applyFont="1" applyFill="1" applyBorder="1" applyAlignment="1">
      <alignment horizontal="right"/>
    </xf>
    <xf numFmtId="3" fontId="7" fillId="0" borderId="85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7" fillId="9" borderId="80" xfId="0" applyNumberFormat="1" applyFont="1" applyFill="1" applyBorder="1" applyAlignment="1">
      <alignment horizontal="center"/>
    </xf>
    <xf numFmtId="3" fontId="7" fillId="0" borderId="84" xfId="0" applyNumberFormat="1" applyFont="1" applyBorder="1" applyAlignment="1">
      <alignment/>
    </xf>
    <xf numFmtId="3" fontId="7" fillId="0" borderId="93" xfId="0" applyNumberFormat="1" applyFont="1" applyBorder="1" applyAlignment="1">
      <alignment/>
    </xf>
    <xf numFmtId="164" fontId="32" fillId="3" borderId="22" xfId="0" applyNumberFormat="1" applyFont="1" applyFill="1" applyBorder="1" applyAlignment="1">
      <alignment horizontal="right" vertical="center"/>
    </xf>
    <xf numFmtId="164" fontId="32" fillId="3" borderId="11" xfId="0" applyNumberFormat="1" applyFont="1" applyFill="1" applyBorder="1" applyAlignment="1">
      <alignment horizontal="right" vertical="center"/>
    </xf>
    <xf numFmtId="164" fontId="32" fillId="0" borderId="11" xfId="0" applyNumberFormat="1" applyFont="1" applyBorder="1" applyAlignment="1">
      <alignment horizontal="right" vertical="center"/>
    </xf>
    <xf numFmtId="164" fontId="32" fillId="8" borderId="84" xfId="0" applyNumberFormat="1" applyFont="1" applyFill="1" applyBorder="1" applyAlignment="1">
      <alignment horizontal="right" vertical="center"/>
    </xf>
    <xf numFmtId="164" fontId="32" fillId="3" borderId="23" xfId="0" applyNumberFormat="1" applyFont="1" applyFill="1" applyBorder="1" applyAlignment="1">
      <alignment horizontal="right" vertical="center"/>
    </xf>
    <xf numFmtId="164" fontId="32" fillId="3" borderId="15" xfId="0" applyNumberFormat="1" applyFont="1" applyFill="1" applyBorder="1" applyAlignment="1">
      <alignment horizontal="right" vertical="center"/>
    </xf>
    <xf numFmtId="164" fontId="32" fillId="3" borderId="1" xfId="0" applyNumberFormat="1" applyFont="1" applyFill="1" applyBorder="1" applyAlignment="1">
      <alignment horizontal="right" vertical="center"/>
    </xf>
    <xf numFmtId="164" fontId="32" fillId="0" borderId="1" xfId="0" applyNumberFormat="1" applyFont="1" applyBorder="1" applyAlignment="1">
      <alignment horizontal="right" vertical="center"/>
    </xf>
    <xf numFmtId="164" fontId="32" fillId="8" borderId="87" xfId="0" applyNumberFormat="1" applyFont="1" applyFill="1" applyBorder="1" applyAlignment="1">
      <alignment horizontal="right" vertical="center"/>
    </xf>
    <xf numFmtId="164" fontId="32" fillId="3" borderId="16" xfId="0" applyNumberFormat="1" applyFont="1" applyFill="1" applyBorder="1" applyAlignment="1">
      <alignment horizontal="right" vertical="center"/>
    </xf>
    <xf numFmtId="164" fontId="32" fillId="3" borderId="28" xfId="0" applyNumberFormat="1" applyFont="1" applyFill="1" applyBorder="1" applyAlignment="1">
      <alignment horizontal="right" vertical="center"/>
    </xf>
    <xf numFmtId="164" fontId="32" fillId="0" borderId="28" xfId="0" applyNumberFormat="1" applyFont="1" applyBorder="1" applyAlignment="1">
      <alignment horizontal="right" vertical="center"/>
    </xf>
    <xf numFmtId="164" fontId="32" fillId="8" borderId="78" xfId="0" applyNumberFormat="1" applyFont="1" applyFill="1" applyBorder="1" applyAlignment="1">
      <alignment horizontal="right" vertical="center"/>
    </xf>
    <xf numFmtId="164" fontId="32" fillId="3" borderId="49" xfId="0" applyNumberFormat="1" applyFont="1" applyFill="1" applyBorder="1" applyAlignment="1">
      <alignment horizontal="right" vertical="center"/>
    </xf>
    <xf numFmtId="164" fontId="32" fillId="2" borderId="10" xfId="0" applyNumberFormat="1" applyFont="1" applyFill="1" applyBorder="1" applyAlignment="1">
      <alignment horizontal="right" vertical="center"/>
    </xf>
    <xf numFmtId="164" fontId="32" fillId="2" borderId="18" xfId="0" applyNumberFormat="1" applyFont="1" applyFill="1" applyBorder="1" applyAlignment="1">
      <alignment horizontal="right" vertical="center" wrapText="1"/>
    </xf>
    <xf numFmtId="164" fontId="32" fillId="9" borderId="94" xfId="0" applyNumberFormat="1" applyFont="1" applyFill="1" applyBorder="1" applyAlignment="1">
      <alignment horizontal="right" vertical="center"/>
    </xf>
    <xf numFmtId="164" fontId="32" fillId="9" borderId="95" xfId="0" applyNumberFormat="1" applyFont="1" applyFill="1" applyBorder="1" applyAlignment="1">
      <alignment horizontal="right" vertical="center"/>
    </xf>
    <xf numFmtId="3" fontId="7" fillId="9" borderId="96" xfId="0" applyNumberFormat="1" applyFont="1" applyFill="1" applyBorder="1" applyAlignment="1">
      <alignment horizontal="center"/>
    </xf>
    <xf numFmtId="3" fontId="7" fillId="0" borderId="97" xfId="0" applyNumberFormat="1" applyFont="1" applyBorder="1" applyAlignment="1">
      <alignment/>
    </xf>
    <xf numFmtId="3" fontId="7" fillId="0" borderId="98" xfId="0" applyNumberFormat="1" applyFont="1" applyBorder="1" applyAlignment="1">
      <alignment/>
    </xf>
    <xf numFmtId="3" fontId="7" fillId="0" borderId="99" xfId="0" applyNumberFormat="1" applyFont="1" applyBorder="1" applyAlignment="1">
      <alignment/>
    </xf>
    <xf numFmtId="3" fontId="7" fillId="0" borderId="100" xfId="0" applyNumberFormat="1" applyFont="1" applyBorder="1" applyAlignment="1">
      <alignment/>
    </xf>
    <xf numFmtId="0" fontId="7" fillId="0" borderId="101" xfId="0" applyFont="1" applyBorder="1" applyAlignment="1">
      <alignment/>
    </xf>
    <xf numFmtId="0" fontId="7" fillId="9" borderId="102" xfId="0" applyFont="1" applyFill="1" applyBorder="1" applyAlignment="1">
      <alignment horizontal="center"/>
    </xf>
    <xf numFmtId="3" fontId="7" fillId="0" borderId="103" xfId="0" applyNumberFormat="1" applyFont="1" applyBorder="1" applyAlignment="1">
      <alignment/>
    </xf>
    <xf numFmtId="3" fontId="7" fillId="0" borderId="104" xfId="0" applyNumberFormat="1" applyFont="1" applyBorder="1" applyAlignment="1">
      <alignment/>
    </xf>
    <xf numFmtId="3" fontId="7" fillId="9" borderId="46" xfId="0" applyNumberFormat="1" applyFont="1" applyFill="1" applyBorder="1" applyAlignment="1">
      <alignment horizontal="center" vertical="center"/>
    </xf>
    <xf numFmtId="3" fontId="7" fillId="9" borderId="105" xfId="0" applyNumberFormat="1" applyFont="1" applyFill="1" applyBorder="1" applyAlignment="1">
      <alignment horizontal="center" vertical="center"/>
    </xf>
    <xf numFmtId="3" fontId="7" fillId="0" borderId="106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3" fontId="7" fillId="3" borderId="23" xfId="0" applyNumberFormat="1" applyFont="1" applyFill="1" applyBorder="1" applyAlignment="1">
      <alignment vertical="center"/>
    </xf>
    <xf numFmtId="3" fontId="7" fillId="3" borderId="35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4" fontId="7" fillId="3" borderId="22" xfId="0" applyNumberFormat="1" applyFont="1" applyFill="1" applyBorder="1" applyAlignment="1">
      <alignment vertical="center"/>
    </xf>
    <xf numFmtId="4" fontId="7" fillId="3" borderId="15" xfId="0" applyNumberFormat="1" applyFont="1" applyFill="1" applyBorder="1" applyAlignment="1">
      <alignment vertical="center"/>
    </xf>
    <xf numFmtId="4" fontId="7" fillId="3" borderId="16" xfId="0" applyNumberFormat="1" applyFont="1" applyFill="1" applyBorder="1" applyAlignment="1">
      <alignment vertical="center"/>
    </xf>
    <xf numFmtId="3" fontId="7" fillId="0" borderId="107" xfId="0" applyNumberFormat="1" applyFont="1" applyBorder="1" applyAlignment="1">
      <alignment/>
    </xf>
    <xf numFmtId="3" fontId="7" fillId="2" borderId="107" xfId="0" applyNumberFormat="1" applyFont="1" applyFill="1" applyBorder="1" applyAlignment="1">
      <alignment/>
    </xf>
    <xf numFmtId="3" fontId="14" fillId="0" borderId="107" xfId="0" applyNumberFormat="1" applyFont="1" applyBorder="1" applyAlignment="1">
      <alignment/>
    </xf>
    <xf numFmtId="3" fontId="7" fillId="0" borderId="108" xfId="0" applyNumberFormat="1" applyFont="1" applyBorder="1" applyAlignment="1">
      <alignment/>
    </xf>
    <xf numFmtId="3" fontId="7" fillId="0" borderId="109" xfId="0" applyNumberFormat="1" applyFont="1" applyBorder="1" applyAlignment="1">
      <alignment/>
    </xf>
    <xf numFmtId="3" fontId="7" fillId="0" borderId="110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7" fillId="9" borderId="111" xfId="0" applyNumberFormat="1" applyFont="1" applyFill="1" applyBorder="1" applyAlignment="1">
      <alignment/>
    </xf>
    <xf numFmtId="0" fontId="11" fillId="2" borderId="7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/>
    </xf>
    <xf numFmtId="0" fontId="7" fillId="0" borderId="34" xfId="0" applyFont="1" applyFill="1" applyBorder="1" applyAlignment="1">
      <alignment wrapText="1"/>
    </xf>
    <xf numFmtId="3" fontId="7" fillId="0" borderId="23" xfId="0" applyNumberFormat="1" applyFont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34" fillId="0" borderId="0" xfId="0" applyFont="1" applyAlignment="1">
      <alignment vertical="center"/>
    </xf>
    <xf numFmtId="4" fontId="34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4" fontId="33" fillId="0" borderId="0" xfId="0" applyNumberFormat="1" applyAlignment="1">
      <alignment/>
    </xf>
    <xf numFmtId="3" fontId="7" fillId="2" borderId="10" xfId="26" applyFont="1" applyFill="1" applyBorder="1" applyAlignment="1">
      <alignment horizontal="left" vertical="center" wrapText="1"/>
      <protection/>
    </xf>
    <xf numFmtId="4" fontId="7" fillId="2" borderId="18" xfId="26" applyNumberFormat="1" applyFont="1" applyFill="1" applyBorder="1" applyAlignment="1">
      <alignment vertical="center" wrapText="1"/>
      <protection/>
    </xf>
    <xf numFmtId="4" fontId="7" fillId="2" borderId="9" xfId="26" applyNumberFormat="1" applyFont="1" applyFill="1" applyBorder="1" applyAlignment="1">
      <alignment vertical="center" wrapText="1"/>
      <protection/>
    </xf>
    <xf numFmtId="3" fontId="7" fillId="0" borderId="22" xfId="26" applyFont="1" applyFill="1" applyBorder="1" applyAlignment="1">
      <alignment horizontal="left" vertical="center" wrapText="1"/>
      <protection/>
    </xf>
    <xf numFmtId="3" fontId="7" fillId="0" borderId="15" xfId="26" applyFont="1" applyFill="1" applyBorder="1" applyAlignment="1">
      <alignment horizontal="left" vertical="center" wrapText="1"/>
      <protection/>
    </xf>
    <xf numFmtId="3" fontId="7" fillId="0" borderId="16" xfId="26" applyFont="1" applyFill="1" applyBorder="1" applyAlignment="1">
      <alignment horizontal="left" vertical="center" wrapText="1"/>
      <protection/>
    </xf>
    <xf numFmtId="3" fontId="2" fillId="0" borderId="33" xfId="0" applyNumberFormat="1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2" borderId="40" xfId="0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36" fillId="3" borderId="1" xfId="0" applyNumberFormat="1" applyFont="1" applyFill="1" applyBorder="1" applyAlignment="1">
      <alignment/>
    </xf>
    <xf numFmtId="3" fontId="37" fillId="3" borderId="1" xfId="0" applyNumberFormat="1" applyFont="1" applyFill="1" applyBorder="1" applyAlignment="1">
      <alignment/>
    </xf>
    <xf numFmtId="3" fontId="7" fillId="2" borderId="69" xfId="0" applyNumberFormat="1" applyFont="1" applyFill="1" applyBorder="1" applyAlignment="1">
      <alignment vertical="center" wrapText="1"/>
    </xf>
    <xf numFmtId="3" fontId="2" fillId="0" borderId="16" xfId="26" applyFont="1" applyFill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7" fillId="9" borderId="112" xfId="22" applyFont="1" applyFill="1" applyBorder="1" applyAlignment="1">
      <alignment horizontal="center" vertical="center"/>
      <protection/>
    </xf>
    <xf numFmtId="0" fontId="7" fillId="9" borderId="113" xfId="22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7" fillId="0" borderId="63" xfId="0" applyNumberFormat="1" applyFont="1" applyBorder="1" applyAlignment="1">
      <alignment/>
    </xf>
    <xf numFmtId="0" fontId="7" fillId="0" borderId="22" xfId="0" applyFont="1" applyBorder="1" applyAlignment="1">
      <alignment/>
    </xf>
    <xf numFmtId="169" fontId="7" fillId="0" borderId="23" xfId="0" applyNumberFormat="1" applyFont="1" applyFill="1" applyBorder="1" applyAlignment="1">
      <alignment vertical="center"/>
    </xf>
    <xf numFmtId="169" fontId="7" fillId="0" borderId="35" xfId="0" applyNumberFormat="1" applyFont="1" applyFill="1" applyBorder="1" applyAlignment="1">
      <alignment vertical="center"/>
    </xf>
    <xf numFmtId="169" fontId="7" fillId="2" borderId="35" xfId="0" applyNumberFormat="1" applyFont="1" applyFill="1" applyBorder="1" applyAlignment="1">
      <alignment vertical="center"/>
    </xf>
    <xf numFmtId="169" fontId="7" fillId="2" borderId="21" xfId="0" applyNumberFormat="1" applyFont="1" applyFill="1" applyBorder="1" applyAlignment="1">
      <alignment vertical="center"/>
    </xf>
    <xf numFmtId="169" fontId="24" fillId="2" borderId="9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vertical="center"/>
    </xf>
    <xf numFmtId="3" fontId="7" fillId="0" borderId="54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3" fontId="23" fillId="2" borderId="66" xfId="21" applyNumberFormat="1" applyFont="1" applyFill="1" applyBorder="1" applyAlignment="1">
      <alignment horizontal="center" vertical="center" wrapText="1"/>
      <protection/>
    </xf>
    <xf numFmtId="169" fontId="23" fillId="0" borderId="58" xfId="21" applyNumberFormat="1" applyFont="1" applyFill="1" applyBorder="1" applyAlignment="1">
      <alignment vertical="center"/>
      <protection/>
    </xf>
    <xf numFmtId="169" fontId="23" fillId="0" borderId="53" xfId="21" applyNumberFormat="1" applyFont="1" applyFill="1" applyBorder="1" applyAlignment="1">
      <alignment vertical="center"/>
      <protection/>
    </xf>
    <xf numFmtId="169" fontId="23" fillId="0" borderId="59" xfId="21" applyNumberFormat="1" applyFont="1" applyFill="1" applyBorder="1" applyAlignment="1">
      <alignment vertical="center"/>
      <protection/>
    </xf>
    <xf numFmtId="169" fontId="23" fillId="2" borderId="17" xfId="21" applyNumberFormat="1" applyFont="1" applyFill="1" applyBorder="1" applyAlignment="1">
      <alignment vertical="center"/>
      <protection/>
    </xf>
    <xf numFmtId="3" fontId="23" fillId="0" borderId="58" xfId="21" applyNumberFormat="1" applyFont="1" applyFill="1" applyBorder="1" applyAlignment="1">
      <alignment vertical="center"/>
      <protection/>
    </xf>
    <xf numFmtId="3" fontId="23" fillId="0" borderId="53" xfId="21" applyNumberFormat="1" applyFont="1" applyFill="1" applyBorder="1" applyAlignment="1">
      <alignment vertical="center"/>
      <protection/>
    </xf>
    <xf numFmtId="3" fontId="23" fillId="0" borderId="59" xfId="21" applyNumberFormat="1" applyFont="1" applyFill="1" applyBorder="1" applyAlignment="1">
      <alignment vertical="center"/>
      <protection/>
    </xf>
    <xf numFmtId="3" fontId="23" fillId="2" borderId="17" xfId="21" applyNumberFormat="1" applyFont="1" applyFill="1" applyBorder="1" applyAlignment="1">
      <alignment vertical="center"/>
      <protection/>
    </xf>
    <xf numFmtId="0" fontId="23" fillId="0" borderId="42" xfId="21" applyFont="1" applyFill="1" applyBorder="1" applyAlignment="1">
      <alignment vertical="center" wrapText="1"/>
      <protection/>
    </xf>
    <xf numFmtId="0" fontId="23" fillId="0" borderId="43" xfId="21" applyFont="1" applyFill="1" applyBorder="1" applyAlignment="1">
      <alignment vertical="center" wrapText="1"/>
      <protection/>
    </xf>
    <xf numFmtId="0" fontId="23" fillId="0" borderId="44" xfId="21" applyFont="1" applyFill="1" applyBorder="1" applyAlignment="1">
      <alignment vertical="center" wrapText="1"/>
      <protection/>
    </xf>
    <xf numFmtId="0" fontId="23" fillId="2" borderId="45" xfId="21" applyFont="1" applyFill="1" applyBorder="1" applyAlignment="1">
      <alignment vertical="center"/>
      <protection/>
    </xf>
    <xf numFmtId="0" fontId="2" fillId="2" borderId="1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3" fontId="10" fillId="0" borderId="22" xfId="23" applyNumberFormat="1" applyFont="1" applyFill="1" applyBorder="1" applyAlignment="1">
      <alignment vertical="center" wrapText="1"/>
      <protection/>
    </xf>
    <xf numFmtId="3" fontId="10" fillId="0" borderId="11" xfId="23" applyNumberFormat="1" applyFont="1" applyFill="1" applyBorder="1" applyAlignment="1">
      <alignment vertical="center" wrapText="1"/>
      <protection/>
    </xf>
    <xf numFmtId="3" fontId="10" fillId="0" borderId="23" xfId="23" applyNumberFormat="1" applyFont="1" applyFill="1" applyBorder="1" applyAlignment="1">
      <alignment vertical="center" wrapText="1"/>
      <protection/>
    </xf>
    <xf numFmtId="3" fontId="10" fillId="0" borderId="15" xfId="23" applyNumberFormat="1" applyFont="1" applyBorder="1" applyAlignment="1">
      <alignment vertical="center" wrapText="1"/>
      <protection/>
    </xf>
    <xf numFmtId="3" fontId="10" fillId="0" borderId="1" xfId="23" applyNumberFormat="1" applyFont="1" applyBorder="1" applyAlignment="1">
      <alignment vertical="center" wrapText="1"/>
      <protection/>
    </xf>
    <xf numFmtId="3" fontId="10" fillId="0" borderId="16" xfId="23" applyNumberFormat="1" applyFont="1" applyFill="1" applyBorder="1" applyAlignment="1">
      <alignment vertical="center" wrapText="1"/>
      <protection/>
    </xf>
    <xf numFmtId="3" fontId="10" fillId="0" borderId="28" xfId="23" applyNumberFormat="1" applyFont="1" applyBorder="1" applyAlignment="1">
      <alignment vertical="center" wrapText="1"/>
      <protection/>
    </xf>
    <xf numFmtId="3" fontId="10" fillId="0" borderId="22" xfId="23" applyNumberFormat="1" applyFont="1" applyBorder="1" applyAlignment="1">
      <alignment vertical="center" wrapText="1"/>
      <protection/>
    </xf>
    <xf numFmtId="3" fontId="10" fillId="0" borderId="11" xfId="23" applyNumberFormat="1" applyFont="1" applyBorder="1" applyAlignment="1">
      <alignment vertical="center" wrapText="1"/>
      <protection/>
    </xf>
    <xf numFmtId="3" fontId="10" fillId="0" borderId="15" xfId="23" applyNumberFormat="1" applyFont="1" applyFill="1" applyBorder="1" applyAlignment="1">
      <alignment vertical="center" wrapText="1"/>
      <protection/>
    </xf>
    <xf numFmtId="3" fontId="10" fillId="0" borderId="1" xfId="23" applyNumberFormat="1" applyFont="1" applyFill="1" applyBorder="1" applyAlignment="1">
      <alignment vertical="center" wrapText="1"/>
      <protection/>
    </xf>
    <xf numFmtId="3" fontId="10" fillId="0" borderId="16" xfId="23" applyNumberFormat="1" applyFont="1" applyBorder="1" applyAlignment="1">
      <alignment vertical="center" wrapText="1"/>
      <protection/>
    </xf>
    <xf numFmtId="3" fontId="7" fillId="2" borderId="7" xfId="23" applyNumberFormat="1" applyFont="1" applyFill="1" applyBorder="1" applyAlignment="1">
      <alignment vertical="center" wrapText="1"/>
      <protection/>
    </xf>
    <xf numFmtId="3" fontId="7" fillId="2" borderId="18" xfId="23" applyNumberFormat="1" applyFont="1" applyFill="1" applyBorder="1" applyAlignment="1">
      <alignment vertical="center" wrapText="1"/>
      <protection/>
    </xf>
    <xf numFmtId="3" fontId="7" fillId="2" borderId="31" xfId="23" applyNumberFormat="1" applyFont="1" applyFill="1" applyBorder="1" applyAlignment="1">
      <alignment vertical="center" wrapText="1"/>
      <protection/>
    </xf>
    <xf numFmtId="3" fontId="2" fillId="0" borderId="15" xfId="26" applyFont="1" applyFill="1" applyBorder="1" applyAlignment="1">
      <alignment horizontal="left" vertical="center" wrapText="1"/>
      <protection/>
    </xf>
    <xf numFmtId="10" fontId="5" fillId="5" borderId="1" xfId="0" applyNumberFormat="1" applyFont="1" applyFill="1" applyBorder="1" applyAlignment="1">
      <alignment horizontal="center" vertical="center"/>
    </xf>
    <xf numFmtId="0" fontId="7" fillId="2" borderId="27" xfId="25" applyFont="1" applyFill="1" applyBorder="1" applyAlignment="1">
      <alignment horizontal="center" vertical="center" wrapText="1"/>
      <protection/>
    </xf>
    <xf numFmtId="0" fontId="7" fillId="2" borderId="6" xfId="25" applyFont="1" applyFill="1" applyBorder="1" applyAlignment="1">
      <alignment horizontal="center" vertical="center" wrapText="1"/>
      <protection/>
    </xf>
    <xf numFmtId="0" fontId="7" fillId="2" borderId="6" xfId="25" applyFont="1" applyFill="1" applyBorder="1" applyAlignment="1" quotePrefix="1">
      <alignment horizontal="center" vertical="center"/>
      <protection/>
    </xf>
    <xf numFmtId="0" fontId="7" fillId="2" borderId="12" xfId="25" applyFont="1" applyFill="1" applyBorder="1" applyAlignment="1">
      <alignment horizontal="center" vertical="center" wrapText="1"/>
      <protection/>
    </xf>
    <xf numFmtId="0" fontId="7" fillId="2" borderId="9" xfId="25" applyFont="1" applyFill="1" applyBorder="1" applyAlignment="1" quotePrefix="1">
      <alignment horizontal="center" vertical="center"/>
      <protection/>
    </xf>
    <xf numFmtId="0" fontId="11" fillId="0" borderId="11" xfId="25" applyFont="1" applyBorder="1" applyAlignment="1">
      <alignment horizontal="right" vertical="center"/>
      <protection/>
    </xf>
    <xf numFmtId="0" fontId="7" fillId="0" borderId="39" xfId="25" applyFont="1" applyBorder="1" applyAlignment="1">
      <alignment vertical="center"/>
      <protection/>
    </xf>
    <xf numFmtId="0" fontId="7" fillId="0" borderId="39" xfId="25" applyFont="1" applyFill="1" applyBorder="1" applyAlignment="1">
      <alignment vertical="center"/>
      <protection/>
    </xf>
    <xf numFmtId="0" fontId="11" fillId="0" borderId="39" xfId="25" applyFont="1" applyBorder="1" applyAlignment="1">
      <alignment horizontal="center" vertical="center"/>
      <protection/>
    </xf>
    <xf numFmtId="164" fontId="11" fillId="0" borderId="33" xfId="25" applyNumberFormat="1" applyFont="1" applyBorder="1" applyAlignment="1">
      <alignment horizontal="right" vertical="center"/>
      <protection/>
    </xf>
    <xf numFmtId="169" fontId="7" fillId="0" borderId="39" xfId="25" applyNumberFormat="1" applyFont="1" applyBorder="1" applyAlignment="1">
      <alignment vertical="center"/>
      <protection/>
    </xf>
    <xf numFmtId="169" fontId="7" fillId="0" borderId="39" xfId="25" applyNumberFormat="1" applyFont="1" applyFill="1" applyBorder="1" applyAlignment="1">
      <alignment vertical="center"/>
      <protection/>
    </xf>
    <xf numFmtId="164" fontId="11" fillId="0" borderId="23" xfId="25" applyNumberFormat="1" applyFont="1" applyBorder="1" applyAlignment="1">
      <alignment horizontal="right" vertical="center"/>
      <protection/>
    </xf>
    <xf numFmtId="0" fontId="11" fillId="0" borderId="1" xfId="25" applyFont="1" applyBorder="1" applyAlignment="1">
      <alignment horizontal="right" vertical="center"/>
      <protection/>
    </xf>
    <xf numFmtId="0" fontId="7" fillId="0" borderId="40" xfId="25" applyFont="1" applyBorder="1" applyAlignment="1">
      <alignment vertical="center"/>
      <protection/>
    </xf>
    <xf numFmtId="0" fontId="7" fillId="0" borderId="40" xfId="25" applyFont="1" applyFill="1" applyBorder="1" applyAlignment="1">
      <alignment vertical="center"/>
      <protection/>
    </xf>
    <xf numFmtId="164" fontId="11" fillId="0" borderId="34" xfId="25" applyNumberFormat="1" applyFont="1" applyBorder="1" applyAlignment="1">
      <alignment horizontal="right" vertical="center"/>
      <protection/>
    </xf>
    <xf numFmtId="169" fontId="7" fillId="0" borderId="40" xfId="25" applyNumberFormat="1" applyFont="1" applyBorder="1" applyAlignment="1">
      <alignment vertical="center"/>
      <protection/>
    </xf>
    <xf numFmtId="169" fontId="7" fillId="0" borderId="40" xfId="25" applyNumberFormat="1" applyFont="1" applyFill="1" applyBorder="1" applyAlignment="1">
      <alignment vertical="center"/>
      <protection/>
    </xf>
    <xf numFmtId="0" fontId="11" fillId="0" borderId="28" xfId="25" applyFont="1" applyBorder="1" applyAlignment="1">
      <alignment horizontal="right" vertical="center"/>
      <protection/>
    </xf>
    <xf numFmtId="0" fontId="7" fillId="0" borderId="4" xfId="25" applyFont="1" applyBorder="1" applyAlignment="1">
      <alignment vertical="center"/>
      <protection/>
    </xf>
    <xf numFmtId="0" fontId="7" fillId="0" borderId="4" xfId="25" applyFont="1" applyFill="1" applyBorder="1" applyAlignment="1">
      <alignment vertical="center"/>
      <protection/>
    </xf>
    <xf numFmtId="0" fontId="11" fillId="0" borderId="63" xfId="25" applyFont="1" applyBorder="1" applyAlignment="1">
      <alignment horizontal="center" vertical="center"/>
      <protection/>
    </xf>
    <xf numFmtId="164" fontId="11" fillId="0" borderId="36" xfId="25" applyNumberFormat="1" applyFont="1" applyBorder="1" applyAlignment="1">
      <alignment horizontal="right" vertical="center"/>
      <protection/>
    </xf>
    <xf numFmtId="169" fontId="7" fillId="0" borderId="4" xfId="25" applyNumberFormat="1" applyFont="1" applyBorder="1" applyAlignment="1">
      <alignment vertical="center"/>
      <protection/>
    </xf>
    <xf numFmtId="169" fontId="7" fillId="0" borderId="4" xfId="25" applyNumberFormat="1" applyFont="1" applyFill="1" applyBorder="1" applyAlignment="1">
      <alignment vertical="center"/>
      <protection/>
    </xf>
    <xf numFmtId="0" fontId="7" fillId="2" borderId="10" xfId="25" applyFont="1" applyFill="1" applyBorder="1" applyAlignment="1">
      <alignment horizontal="right" vertical="center"/>
      <protection/>
    </xf>
    <xf numFmtId="0" fontId="7" fillId="2" borderId="8" xfId="25" applyFont="1" applyFill="1" applyBorder="1" applyAlignment="1">
      <alignment horizontal="right" vertical="center" wrapText="1"/>
      <protection/>
    </xf>
    <xf numFmtId="0" fontId="11" fillId="2" borderId="9" xfId="25" applyFont="1" applyFill="1" applyBorder="1" applyAlignment="1">
      <alignment horizontal="center" vertical="center"/>
      <protection/>
    </xf>
    <xf numFmtId="164" fontId="11" fillId="2" borderId="26" xfId="25" applyNumberFormat="1" applyFont="1" applyFill="1" applyBorder="1" applyAlignment="1">
      <alignment horizontal="right" vertical="center"/>
      <protection/>
    </xf>
    <xf numFmtId="169" fontId="7" fillId="2" borderId="8" xfId="25" applyNumberFormat="1" applyFont="1" applyFill="1" applyBorder="1" applyAlignment="1">
      <alignment horizontal="right" vertical="center" wrapText="1"/>
      <protection/>
    </xf>
    <xf numFmtId="164" fontId="11" fillId="2" borderId="9" xfId="25" applyNumberFormat="1" applyFont="1" applyFill="1" applyBorder="1" applyAlignment="1">
      <alignment horizontal="right" vertical="center"/>
      <protection/>
    </xf>
    <xf numFmtId="3" fontId="7" fillId="2" borderId="12" xfId="0" applyNumberFormat="1" applyFont="1" applyFill="1" applyBorder="1" applyAlignment="1">
      <alignment vertical="center" wrapText="1"/>
    </xf>
    <xf numFmtId="4" fontId="2" fillId="0" borderId="1" xfId="26" applyNumberFormat="1" applyFont="1" applyFill="1" applyBorder="1" applyAlignment="1">
      <alignment vertical="center" wrapText="1"/>
      <protection/>
    </xf>
    <xf numFmtId="4" fontId="2" fillId="0" borderId="35" xfId="26" applyNumberFormat="1" applyFont="1" applyFill="1" applyBorder="1" applyAlignment="1">
      <alignment vertical="center" wrapText="1"/>
      <protection/>
    </xf>
    <xf numFmtId="3" fontId="38" fillId="0" borderId="15" xfId="26" applyFont="1" applyFill="1" applyBorder="1" applyAlignment="1">
      <alignment horizontal="left" vertical="center" wrapText="1"/>
      <protection/>
    </xf>
    <xf numFmtId="3" fontId="38" fillId="0" borderId="1" xfId="0" applyNumberFormat="1" applyFont="1" applyBorder="1" applyAlignment="1">
      <alignment/>
    </xf>
    <xf numFmtId="3" fontId="38" fillId="0" borderId="40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8" fillId="0" borderId="3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38" fillId="0" borderId="4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14" fillId="0" borderId="6" xfId="0" applyNumberFormat="1" applyFont="1" applyFill="1" applyBorder="1" applyAlignment="1">
      <alignment horizontal="right" vertical="center" wrapText="1"/>
    </xf>
    <xf numFmtId="3" fontId="38" fillId="0" borderId="27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/>
    </xf>
    <xf numFmtId="0" fontId="33" fillId="0" borderId="0" xfId="0" applyAlignment="1">
      <alignment/>
    </xf>
    <xf numFmtId="0" fontId="41" fillId="0" borderId="33" xfId="0" applyFont="1" applyBorder="1" applyAlignment="1">
      <alignment horizontal="justify" vertical="center"/>
    </xf>
    <xf numFmtId="0" fontId="2" fillId="0" borderId="2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8" fillId="4" borderId="39" xfId="0" applyFont="1" applyFill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164" fontId="38" fillId="4" borderId="39" xfId="0" applyNumberFormat="1" applyFont="1" applyFill="1" applyBorder="1" applyAlignment="1">
      <alignment vertical="center"/>
    </xf>
    <xf numFmtId="164" fontId="41" fillId="0" borderId="23" xfId="0" applyNumberFormat="1" applyFont="1" applyBorder="1" applyAlignment="1">
      <alignment horizontal="right" vertical="center"/>
    </xf>
    <xf numFmtId="0" fontId="41" fillId="0" borderId="34" xfId="0" applyFont="1" applyBorder="1" applyAlignment="1">
      <alignment horizontal="justify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8" fillId="4" borderId="40" xfId="0" applyFont="1" applyFill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38" fillId="4" borderId="40" xfId="0" applyNumberFormat="1" applyFont="1" applyFill="1" applyBorder="1" applyAlignment="1">
      <alignment vertical="center"/>
    </xf>
    <xf numFmtId="164" fontId="38" fillId="0" borderId="34" xfId="0" applyNumberFormat="1" applyFont="1" applyBorder="1" applyAlignment="1">
      <alignment vertical="center"/>
    </xf>
    <xf numFmtId="0" fontId="41" fillId="0" borderId="34" xfId="0" applyFont="1" applyBorder="1" applyAlignment="1">
      <alignment horizontal="justify" vertical="center"/>
    </xf>
    <xf numFmtId="0" fontId="41" fillId="0" borderId="36" xfId="0" applyFont="1" applyBorder="1" applyAlignment="1">
      <alignment horizontal="justify"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8" fillId="4" borderId="4" xfId="0" applyFont="1" applyFill="1" applyBorder="1" applyAlignment="1">
      <alignment vertical="center"/>
    </xf>
    <xf numFmtId="0" fontId="41" fillId="0" borderId="49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38" fillId="4" borderId="4" xfId="0" applyNumberFormat="1" applyFont="1" applyFill="1" applyBorder="1" applyAlignment="1">
      <alignment vertical="center"/>
    </xf>
    <xf numFmtId="164" fontId="41" fillId="0" borderId="49" xfId="0" applyNumberFormat="1" applyFont="1" applyBorder="1" applyAlignment="1">
      <alignment horizontal="right" vertical="center"/>
    </xf>
    <xf numFmtId="0" fontId="14" fillId="4" borderId="8" xfId="0" applyFont="1" applyFill="1" applyBorder="1" applyAlignment="1">
      <alignment horizontal="right" vertical="center" wrapText="1"/>
    </xf>
    <xf numFmtId="164" fontId="14" fillId="4" borderId="8" xfId="0" applyNumberFormat="1" applyFont="1" applyFill="1" applyBorder="1" applyAlignment="1">
      <alignment horizontal="right" vertical="center" wrapText="1"/>
    </xf>
    <xf numFmtId="3" fontId="2" fillId="3" borderId="2" xfId="26" applyFont="1" applyFill="1" applyBorder="1" applyAlignment="1">
      <alignment horizontal="left" vertical="center" wrapText="1"/>
      <protection/>
    </xf>
    <xf numFmtId="3" fontId="2" fillId="3" borderId="22" xfId="26" applyFont="1" applyFill="1" applyBorder="1" applyAlignment="1">
      <alignment horizontal="left" vertical="center" wrapText="1"/>
      <protection/>
    </xf>
    <xf numFmtId="3" fontId="2" fillId="3" borderId="16" xfId="26" applyFont="1" applyFill="1" applyBorder="1" applyAlignment="1">
      <alignment horizontal="left" vertical="center" wrapText="1"/>
      <protection/>
    </xf>
    <xf numFmtId="0" fontId="7" fillId="2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5" fillId="0" borderId="0" xfId="24" applyFont="1">
      <alignment/>
      <protection/>
    </xf>
    <xf numFmtId="0" fontId="0" fillId="0" borderId="0" xfId="24">
      <alignment/>
      <protection/>
    </xf>
    <xf numFmtId="0" fontId="7" fillId="0" borderId="42" xfId="24" applyFont="1" applyBorder="1">
      <alignment/>
      <protection/>
    </xf>
    <xf numFmtId="3" fontId="7" fillId="0" borderId="42" xfId="24" applyNumberFormat="1" applyFont="1" applyBorder="1">
      <alignment/>
      <protection/>
    </xf>
    <xf numFmtId="0" fontId="7" fillId="0" borderId="43" xfId="24" applyFont="1" applyBorder="1">
      <alignment/>
      <protection/>
    </xf>
    <xf numFmtId="0" fontId="7" fillId="0" borderId="51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24" applyNumberFormat="1" applyFont="1" applyBorder="1">
      <alignment/>
      <protection/>
    </xf>
    <xf numFmtId="3" fontId="7" fillId="0" borderId="25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69" xfId="24" applyNumberFormat="1" applyFont="1" applyBorder="1">
      <alignment/>
      <protection/>
    </xf>
    <xf numFmtId="169" fontId="23" fillId="0" borderId="42" xfId="21" applyNumberFormat="1" applyFont="1" applyFill="1" applyBorder="1" applyAlignment="1">
      <alignment vertical="center"/>
      <protection/>
    </xf>
    <xf numFmtId="169" fontId="23" fillId="0" borderId="43" xfId="21" applyNumberFormat="1" applyFont="1" applyFill="1" applyBorder="1" applyAlignment="1">
      <alignment vertical="center"/>
      <protection/>
    </xf>
    <xf numFmtId="169" fontId="23" fillId="0" borderId="44" xfId="21" applyNumberFormat="1" applyFont="1" applyFill="1" applyBorder="1" applyAlignment="1">
      <alignment vertical="center"/>
      <protection/>
    </xf>
    <xf numFmtId="169" fontId="23" fillId="2" borderId="45" xfId="21" applyNumberFormat="1" applyFont="1" applyFill="1" applyBorder="1" applyAlignment="1">
      <alignment vertical="center"/>
      <protection/>
    </xf>
    <xf numFmtId="3" fontId="23" fillId="0" borderId="39" xfId="21" applyNumberFormat="1" applyFont="1" applyFill="1" applyBorder="1" applyAlignment="1">
      <alignment vertical="center"/>
      <protection/>
    </xf>
    <xf numFmtId="3" fontId="23" fillId="0" borderId="40" xfId="21" applyNumberFormat="1" applyFont="1" applyFill="1" applyBorder="1" applyAlignment="1">
      <alignment vertical="center"/>
      <protection/>
    </xf>
    <xf numFmtId="3" fontId="23" fillId="0" borderId="4" xfId="21" applyNumberFormat="1" applyFont="1" applyFill="1" applyBorder="1" applyAlignment="1">
      <alignment vertical="center"/>
      <protection/>
    </xf>
    <xf numFmtId="3" fontId="23" fillId="2" borderId="8" xfId="21" applyNumberFormat="1" applyFont="1" applyFill="1" applyBorder="1" applyAlignment="1">
      <alignment vertical="center"/>
      <protection/>
    </xf>
    <xf numFmtId="3" fontId="23" fillId="0" borderId="37" xfId="21" applyNumberFormat="1" applyFont="1" applyFill="1" applyBorder="1" applyAlignment="1">
      <alignment vertical="center"/>
      <protection/>
    </xf>
    <xf numFmtId="3" fontId="23" fillId="0" borderId="38" xfId="21" applyNumberFormat="1" applyFont="1" applyFill="1" applyBorder="1" applyAlignment="1">
      <alignment vertical="center"/>
      <protection/>
    </xf>
    <xf numFmtId="3" fontId="23" fillId="0" borderId="64" xfId="21" applyNumberFormat="1" applyFont="1" applyFill="1" applyBorder="1" applyAlignment="1">
      <alignment vertical="center"/>
      <protection/>
    </xf>
    <xf numFmtId="3" fontId="23" fillId="2" borderId="31" xfId="21" applyNumberFormat="1" applyFont="1" applyFill="1" applyBorder="1" applyAlignment="1">
      <alignment vertical="center"/>
      <protection/>
    </xf>
    <xf numFmtId="3" fontId="23" fillId="2" borderId="41" xfId="21" applyNumberFormat="1" applyFont="1" applyFill="1" applyBorder="1" applyAlignment="1">
      <alignment horizontal="center" vertical="center" wrapText="1"/>
      <protection/>
    </xf>
    <xf numFmtId="3" fontId="23" fillId="0" borderId="33" xfId="21" applyNumberFormat="1" applyFont="1" applyFill="1" applyBorder="1" applyAlignment="1">
      <alignment vertical="center"/>
      <protection/>
    </xf>
    <xf numFmtId="3" fontId="23" fillId="0" borderId="34" xfId="21" applyNumberFormat="1" applyFont="1" applyFill="1" applyBorder="1" applyAlignment="1">
      <alignment vertical="center"/>
      <protection/>
    </xf>
    <xf numFmtId="3" fontId="23" fillId="0" borderId="36" xfId="21" applyNumberFormat="1" applyFont="1" applyFill="1" applyBorder="1" applyAlignment="1">
      <alignment vertical="center"/>
      <protection/>
    </xf>
    <xf numFmtId="3" fontId="23" fillId="2" borderId="7" xfId="21" applyNumberFormat="1" applyFont="1" applyFill="1" applyBorder="1" applyAlignment="1">
      <alignment vertical="center"/>
      <protection/>
    </xf>
    <xf numFmtId="3" fontId="23" fillId="2" borderId="12" xfId="21" applyNumberFormat="1" applyFont="1" applyFill="1" applyBorder="1" applyAlignment="1">
      <alignment horizontal="center" vertical="center" wrapText="1"/>
      <protection/>
    </xf>
    <xf numFmtId="3" fontId="23" fillId="2" borderId="67" xfId="21" applyNumberFormat="1" applyFont="1" applyFill="1" applyBorder="1" applyAlignment="1">
      <alignment horizontal="center" vertical="center" wrapText="1"/>
      <protection/>
    </xf>
    <xf numFmtId="3" fontId="2" fillId="8" borderId="114" xfId="0" applyNumberFormat="1" applyFont="1" applyFill="1" applyBorder="1" applyAlignment="1">
      <alignment vertical="center" wrapText="1"/>
    </xf>
    <xf numFmtId="3" fontId="2" fillId="8" borderId="93" xfId="0" applyNumberFormat="1" applyFont="1" applyFill="1" applyBorder="1" applyAlignment="1">
      <alignment vertical="center" wrapText="1"/>
    </xf>
    <xf numFmtId="3" fontId="2" fillId="8" borderId="108" xfId="0" applyNumberFormat="1" applyFont="1" applyFill="1" applyBorder="1" applyAlignment="1">
      <alignment vertical="center" wrapText="1"/>
    </xf>
    <xf numFmtId="3" fontId="2" fillId="8" borderId="85" xfId="0" applyNumberFormat="1" applyFont="1" applyFill="1" applyBorder="1" applyAlignment="1">
      <alignment vertical="center" wrapText="1"/>
    </xf>
    <xf numFmtId="0" fontId="0" fillId="0" borderId="0" xfId="24" applyAlignment="1">
      <alignment horizontal="right"/>
      <protection/>
    </xf>
    <xf numFmtId="0" fontId="9" fillId="2" borderId="27" xfId="24" applyFont="1" applyFill="1" applyBorder="1" applyAlignment="1">
      <alignment horizontal="right" vertical="center" wrapText="1"/>
      <protection/>
    </xf>
    <xf numFmtId="0" fontId="9" fillId="2" borderId="20" xfId="24" applyFont="1" applyFill="1" applyBorder="1" applyAlignment="1">
      <alignment horizontal="right" vertical="center" wrapText="1"/>
      <protection/>
    </xf>
    <xf numFmtId="0" fontId="9" fillId="2" borderId="5" xfId="24" applyFont="1" applyFill="1" applyBorder="1" applyAlignment="1">
      <alignment horizontal="right" vertical="center" wrapText="1"/>
      <protection/>
    </xf>
    <xf numFmtId="3" fontId="7" fillId="0" borderId="11" xfId="24" applyNumberFormat="1" applyFont="1" applyBorder="1" applyAlignment="1" quotePrefix="1">
      <alignment horizontal="right"/>
      <protection/>
    </xf>
    <xf numFmtId="3" fontId="7" fillId="0" borderId="23" xfId="24" applyNumberFormat="1" applyFont="1" applyBorder="1" applyAlignment="1" quotePrefix="1">
      <alignment horizontal="right"/>
      <protection/>
    </xf>
    <xf numFmtId="3" fontId="7" fillId="2" borderId="11" xfId="24" applyNumberFormat="1" applyFont="1" applyFill="1" applyBorder="1" applyAlignment="1" quotePrefix="1">
      <alignment horizontal="right"/>
      <protection/>
    </xf>
    <xf numFmtId="3" fontId="7" fillId="0" borderId="27" xfId="24" applyNumberFormat="1" applyFont="1" applyBorder="1" applyAlignment="1" quotePrefix="1">
      <alignment horizontal="right"/>
      <protection/>
    </xf>
    <xf numFmtId="3" fontId="7" fillId="0" borderId="5" xfId="24" applyNumberFormat="1" applyFont="1" applyBorder="1" applyAlignment="1" quotePrefix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3" fontId="7" fillId="2" borderId="27" xfId="24" applyNumberFormat="1" applyFont="1" applyFill="1" applyBorder="1" applyAlignment="1" quotePrefix="1">
      <alignment horizontal="right"/>
      <protection/>
    </xf>
    <xf numFmtId="3" fontId="7" fillId="0" borderId="74" xfId="0" applyNumberFormat="1" applyFont="1" applyBorder="1" applyAlignment="1">
      <alignment/>
    </xf>
    <xf numFmtId="3" fontId="7" fillId="9" borderId="82" xfId="0" applyNumberFormat="1" applyFont="1" applyFill="1" applyBorder="1" applyAlignment="1">
      <alignment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53" xfId="0" applyNumberFormat="1" applyFont="1" applyFill="1" applyBorder="1" applyAlignment="1">
      <alignment horizontal="right" vertical="center"/>
    </xf>
    <xf numFmtId="0" fontId="7" fillId="2" borderId="65" xfId="0" applyFont="1" applyFill="1" applyBorder="1" applyAlignment="1">
      <alignment horizontal="center" vertical="center" wrapText="1"/>
    </xf>
    <xf numFmtId="3" fontId="42" fillId="2" borderId="27" xfId="21" applyNumberFormat="1" applyFont="1" applyFill="1" applyBorder="1" applyAlignment="1">
      <alignment horizontal="center" vertical="center" wrapText="1"/>
      <protection/>
    </xf>
    <xf numFmtId="2" fontId="43" fillId="8" borderId="70" xfId="0" applyNumberFormat="1" applyFont="1" applyFill="1" applyBorder="1" applyAlignment="1">
      <alignment vertical="center" wrapText="1"/>
    </xf>
    <xf numFmtId="0" fontId="45" fillId="3" borderId="0" xfId="0" applyFont="1" applyFill="1" applyAlignment="1">
      <alignment/>
    </xf>
    <xf numFmtId="3" fontId="7" fillId="0" borderId="43" xfId="0" applyNumberFormat="1" applyFont="1" applyBorder="1" applyAlignment="1" quotePrefix="1">
      <alignment horizontal="center"/>
    </xf>
    <xf numFmtId="3" fontId="7" fillId="0" borderId="61" xfId="0" applyNumberFormat="1" applyFont="1" applyBorder="1" applyAlignment="1" quotePrefix="1">
      <alignment horizontal="center"/>
    </xf>
    <xf numFmtId="3" fontId="7" fillId="0" borderId="44" xfId="0" applyNumberFormat="1" applyFont="1" applyBorder="1" applyAlignment="1">
      <alignment/>
    </xf>
    <xf numFmtId="4" fontId="7" fillId="0" borderId="22" xfId="26" applyNumberFormat="1" applyFont="1" applyFill="1" applyBorder="1" applyAlignment="1">
      <alignment vertical="center" wrapText="1"/>
      <protection/>
    </xf>
    <xf numFmtId="4" fontId="7" fillId="0" borderId="15" xfId="26" applyNumberFormat="1" applyFont="1" applyFill="1" applyBorder="1" applyAlignment="1">
      <alignment vertical="center" wrapText="1"/>
      <protection/>
    </xf>
    <xf numFmtId="4" fontId="2" fillId="0" borderId="15" xfId="26" applyNumberFormat="1" applyFont="1" applyFill="1" applyBorder="1" applyAlignment="1">
      <alignment vertical="center" wrapText="1"/>
      <protection/>
    </xf>
    <xf numFmtId="4" fontId="38" fillId="0" borderId="15" xfId="26" applyNumberFormat="1" applyFont="1" applyFill="1" applyBorder="1" applyAlignment="1">
      <alignment vertical="center" wrapText="1"/>
      <protection/>
    </xf>
    <xf numFmtId="4" fontId="7" fillId="0" borderId="16" xfId="26" applyNumberFormat="1" applyFont="1" applyFill="1" applyBorder="1" applyAlignment="1">
      <alignment vertical="center" wrapText="1"/>
      <protection/>
    </xf>
    <xf numFmtId="4" fontId="7" fillId="2" borderId="10" xfId="26" applyNumberFormat="1" applyFont="1" applyFill="1" applyBorder="1" applyAlignment="1">
      <alignment vertical="center" wrapText="1"/>
      <protection/>
    </xf>
    <xf numFmtId="4" fontId="7" fillId="0" borderId="40" xfId="26" applyNumberFormat="1" applyFont="1" applyFill="1" applyBorder="1" applyAlignment="1">
      <alignment vertical="center" wrapText="1"/>
      <protection/>
    </xf>
    <xf numFmtId="4" fontId="7" fillId="2" borderId="8" xfId="26" applyNumberFormat="1" applyFont="1" applyFill="1" applyBorder="1" applyAlignment="1">
      <alignment vertical="center" wrapText="1"/>
      <protection/>
    </xf>
    <xf numFmtId="3" fontId="7" fillId="2" borderId="61" xfId="0" applyNumberFormat="1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4" fontId="7" fillId="0" borderId="43" xfId="26" applyNumberFormat="1" applyFont="1" applyFill="1" applyBorder="1" applyAlignment="1">
      <alignment vertical="center" wrapText="1"/>
      <protection/>
    </xf>
    <xf numFmtId="4" fontId="7" fillId="2" borderId="45" xfId="26" applyNumberFormat="1" applyFont="1" applyFill="1" applyBorder="1" applyAlignment="1">
      <alignment vertical="center" wrapText="1"/>
      <protection/>
    </xf>
    <xf numFmtId="4" fontId="7" fillId="0" borderId="39" xfId="26" applyNumberFormat="1" applyFont="1" applyFill="1" applyBorder="1" applyAlignment="1">
      <alignment vertical="center" wrapText="1"/>
      <protection/>
    </xf>
    <xf numFmtId="4" fontId="2" fillId="0" borderId="40" xfId="26" applyNumberFormat="1" applyFont="1" applyFill="1" applyBorder="1" applyAlignment="1">
      <alignment vertical="center" wrapText="1"/>
      <protection/>
    </xf>
    <xf numFmtId="4" fontId="7" fillId="0" borderId="4" xfId="26" applyNumberFormat="1" applyFont="1" applyFill="1" applyBorder="1" applyAlignment="1">
      <alignment vertical="center" wrapText="1"/>
      <protection/>
    </xf>
    <xf numFmtId="4" fontId="7" fillId="0" borderId="42" xfId="26" applyNumberFormat="1" applyFont="1" applyFill="1" applyBorder="1" applyAlignment="1">
      <alignment vertical="center" wrapText="1"/>
      <protection/>
    </xf>
    <xf numFmtId="4" fontId="2" fillId="0" borderId="1" xfId="26" applyNumberFormat="1" applyFont="1" applyFill="1" applyBorder="1" applyAlignment="1">
      <alignment vertical="center" wrapText="1"/>
      <protection/>
    </xf>
    <xf numFmtId="4" fontId="2" fillId="0" borderId="40" xfId="26" applyNumberFormat="1" applyFont="1" applyFill="1" applyBorder="1" applyAlignment="1">
      <alignment vertical="center" wrapText="1"/>
      <protection/>
    </xf>
    <xf numFmtId="4" fontId="2" fillId="0" borderId="15" xfId="26" applyNumberFormat="1" applyFont="1" applyFill="1" applyBorder="1" applyAlignment="1">
      <alignment vertical="center" wrapText="1"/>
      <protection/>
    </xf>
    <xf numFmtId="4" fontId="2" fillId="0" borderId="35" xfId="26" applyNumberFormat="1" applyFont="1" applyFill="1" applyBorder="1" applyAlignment="1">
      <alignment vertical="center" wrapText="1"/>
      <protection/>
    </xf>
    <xf numFmtId="3" fontId="2" fillId="0" borderId="39" xfId="0" applyNumberFormat="1" applyFont="1" applyBorder="1" applyAlignment="1">
      <alignment/>
    </xf>
    <xf numFmtId="3" fontId="2" fillId="0" borderId="33" xfId="0" applyNumberFormat="1" applyFont="1" applyBorder="1" applyAlignment="1" quotePrefix="1">
      <alignment horizontal="center"/>
    </xf>
    <xf numFmtId="3" fontId="2" fillId="0" borderId="55" xfId="0" applyNumberFormat="1" applyFont="1" applyBorder="1" applyAlignment="1" quotePrefix="1">
      <alignment horizontal="center"/>
    </xf>
    <xf numFmtId="3" fontId="2" fillId="0" borderId="37" xfId="0" applyNumberFormat="1" applyFont="1" applyBorder="1" applyAlignment="1" quotePrefix="1">
      <alignment horizontal="center"/>
    </xf>
    <xf numFmtId="3" fontId="2" fillId="0" borderId="42" xfId="0" applyNumberFormat="1" applyFont="1" applyBorder="1" applyAlignment="1">
      <alignment/>
    </xf>
    <xf numFmtId="3" fontId="2" fillId="0" borderId="50" xfId="0" applyNumberFormat="1" applyFont="1" applyBorder="1" applyAlignment="1" quotePrefix="1">
      <alignment horizontal="center"/>
    </xf>
    <xf numFmtId="3" fontId="2" fillId="0" borderId="34" xfId="0" applyNumberFormat="1" applyFont="1" applyBorder="1" applyAlignment="1" quotePrefix="1">
      <alignment horizontal="center"/>
    </xf>
    <xf numFmtId="3" fontId="2" fillId="0" borderId="1" xfId="0" applyNumberFormat="1" applyFont="1" applyBorder="1" applyAlignment="1" quotePrefix="1">
      <alignment horizontal="center"/>
    </xf>
    <xf numFmtId="3" fontId="2" fillId="0" borderId="38" xfId="0" applyNumberFormat="1" applyFont="1" applyBorder="1" applyAlignment="1" quotePrefix="1">
      <alignment horizontal="center"/>
    </xf>
    <xf numFmtId="3" fontId="2" fillId="0" borderId="4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8" fillId="0" borderId="15" xfId="0" applyNumberFormat="1" applyFont="1" applyBorder="1" applyAlignment="1" quotePrefix="1">
      <alignment horizontal="right"/>
    </xf>
    <xf numFmtId="3" fontId="38" fillId="0" borderId="1" xfId="0" applyNumberFormat="1" applyFont="1" applyBorder="1" applyAlignment="1" quotePrefix="1">
      <alignment horizontal="right"/>
    </xf>
    <xf numFmtId="3" fontId="38" fillId="0" borderId="35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38" fillId="0" borderId="23" xfId="0" applyNumberFormat="1" applyFont="1" applyFill="1" applyBorder="1" applyAlignment="1">
      <alignment/>
    </xf>
    <xf numFmtId="3" fontId="14" fillId="2" borderId="35" xfId="0" applyNumberFormat="1" applyFont="1" applyFill="1" applyBorder="1" applyAlignment="1">
      <alignment/>
    </xf>
    <xf numFmtId="1" fontId="23" fillId="2" borderId="66" xfId="21" applyNumberFormat="1" applyFont="1" applyFill="1" applyBorder="1" applyAlignment="1">
      <alignment horizontal="center" vertical="center"/>
      <protection/>
    </xf>
    <xf numFmtId="0" fontId="27" fillId="2" borderId="55" xfId="24" applyFont="1" applyFill="1" applyBorder="1" applyAlignment="1">
      <alignment horizontal="center"/>
      <protection/>
    </xf>
    <xf numFmtId="0" fontId="27" fillId="2" borderId="56" xfId="24" applyFont="1" applyFill="1" applyBorder="1" applyAlignment="1">
      <alignment horizontal="center"/>
      <protection/>
    </xf>
    <xf numFmtId="3" fontId="7" fillId="0" borderId="57" xfId="0" applyNumberFormat="1" applyFont="1" applyBorder="1" applyAlignment="1" quotePrefix="1">
      <alignment horizontal="center"/>
    </xf>
    <xf numFmtId="3" fontId="7" fillId="8" borderId="108" xfId="0" applyNumberFormat="1" applyFont="1" applyFill="1" applyBorder="1" applyAlignment="1">
      <alignment horizontal="right"/>
    </xf>
    <xf numFmtId="3" fontId="7" fillId="8" borderId="107" xfId="0" applyNumberFormat="1" applyFont="1" applyFill="1" applyBorder="1" applyAlignment="1">
      <alignment horizontal="right"/>
    </xf>
    <xf numFmtId="3" fontId="7" fillId="8" borderId="115" xfId="0" applyNumberFormat="1" applyFont="1" applyFill="1" applyBorder="1" applyAlignment="1">
      <alignment horizontal="right"/>
    </xf>
    <xf numFmtId="3" fontId="7" fillId="8" borderId="112" xfId="0" applyNumberFormat="1" applyFont="1" applyFill="1" applyBorder="1" applyAlignment="1">
      <alignment horizontal="right"/>
    </xf>
    <xf numFmtId="3" fontId="7" fillId="8" borderId="116" xfId="0" applyNumberFormat="1" applyFont="1" applyFill="1" applyBorder="1" applyAlignment="1">
      <alignment horizontal="right"/>
    </xf>
    <xf numFmtId="3" fontId="7" fillId="8" borderId="117" xfId="0" applyNumberFormat="1" applyFont="1" applyFill="1" applyBorder="1" applyAlignment="1">
      <alignment horizontal="right"/>
    </xf>
    <xf numFmtId="3" fontId="7" fillId="8" borderId="118" xfId="0" applyNumberFormat="1" applyFont="1" applyFill="1" applyBorder="1" applyAlignment="1">
      <alignment horizontal="right"/>
    </xf>
    <xf numFmtId="3" fontId="7" fillId="8" borderId="119" xfId="0" applyNumberFormat="1" applyFont="1" applyFill="1" applyBorder="1" applyAlignment="1">
      <alignment horizontal="right"/>
    </xf>
    <xf numFmtId="3" fontId="7" fillId="8" borderId="85" xfId="0" applyNumberFormat="1" applyFont="1" applyFill="1" applyBorder="1" applyAlignment="1">
      <alignment horizontal="center"/>
    </xf>
    <xf numFmtId="3" fontId="7" fillId="8" borderId="74" xfId="0" applyNumberFormat="1" applyFont="1" applyFill="1" applyBorder="1" applyAlignment="1">
      <alignment horizontal="center"/>
    </xf>
    <xf numFmtId="3" fontId="7" fillId="8" borderId="89" xfId="0" applyNumberFormat="1" applyFont="1" applyFill="1" applyBorder="1" applyAlignment="1">
      <alignment horizontal="center"/>
    </xf>
    <xf numFmtId="3" fontId="7" fillId="8" borderId="120" xfId="0" applyNumberFormat="1" applyFont="1" applyFill="1" applyBorder="1" applyAlignment="1">
      <alignment horizontal="center"/>
    </xf>
    <xf numFmtId="3" fontId="0" fillId="3" borderId="0" xfId="0" applyNumberFormat="1" applyFont="1" applyFill="1" applyAlignment="1">
      <alignment/>
    </xf>
    <xf numFmtId="0" fontId="11" fillId="3" borderId="33" xfId="0" applyFont="1" applyFill="1" applyBorder="1" applyAlignment="1">
      <alignment horizontal="justify" vertical="center"/>
    </xf>
    <xf numFmtId="0" fontId="11" fillId="3" borderId="34" xfId="0" applyFont="1" applyFill="1" applyBorder="1" applyAlignment="1">
      <alignment horizontal="justify" vertical="center"/>
    </xf>
    <xf numFmtId="0" fontId="11" fillId="3" borderId="36" xfId="0" applyFont="1" applyFill="1" applyBorder="1" applyAlignment="1">
      <alignment horizontal="justify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11" fillId="3" borderId="4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right" vertical="center"/>
    </xf>
    <xf numFmtId="3" fontId="5" fillId="0" borderId="13" xfId="24" applyNumberFormat="1" applyFont="1" applyBorder="1" applyAlignment="1">
      <alignment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0" fontId="5" fillId="0" borderId="13" xfId="24" applyFont="1" applyBorder="1" applyAlignment="1">
      <alignment horizontal="right" vertical="center"/>
      <protection/>
    </xf>
    <xf numFmtId="3" fontId="5" fillId="0" borderId="21" xfId="24" applyNumberFormat="1" applyFont="1" applyBorder="1" applyAlignment="1">
      <alignment horizontal="right" vertical="center"/>
      <protection/>
    </xf>
    <xf numFmtId="3" fontId="7" fillId="6" borderId="6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/>
    </xf>
    <xf numFmtId="3" fontId="7" fillId="0" borderId="56" xfId="0" applyNumberFormat="1" applyFont="1" applyBorder="1" applyAlignment="1" quotePrefix="1">
      <alignment horizontal="center"/>
    </xf>
    <xf numFmtId="3" fontId="7" fillId="0" borderId="35" xfId="0" applyNumberFormat="1" applyFont="1" applyBorder="1" applyAlignment="1" quotePrefix="1">
      <alignment horizontal="center"/>
    </xf>
    <xf numFmtId="2" fontId="2" fillId="0" borderId="16" xfId="0" applyNumberFormat="1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" fontId="2" fillId="0" borderId="22" xfId="0" applyNumberFormat="1" applyFont="1" applyFill="1" applyBorder="1" applyAlignment="1">
      <alignment vertical="center" wrapText="1"/>
    </xf>
    <xf numFmtId="2" fontId="2" fillId="0" borderId="70" xfId="0" applyNumberFormat="1" applyFont="1" applyFill="1" applyBorder="1" applyAlignment="1">
      <alignment vertical="center" wrapText="1"/>
    </xf>
    <xf numFmtId="2" fontId="2" fillId="0" borderId="121" xfId="0" applyNumberFormat="1" applyFont="1" applyFill="1" applyBorder="1" applyAlignment="1">
      <alignment vertical="center" wrapText="1"/>
    </xf>
    <xf numFmtId="2" fontId="2" fillId="0" borderId="12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5" fillId="2" borderId="12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27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2" borderId="46" xfId="24" applyFont="1" applyFill="1" applyBorder="1" applyAlignment="1">
      <alignment vertical="center" wrapText="1"/>
      <protection/>
    </xf>
    <xf numFmtId="0" fontId="0" fillId="0" borderId="69" xfId="24" applyFont="1" applyBorder="1" applyAlignment="1">
      <alignment vertical="center" wrapText="1"/>
      <protection/>
    </xf>
    <xf numFmtId="3" fontId="23" fillId="2" borderId="125" xfId="21" applyNumberFormat="1" applyFont="1" applyFill="1" applyBorder="1" applyAlignment="1">
      <alignment horizontal="center" vertical="center" wrapText="1"/>
      <protection/>
    </xf>
    <xf numFmtId="3" fontId="23" fillId="2" borderId="20" xfId="21" applyNumberFormat="1" applyFont="1" applyFill="1" applyBorder="1" applyAlignment="1">
      <alignment horizontal="center" vertical="center" wrapText="1"/>
      <protection/>
    </xf>
    <xf numFmtId="0" fontId="0" fillId="0" borderId="126" xfId="0" applyBorder="1" applyAlignment="1">
      <alignment/>
    </xf>
    <xf numFmtId="0" fontId="5" fillId="2" borderId="46" xfId="24" applyFont="1" applyFill="1" applyBorder="1" applyAlignment="1">
      <alignment vertical="center"/>
      <protection/>
    </xf>
    <xf numFmtId="0" fontId="0" fillId="0" borderId="69" xfId="24" applyFont="1" applyBorder="1" applyAlignment="1">
      <alignment vertical="center"/>
      <protection/>
    </xf>
    <xf numFmtId="0" fontId="9" fillId="2" borderId="46" xfId="24" applyFont="1" applyFill="1" applyBorder="1" applyAlignment="1">
      <alignment horizontal="center" vertical="center" wrapText="1"/>
      <protection/>
    </xf>
    <xf numFmtId="0" fontId="0" fillId="0" borderId="69" xfId="24" applyBorder="1" applyAlignment="1">
      <alignment horizontal="center" vertical="center" wrapText="1"/>
      <protection/>
    </xf>
    <xf numFmtId="0" fontId="7" fillId="2" borderId="57" xfId="24" applyFont="1" applyFill="1" applyBorder="1" applyAlignment="1">
      <alignment horizontal="center" vertical="center"/>
      <protection/>
    </xf>
    <xf numFmtId="0" fontId="0" fillId="0" borderId="126" xfId="24" applyBorder="1" applyAlignment="1">
      <alignment horizontal="center" vertical="center"/>
      <protection/>
    </xf>
    <xf numFmtId="0" fontId="0" fillId="0" borderId="50" xfId="24" applyBorder="1" applyAlignment="1">
      <alignment horizontal="center" vertical="center"/>
      <protection/>
    </xf>
    <xf numFmtId="0" fontId="27" fillId="2" borderId="2" xfId="24" applyFont="1" applyFill="1" applyBorder="1" applyAlignment="1">
      <alignment vertical="center" wrapText="1"/>
      <protection/>
    </xf>
    <xf numFmtId="0" fontId="27" fillId="2" borderId="25" xfId="0" applyFont="1" applyFill="1" applyBorder="1" applyAlignment="1">
      <alignment vertical="center" wrapText="1"/>
    </xf>
    <xf numFmtId="0" fontId="23" fillId="2" borderId="123" xfId="21" applyFont="1" applyFill="1" applyBorder="1" applyAlignment="1">
      <alignment horizontal="center" vertical="center" wrapText="1"/>
      <protection/>
    </xf>
    <xf numFmtId="0" fontId="21" fillId="0" borderId="6" xfId="21" applyBorder="1" applyAlignment="1">
      <alignment horizontal="center" vertical="center" wrapText="1"/>
      <protection/>
    </xf>
    <xf numFmtId="3" fontId="32" fillId="2" borderId="46" xfId="21" applyNumberFormat="1" applyFont="1" applyFill="1" applyBorder="1" applyAlignment="1">
      <alignment horizontal="center" vertical="center" wrapText="1"/>
      <protection/>
    </xf>
    <xf numFmtId="0" fontId="2" fillId="0" borderId="69" xfId="0" applyFont="1" applyBorder="1" applyAlignment="1">
      <alignment/>
    </xf>
    <xf numFmtId="3" fontId="23" fillId="2" borderId="57" xfId="21" applyNumberFormat="1" applyFont="1" applyFill="1" applyBorder="1" applyAlignment="1">
      <alignment horizontal="center" vertical="center" wrapText="1"/>
      <protection/>
    </xf>
    <xf numFmtId="0" fontId="0" fillId="0" borderId="1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3" fillId="2" borderId="46" xfId="21" applyFont="1" applyFill="1" applyBorder="1" applyAlignment="1">
      <alignment horizontal="center" vertical="center" wrapText="1"/>
      <protection/>
    </xf>
    <xf numFmtId="0" fontId="23" fillId="2" borderId="69" xfId="21" applyFont="1" applyFill="1" applyBorder="1" applyAlignment="1">
      <alignment horizontal="center" vertical="center" wrapText="1"/>
      <protection/>
    </xf>
    <xf numFmtId="0" fontId="21" fillId="0" borderId="5" xfId="21" applyBorder="1" applyAlignment="1">
      <alignment horizontal="center" vertical="center" wrapText="1"/>
      <protection/>
    </xf>
    <xf numFmtId="0" fontId="23" fillId="2" borderId="128" xfId="21" applyFont="1" applyFill="1" applyBorder="1" applyAlignment="1">
      <alignment horizontal="center" vertical="center" wrapText="1"/>
      <protection/>
    </xf>
    <xf numFmtId="0" fontId="21" fillId="0" borderId="27" xfId="21" applyBorder="1" applyAlignment="1">
      <alignment horizontal="center" vertical="center" wrapText="1"/>
      <protection/>
    </xf>
    <xf numFmtId="0" fontId="23" fillId="2" borderId="19" xfId="21" applyFont="1" applyFill="1" applyBorder="1" applyAlignment="1">
      <alignment vertical="center" wrapText="1"/>
      <protection/>
    </xf>
    <xf numFmtId="0" fontId="23" fillId="2" borderId="129" xfId="21" applyFont="1" applyFill="1" applyBorder="1" applyAlignment="1">
      <alignment horizontal="center" vertical="center" wrapText="1"/>
      <protection/>
    </xf>
    <xf numFmtId="3" fontId="23" fillId="2" borderId="2" xfId="21" applyNumberFormat="1" applyFont="1" applyFill="1" applyBorder="1" applyAlignment="1">
      <alignment horizontal="center" vertical="center"/>
      <protection/>
    </xf>
    <xf numFmtId="0" fontId="23" fillId="2" borderId="130" xfId="21" applyFont="1" applyFill="1" applyBorder="1" applyAlignment="1">
      <alignment vertical="center" wrapText="1"/>
      <protection/>
    </xf>
    <xf numFmtId="0" fontId="23" fillId="2" borderId="69" xfId="21" applyFont="1" applyFill="1" applyBorder="1" applyAlignment="1">
      <alignment vertical="center" wrapText="1"/>
      <protection/>
    </xf>
    <xf numFmtId="3" fontId="23" fillId="2" borderId="68" xfId="21" applyNumberFormat="1" applyFont="1" applyFill="1" applyBorder="1" applyAlignment="1">
      <alignment horizontal="center" vertical="center"/>
      <protection/>
    </xf>
    <xf numFmtId="0" fontId="23" fillId="2" borderId="127" xfId="21" applyFont="1" applyFill="1" applyBorder="1" applyAlignment="1">
      <alignment vertical="center" wrapText="1"/>
      <protection/>
    </xf>
    <xf numFmtId="0" fontId="23" fillId="2" borderId="12" xfId="21" applyFont="1" applyFill="1" applyBorder="1" applyAlignment="1">
      <alignment vertical="center" wrapText="1"/>
      <protection/>
    </xf>
    <xf numFmtId="0" fontId="23" fillId="2" borderId="55" xfId="21" applyFont="1" applyFill="1" applyBorder="1" applyAlignment="1">
      <alignment horizontal="center" vertical="center"/>
      <protection/>
    </xf>
    <xf numFmtId="0" fontId="23" fillId="2" borderId="56" xfId="21" applyFont="1" applyFill="1" applyBorder="1" applyAlignment="1">
      <alignment horizontal="center" vertical="center"/>
      <protection/>
    </xf>
    <xf numFmtId="0" fontId="23" fillId="2" borderId="46" xfId="21" applyFont="1" applyFill="1" applyBorder="1" applyAlignment="1">
      <alignment vertical="center" wrapText="1"/>
      <protection/>
    </xf>
    <xf numFmtId="0" fontId="23" fillId="0" borderId="63" xfId="21" applyFont="1" applyBorder="1" applyAlignment="1">
      <alignment vertical="top" wrapText="1"/>
      <protection/>
    </xf>
    <xf numFmtId="0" fontId="0" fillId="0" borderId="3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23" fillId="2" borderId="55" xfId="21" applyNumberFormat="1" applyFont="1" applyFill="1" applyBorder="1" applyAlignment="1">
      <alignment horizontal="center" vertical="center"/>
      <protection/>
    </xf>
    <xf numFmtId="0" fontId="21" fillId="0" borderId="4" xfId="21" applyFont="1" applyBorder="1" applyAlignment="1">
      <alignment vertical="top" wrapText="1"/>
      <protection/>
    </xf>
    <xf numFmtId="0" fontId="0" fillId="0" borderId="6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1" xfId="0" applyBorder="1" applyAlignment="1">
      <alignment vertical="top" wrapText="1"/>
    </xf>
    <xf numFmtId="0" fontId="0" fillId="0" borderId="1" xfId="0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4" fontId="7" fillId="2" borderId="18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/>
    </xf>
    <xf numFmtId="4" fontId="7" fillId="2" borderId="7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vertical="center"/>
    </xf>
    <xf numFmtId="0" fontId="7" fillId="0" borderId="3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3" xfId="0" applyFont="1" applyBorder="1" applyAlignment="1">
      <alignment/>
    </xf>
    <xf numFmtId="4" fontId="7" fillId="2" borderId="17" xfId="0" applyNumberFormat="1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5" fillId="2" borderId="13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3" fontId="7" fillId="2" borderId="12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124" xfId="0" applyFont="1" applyFill="1" applyBorder="1" applyAlignment="1">
      <alignment horizontal="center" vertical="center"/>
    </xf>
    <xf numFmtId="0" fontId="0" fillId="0" borderId="132" xfId="0" applyBorder="1" applyAlignment="1">
      <alignment/>
    </xf>
    <xf numFmtId="0" fontId="5" fillId="2" borderId="26" xfId="25" applyFont="1" applyFill="1" applyBorder="1" applyAlignment="1">
      <alignment horizontal="center" vertical="center"/>
      <protection/>
    </xf>
    <xf numFmtId="0" fontId="33" fillId="0" borderId="26" xfId="25" applyBorder="1" applyAlignment="1">
      <alignment/>
      <protection/>
    </xf>
    <xf numFmtId="0" fontId="5" fillId="2" borderId="7" xfId="25" applyFont="1" applyFill="1" applyBorder="1" applyAlignment="1">
      <alignment horizontal="center" vertical="center"/>
      <protection/>
    </xf>
    <xf numFmtId="0" fontId="33" fillId="0" borderId="31" xfId="25" applyBorder="1" applyAlignment="1">
      <alignment/>
      <protection/>
    </xf>
    <xf numFmtId="0" fontId="5" fillId="2" borderId="46" xfId="0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41" xfId="0" applyFont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58" xfId="0" applyFont="1" applyBorder="1" applyAlignment="1">
      <alignment/>
    </xf>
    <xf numFmtId="0" fontId="7" fillId="2" borderId="46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2" borderId="129" xfId="22" applyFont="1" applyFill="1" applyBorder="1" applyAlignment="1">
      <alignment horizontal="center" vertical="center" wrapText="1"/>
      <protection/>
    </xf>
    <xf numFmtId="0" fontId="10" fillId="0" borderId="4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9" fillId="2" borderId="12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2" borderId="127" xfId="22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2" borderId="128" xfId="22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2" borderId="65" xfId="22" applyFont="1" applyFill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7" fillId="2" borderId="6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4" fontId="2" fillId="0" borderId="57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2" borderId="6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2" borderId="4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3" fontId="7" fillId="7" borderId="12" xfId="0" applyNumberFormat="1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6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quotePrefix="1">
      <alignment horizontal="center" vertical="center" wrapText="1"/>
    </xf>
    <xf numFmtId="0" fontId="0" fillId="0" borderId="66" xfId="0" applyBorder="1" applyAlignment="1">
      <alignment/>
    </xf>
    <xf numFmtId="0" fontId="7" fillId="2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2" borderId="57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/>
    </xf>
    <xf numFmtId="0" fontId="7" fillId="2" borderId="2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7" fillId="3" borderId="19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3" fontId="7" fillId="3" borderId="2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3" fontId="7" fillId="3" borderId="1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5" fillId="2" borderId="57" xfId="20" applyFont="1" applyFill="1" applyBorder="1" applyAlignment="1">
      <alignment horizontal="center"/>
      <protection/>
    </xf>
    <xf numFmtId="0" fontId="0" fillId="0" borderId="126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2" borderId="12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5" fillId="2" borderId="68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2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5" fillId="2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53" xfId="0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3" fontId="7" fillId="2" borderId="1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0" fontId="7" fillId="2" borderId="4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7" fillId="0" borderId="57" xfId="0" applyFont="1" applyBorder="1" applyAlignment="1">
      <alignment/>
    </xf>
    <xf numFmtId="0" fontId="0" fillId="0" borderId="68" xfId="0" applyBorder="1" applyAlignment="1">
      <alignment/>
    </xf>
    <xf numFmtId="0" fontId="7" fillId="0" borderId="47" xfId="0" applyFont="1" applyBorder="1" applyAlignment="1">
      <alignment/>
    </xf>
    <xf numFmtId="0" fontId="0" fillId="0" borderId="0" xfId="0" applyBorder="1" applyAlignment="1">
      <alignment/>
    </xf>
    <xf numFmtId="0" fontId="0" fillId="0" borderId="131" xfId="0" applyBorder="1" applyAlignment="1">
      <alignment/>
    </xf>
    <xf numFmtId="0" fontId="7" fillId="2" borderId="129" xfId="22" applyFont="1" applyFill="1" applyBorder="1" applyAlignment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2" borderId="126" xfId="22" applyFont="1" applyFill="1" applyBorder="1" applyAlignment="1">
      <alignment horizontal="center" vertical="center"/>
      <protection/>
    </xf>
    <xf numFmtId="0" fontId="5" fillId="2" borderId="68" xfId="22" applyFont="1" applyFill="1" applyBorder="1" applyAlignment="1">
      <alignment horizontal="center" vertical="center"/>
      <protection/>
    </xf>
    <xf numFmtId="3" fontId="7" fillId="0" borderId="28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0" fillId="3" borderId="5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7" fillId="2" borderId="130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vertical="center"/>
    </xf>
    <xf numFmtId="0" fontId="7" fillId="2" borderId="126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3" fontId="7" fillId="0" borderId="126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3" borderId="57" xfId="0" applyFont="1" applyFill="1" applyBorder="1" applyAlignment="1">
      <alignment vertical="center"/>
    </xf>
    <xf numFmtId="0" fontId="0" fillId="3" borderId="68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5" fillId="2" borderId="55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3" fontId="7" fillId="2" borderId="7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7" fillId="2" borderId="129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2" fillId="0" borderId="133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133" xfId="0" applyNumberFormat="1" applyFont="1" applyFill="1" applyBorder="1" applyAlignment="1">
      <alignment horizontal="right" vertical="center"/>
    </xf>
    <xf numFmtId="3" fontId="2" fillId="0" borderId="134" xfId="0" applyNumberFormat="1" applyFont="1" applyFill="1" applyBorder="1" applyAlignment="1">
      <alignment vertical="center"/>
    </xf>
    <xf numFmtId="3" fontId="2" fillId="0" borderId="135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44" fillId="0" borderId="22" xfId="0" applyNumberFormat="1" applyFont="1" applyFill="1" applyBorder="1" applyAlignment="1">
      <alignment vertical="center"/>
    </xf>
    <xf numFmtId="3" fontId="44" fillId="0" borderId="23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3" fontId="2" fillId="3" borderId="39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44" fillId="0" borderId="40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40" xfId="0" applyNumberFormat="1" applyFont="1" applyFill="1" applyBorder="1" applyAlignment="1">
      <alignment vertical="center"/>
    </xf>
    <xf numFmtId="3" fontId="2" fillId="3" borderId="38" xfId="0" applyNumberFormat="1" applyFont="1" applyFill="1" applyBorder="1" applyAlignment="1">
      <alignment vertical="center"/>
    </xf>
    <xf numFmtId="3" fontId="44" fillId="3" borderId="1" xfId="0" applyNumberFormat="1" applyFont="1" applyFill="1" applyBorder="1" applyAlignment="1">
      <alignment vertical="center"/>
    </xf>
    <xf numFmtId="3" fontId="44" fillId="3" borderId="40" xfId="0" applyNumberFormat="1" applyFont="1" applyFill="1" applyBorder="1" applyAlignment="1">
      <alignment vertical="center"/>
    </xf>
    <xf numFmtId="3" fontId="2" fillId="0" borderId="93" xfId="0" applyNumberFormat="1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vertical="center" wrapText="1"/>
    </xf>
    <xf numFmtId="3" fontId="44" fillId="0" borderId="40" xfId="0" applyNumberFormat="1" applyFont="1" applyFill="1" applyBorder="1" applyAlignment="1">
      <alignment horizontal="right" vertical="center"/>
    </xf>
    <xf numFmtId="3" fontId="44" fillId="0" borderId="53" xfId="0" applyNumberFormat="1" applyFont="1" applyFill="1" applyBorder="1" applyAlignment="1">
      <alignment horizontal="right" vertical="center"/>
    </xf>
    <xf numFmtId="3" fontId="2" fillId="0" borderId="134" xfId="0" applyNumberFormat="1" applyFont="1" applyFill="1" applyBorder="1" applyAlignment="1">
      <alignment horizontal="right" vertical="center"/>
    </xf>
    <xf numFmtId="3" fontId="2" fillId="0" borderId="135" xfId="0" applyNumberFormat="1" applyFont="1" applyFill="1" applyBorder="1" applyAlignment="1">
      <alignment horizontal="right" vertical="center"/>
    </xf>
    <xf numFmtId="3" fontId="2" fillId="0" borderId="137" xfId="0" applyNumberFormat="1" applyFont="1" applyFill="1" applyBorder="1" applyAlignment="1">
      <alignment vertical="center"/>
    </xf>
    <xf numFmtId="3" fontId="2" fillId="0" borderId="138" xfId="0" applyNumberFormat="1" applyFont="1" applyFill="1" applyBorder="1" applyAlignment="1">
      <alignment vertical="center"/>
    </xf>
    <xf numFmtId="3" fontId="2" fillId="0" borderId="139" xfId="0" applyNumberFormat="1" applyFont="1" applyFill="1" applyBorder="1" applyAlignment="1">
      <alignment vertical="center"/>
    </xf>
    <xf numFmtId="3" fontId="44" fillId="0" borderId="140" xfId="0" applyNumberFormat="1" applyFont="1" applyFill="1" applyBorder="1" applyAlignment="1">
      <alignment vertical="center"/>
    </xf>
    <xf numFmtId="0" fontId="0" fillId="0" borderId="141" xfId="0" applyFont="1" applyFill="1" applyBorder="1" applyAlignment="1">
      <alignment/>
    </xf>
    <xf numFmtId="3" fontId="44" fillId="0" borderId="1" xfId="0" applyNumberFormat="1" applyFont="1" applyFill="1" applyBorder="1" applyAlignment="1">
      <alignment vertical="center"/>
    </xf>
    <xf numFmtId="3" fontId="43" fillId="3" borderId="11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17" xfId="0" applyNumberFormat="1" applyFont="1" applyFill="1" applyBorder="1" applyAlignment="1">
      <alignment horizontal="right" vertical="center"/>
    </xf>
    <xf numFmtId="0" fontId="7" fillId="2" borderId="66" xfId="0" applyFont="1" applyFill="1" applyBorder="1" applyAlignment="1">
      <alignment horizontal="center" vertical="center" wrapText="1"/>
    </xf>
    <xf numFmtId="3" fontId="2" fillId="0" borderId="136" xfId="0" applyNumberFormat="1" applyFont="1" applyFill="1" applyBorder="1" applyAlignment="1">
      <alignment vertical="center"/>
    </xf>
    <xf numFmtId="0" fontId="0" fillId="0" borderId="136" xfId="0" applyFont="1" applyFill="1" applyBorder="1" applyAlignment="1">
      <alignment/>
    </xf>
    <xf numFmtId="3" fontId="2" fillId="0" borderId="142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>
      <alignment vertical="center"/>
    </xf>
    <xf numFmtId="3" fontId="43" fillId="3" borderId="40" xfId="0" applyNumberFormat="1" applyFont="1" applyFill="1" applyBorder="1" applyAlignment="1">
      <alignment vertical="center"/>
    </xf>
    <xf numFmtId="0" fontId="7" fillId="9" borderId="87" xfId="22" applyFont="1" applyFill="1" applyBorder="1" applyAlignment="1">
      <alignment horizontal="center" vertical="center"/>
      <protection/>
    </xf>
    <xf numFmtId="0" fontId="0" fillId="0" borderId="143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3" fontId="43" fillId="3" borderId="40" xfId="0" applyNumberFormat="1" applyFont="1" applyFill="1" applyBorder="1" applyAlignment="1">
      <alignment horizontal="right" vertical="center"/>
    </xf>
    <xf numFmtId="3" fontId="43" fillId="3" borderId="53" xfId="0" applyNumberFormat="1" applyFont="1" applyFill="1" applyBorder="1" applyAlignment="1">
      <alignment horizontal="right" vertical="center"/>
    </xf>
    <xf numFmtId="3" fontId="43" fillId="3" borderId="144" xfId="0" applyNumberFormat="1" applyFont="1" applyFill="1" applyBorder="1" applyAlignment="1">
      <alignment vertical="center"/>
    </xf>
    <xf numFmtId="3" fontId="43" fillId="3" borderId="145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0" fontId="7" fillId="8" borderId="146" xfId="0" applyFont="1" applyFill="1" applyBorder="1" applyAlignment="1">
      <alignment/>
    </xf>
    <xf numFmtId="0" fontId="7" fillId="8" borderId="71" xfId="0" applyFont="1" applyFill="1" applyBorder="1" applyAlignment="1">
      <alignment/>
    </xf>
    <xf numFmtId="2" fontId="10" fillId="3" borderId="124" xfId="0" applyNumberFormat="1" applyFont="1" applyFill="1" applyBorder="1" applyAlignment="1">
      <alignment horizontal="left" vertical="center" wrapText="1"/>
    </xf>
    <xf numFmtId="0" fontId="7" fillId="9" borderId="147" xfId="22" applyFont="1" applyFill="1" applyBorder="1" applyAlignment="1">
      <alignment horizontal="center" vertical="center"/>
      <protection/>
    </xf>
    <xf numFmtId="0" fontId="7" fillId="9" borderId="148" xfId="22" applyFont="1" applyFill="1" applyBorder="1" applyAlignment="1">
      <alignment horizontal="center" vertical="center" wrapText="1"/>
      <protection/>
    </xf>
    <xf numFmtId="3" fontId="7" fillId="2" borderId="5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9" borderId="85" xfId="22" applyFont="1" applyFill="1" applyBorder="1" applyAlignment="1">
      <alignment horizontal="center" vertical="center"/>
      <protection/>
    </xf>
    <xf numFmtId="0" fontId="7" fillId="2" borderId="7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9" fillId="9" borderId="149" xfId="22" applyFont="1" applyFill="1" applyBorder="1" applyAlignment="1">
      <alignment horizontal="center" vertical="center" wrapText="1"/>
      <protection/>
    </xf>
    <xf numFmtId="3" fontId="7" fillId="2" borderId="127" xfId="0" applyNumberFormat="1" applyFont="1" applyFill="1" applyBorder="1" applyAlignment="1">
      <alignment horizontal="center" vertical="center" wrapText="1"/>
    </xf>
    <xf numFmtId="3" fontId="7" fillId="2" borderId="124" xfId="0" applyNumberFormat="1" applyFont="1" applyFill="1" applyBorder="1" applyAlignment="1">
      <alignment horizontal="center" vertical="center" wrapText="1"/>
    </xf>
    <xf numFmtId="3" fontId="7" fillId="2" borderId="125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7" fillId="9" borderId="150" xfId="0" applyNumberFormat="1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5" fillId="2" borderId="26" xfId="0" applyFont="1" applyFill="1" applyBorder="1" applyAlignment="1">
      <alignment/>
    </xf>
    <xf numFmtId="0" fontId="5" fillId="9" borderId="153" xfId="22" applyFont="1" applyFill="1" applyBorder="1" applyAlignment="1">
      <alignment horizontal="center" vertical="center"/>
      <protection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7" fillId="3" borderId="4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7" fillId="2" borderId="127" xfId="0" applyNumberFormat="1" applyFont="1" applyFill="1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2" borderId="127" xfId="0" applyFont="1" applyFill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9" borderId="156" xfId="0" applyFont="1" applyFill="1" applyBorder="1" applyAlignment="1">
      <alignment vertical="center"/>
    </xf>
    <xf numFmtId="0" fontId="5" fillId="9" borderId="157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0" fontId="7" fillId="3" borderId="15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6" fillId="2" borderId="12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" fillId="3" borderId="124" xfId="0" applyFont="1" applyFill="1" applyBorder="1" applyAlignment="1">
      <alignment wrapText="1"/>
    </xf>
    <xf numFmtId="0" fontId="0" fillId="0" borderId="124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2" borderId="12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53" xfId="0" applyNumberFormat="1" applyFont="1" applyFill="1" applyBorder="1" applyAlignment="1">
      <alignment horizontal="right" vertical="center"/>
    </xf>
    <xf numFmtId="3" fontId="5" fillId="3" borderId="1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3" fontId="5" fillId="3" borderId="25" xfId="0" applyNumberFormat="1" applyFont="1" applyFill="1" applyBorder="1" applyAlignment="1">
      <alignment horizontal="center" vertical="center"/>
    </xf>
    <xf numFmtId="3" fontId="44" fillId="0" borderId="65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/>
    </xf>
    <xf numFmtId="2" fontId="2" fillId="3" borderId="16" xfId="0" applyNumberFormat="1" applyFont="1" applyFill="1" applyBorder="1" applyAlignment="1">
      <alignment vertical="center" wrapText="1"/>
    </xf>
    <xf numFmtId="2" fontId="2" fillId="3" borderId="22" xfId="0" applyNumberFormat="1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5" fillId="3" borderId="22" xfId="0" applyNumberFormat="1" applyFont="1" applyFill="1" applyBorder="1" applyAlignment="1">
      <alignment horizontal="center" vertical="center"/>
    </xf>
    <xf numFmtId="0" fontId="0" fillId="0" borderId="12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" fillId="2" borderId="127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2" fillId="0" borderId="124" xfId="0" applyFont="1" applyBorder="1" applyAlignment="1">
      <alignment vertical="top" wrapText="1"/>
    </xf>
    <xf numFmtId="0" fontId="0" fillId="0" borderId="124" xfId="0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2" borderId="69" xfId="0" applyFont="1" applyFill="1" applyBorder="1" applyAlignment="1">
      <alignment horizontal="left" vertical="center"/>
    </xf>
    <xf numFmtId="0" fontId="33" fillId="0" borderId="69" xfId="0" applyBorder="1" applyAlignment="1">
      <alignment horizontal="center" vertical="center" wrapText="1"/>
    </xf>
    <xf numFmtId="3" fontId="2" fillId="0" borderId="15" xfId="26" applyFont="1" applyFill="1" applyBorder="1" applyAlignment="1">
      <alignment horizontal="left" vertical="center" wrapText="1"/>
      <protection/>
    </xf>
    <xf numFmtId="3" fontId="2" fillId="0" borderId="35" xfId="26" applyFont="1" applyFill="1" applyBorder="1" applyAlignment="1">
      <alignment horizontal="left" vertical="center" wrapText="1"/>
      <protection/>
    </xf>
    <xf numFmtId="3" fontId="7" fillId="0" borderId="11" xfId="26" applyNumberFormat="1" applyFont="1" applyFill="1" applyBorder="1" applyAlignment="1">
      <alignment vertical="center" wrapText="1"/>
      <protection/>
    </xf>
    <xf numFmtId="3" fontId="7" fillId="0" borderId="23" xfId="26" applyNumberFormat="1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7" fillId="0" borderId="1" xfId="26" applyNumberFormat="1" applyFont="1" applyFill="1" applyBorder="1" applyAlignment="1">
      <alignment vertical="center" wrapText="1"/>
      <protection/>
    </xf>
    <xf numFmtId="3" fontId="7" fillId="0" borderId="35" xfId="26" applyNumberFormat="1" applyFont="1" applyFill="1" applyBorder="1" applyAlignment="1">
      <alignment vertical="center" wrapText="1"/>
      <protection/>
    </xf>
    <xf numFmtId="0" fontId="5" fillId="2" borderId="31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4" fontId="2" fillId="0" borderId="11" xfId="26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4" fontId="2" fillId="0" borderId="1" xfId="26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4" fontId="2" fillId="0" borderId="28" xfId="26" applyNumberFormat="1" applyFont="1" applyFill="1" applyBorder="1" applyAlignment="1">
      <alignment vertical="center" wrapText="1"/>
      <protection/>
    </xf>
    <xf numFmtId="0" fontId="0" fillId="0" borderId="28" xfId="0" applyFont="1" applyBorder="1" applyAlignment="1">
      <alignment/>
    </xf>
    <xf numFmtId="4" fontId="7" fillId="2" borderId="18" xfId="26" applyNumberFormat="1" applyFont="1" applyFill="1" applyBorder="1" applyAlignment="1">
      <alignment vertical="center" wrapText="1"/>
      <protection/>
    </xf>
    <xf numFmtId="0" fontId="5" fillId="2" borderId="18" xfId="0" applyFont="1" applyFill="1" applyBorder="1" applyAlignment="1">
      <alignment/>
    </xf>
    <xf numFmtId="0" fontId="33" fillId="0" borderId="12" xfId="0" applyBorder="1" applyAlignment="1">
      <alignment horizontal="center" vertical="center" wrapText="1"/>
    </xf>
    <xf numFmtId="0" fontId="33" fillId="0" borderId="126" xfId="0" applyBorder="1" applyAlignment="1">
      <alignment horizontal="center" vertical="center"/>
    </xf>
    <xf numFmtId="0" fontId="33" fillId="0" borderId="50" xfId="0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0" fillId="2" borderId="18" xfId="0" applyFill="1" applyBorder="1" applyAlignment="1">
      <alignment/>
    </xf>
    <xf numFmtId="0" fontId="7" fillId="2" borderId="130" xfId="22" applyFont="1" applyFill="1" applyBorder="1" applyAlignment="1">
      <alignment horizontal="center" vertical="center"/>
      <protection/>
    </xf>
    <xf numFmtId="0" fontId="7" fillId="2" borderId="158" xfId="22" applyFont="1" applyFill="1" applyBorder="1" applyAlignment="1">
      <alignment horizontal="center" vertical="center"/>
      <protection/>
    </xf>
    <xf numFmtId="0" fontId="7" fillId="2" borderId="19" xfId="22" applyFont="1" applyFill="1" applyBorder="1" applyAlignment="1">
      <alignment horizontal="center" vertical="center"/>
      <protection/>
    </xf>
    <xf numFmtId="0" fontId="9" fillId="2" borderId="128" xfId="22" applyFont="1" applyFill="1" applyBorder="1" applyAlignment="1">
      <alignment horizontal="center" vertical="center" wrapText="1"/>
      <protection/>
    </xf>
    <xf numFmtId="0" fontId="9" fillId="2" borderId="54" xfId="22" applyFont="1" applyFill="1" applyBorder="1" applyAlignment="1">
      <alignment horizontal="center" vertical="center" wrapText="1"/>
      <protection/>
    </xf>
    <xf numFmtId="0" fontId="9" fillId="2" borderId="27" xfId="22" applyFont="1" applyFill="1" applyBorder="1" applyAlignment="1">
      <alignment horizontal="center" vertical="center" wrapText="1"/>
      <protection/>
    </xf>
    <xf numFmtId="0" fontId="9" fillId="2" borderId="49" xfId="22" applyFont="1" applyFill="1" applyBorder="1" applyAlignment="1">
      <alignment horizontal="center" vertical="center" wrapText="1"/>
      <protection/>
    </xf>
    <xf numFmtId="0" fontId="9" fillId="2" borderId="5" xfId="22" applyFont="1" applyFill="1" applyBorder="1" applyAlignment="1">
      <alignment horizontal="center" vertical="center" wrapText="1"/>
      <protection/>
    </xf>
    <xf numFmtId="0" fontId="9" fillId="2" borderId="28" xfId="22" applyFont="1" applyFill="1" applyBorder="1" applyAlignment="1">
      <alignment horizontal="center" vertical="center"/>
      <protection/>
    </xf>
    <xf numFmtId="0" fontId="9" fillId="2" borderId="27" xfId="22" applyFont="1" applyFill="1" applyBorder="1" applyAlignment="1">
      <alignment horizontal="center" vertical="center"/>
      <protection/>
    </xf>
    <xf numFmtId="0" fontId="9" fillId="2" borderId="40" xfId="22" applyFont="1" applyFill="1" applyBorder="1" applyAlignment="1">
      <alignment horizontal="center" vertical="center"/>
      <protection/>
    </xf>
    <xf numFmtId="0" fontId="9" fillId="2" borderId="29" xfId="22" applyFont="1" applyFill="1" applyBorder="1" applyAlignment="1">
      <alignment horizontal="center" vertical="center"/>
      <protection/>
    </xf>
    <xf numFmtId="0" fontId="9" fillId="2" borderId="53" xfId="22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" fontId="7" fillId="0" borderId="28" xfId="26" applyNumberFormat="1" applyFont="1" applyFill="1" applyBorder="1" applyAlignment="1">
      <alignment vertical="center" wrapText="1"/>
      <protection/>
    </xf>
    <xf numFmtId="3" fontId="7" fillId="0" borderId="3" xfId="26" applyNumberFormat="1" applyFont="1" applyFill="1" applyBorder="1" applyAlignment="1">
      <alignment vertical="center" wrapText="1"/>
      <protection/>
    </xf>
    <xf numFmtId="0" fontId="7" fillId="2" borderId="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/>
    </xf>
    <xf numFmtId="0" fontId="7" fillId="2" borderId="1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2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7" fillId="2" borderId="5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3" fontId="7" fillId="2" borderId="7" xfId="23" applyNumberFormat="1" applyFont="1" applyFill="1" applyBorder="1" applyAlignment="1">
      <alignment horizontal="center" vertical="center" wrapText="1"/>
      <protection/>
    </xf>
    <xf numFmtId="0" fontId="2" fillId="0" borderId="26" xfId="23" applyFont="1" applyBorder="1" applyAlignment="1">
      <alignment horizontal="center" vertical="center" wrapText="1"/>
      <protection/>
    </xf>
    <xf numFmtId="0" fontId="2" fillId="0" borderId="31" xfId="23" applyFont="1" applyBorder="1" applyAlignment="1">
      <alignment horizontal="center" vertical="center" wrapText="1"/>
      <protection/>
    </xf>
    <xf numFmtId="0" fontId="33" fillId="0" borderId="126" xfId="0" applyBorder="1" applyAlignment="1">
      <alignment horizontal="center" vertical="center" wrapText="1"/>
    </xf>
    <xf numFmtId="0" fontId="33" fillId="0" borderId="50" xfId="0" applyBorder="1" applyAlignment="1">
      <alignment horizontal="center" vertical="center" wrapText="1"/>
    </xf>
    <xf numFmtId="0" fontId="5" fillId="2" borderId="57" xfId="20" applyFont="1" applyFill="1" applyBorder="1" applyAlignment="1">
      <alignment horizontal="center" vertical="center"/>
      <protection/>
    </xf>
    <xf numFmtId="3" fontId="2" fillId="0" borderId="40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/>
    </xf>
    <xf numFmtId="0" fontId="7" fillId="0" borderId="36" xfId="0" applyFont="1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7" fillId="2" borderId="12" xfId="0" applyFont="1" applyFill="1" applyBorder="1" applyAlignment="1">
      <alignment horizontal="center" vertical="center" wrapText="1"/>
    </xf>
    <xf numFmtId="0" fontId="9" fillId="9" borderId="159" xfId="22" applyFont="1" applyFill="1" applyBorder="1" applyAlignment="1">
      <alignment horizontal="center" vertical="center" wrapText="1"/>
      <protection/>
    </xf>
    <xf numFmtId="0" fontId="9" fillId="9" borderId="160" xfId="22" applyFont="1" applyFill="1" applyBorder="1" applyAlignment="1">
      <alignment horizontal="center" vertical="center" wrapText="1"/>
      <protection/>
    </xf>
    <xf numFmtId="0" fontId="9" fillId="9" borderId="161" xfId="22" applyFont="1" applyFill="1" applyBorder="1" applyAlignment="1">
      <alignment horizontal="center" vertical="center" wrapText="1"/>
      <protection/>
    </xf>
    <xf numFmtId="3" fontId="2" fillId="0" borderId="123" xfId="0" applyNumberFormat="1" applyFont="1" applyBorder="1" applyAlignment="1">
      <alignment vertical="center"/>
    </xf>
    <xf numFmtId="3" fontId="2" fillId="0" borderId="132" xfId="0" applyNumberFormat="1" applyFont="1" applyBorder="1" applyAlignment="1">
      <alignment vertical="center"/>
    </xf>
    <xf numFmtId="3" fontId="2" fillId="0" borderId="125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9" borderId="127" xfId="22" applyFont="1" applyFill="1" applyBorder="1" applyAlignment="1">
      <alignment horizontal="center" vertical="center"/>
      <protection/>
    </xf>
    <xf numFmtId="0" fontId="7" fillId="9" borderId="162" xfId="22" applyFont="1" applyFill="1" applyBorder="1" applyAlignment="1">
      <alignment horizontal="center" vertical="center"/>
      <protection/>
    </xf>
    <xf numFmtId="0" fontId="7" fillId="9" borderId="163" xfId="22" applyFont="1" applyFill="1" applyBorder="1" applyAlignment="1">
      <alignment horizontal="center" vertical="center"/>
      <protection/>
    </xf>
    <xf numFmtId="0" fontId="7" fillId="9" borderId="164" xfId="22" applyFont="1" applyFill="1" applyBorder="1" applyAlignment="1">
      <alignment horizontal="center" vertical="center" wrapText="1"/>
      <protection/>
    </xf>
    <xf numFmtId="0" fontId="7" fillId="9" borderId="165" xfId="22" applyFont="1" applyFill="1" applyBorder="1" applyAlignment="1">
      <alignment horizontal="center" vertical="center" wrapText="1"/>
      <protection/>
    </xf>
    <xf numFmtId="0" fontId="5" fillId="9" borderId="166" xfId="22" applyFont="1" applyFill="1" applyBorder="1" applyAlignment="1">
      <alignment horizontal="center" vertical="center"/>
      <protection/>
    </xf>
    <xf numFmtId="0" fontId="0" fillId="0" borderId="167" xfId="0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3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7" fillId="9" borderId="112" xfId="22" applyFont="1" applyFill="1" applyBorder="1" applyAlignment="1">
      <alignment horizontal="center" vertical="center"/>
      <protection/>
    </xf>
    <xf numFmtId="0" fontId="7" fillId="2" borderId="8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67" xfId="0" applyNumberFormat="1" applyFont="1" applyBorder="1" applyAlignment="1">
      <alignment vertical="center"/>
    </xf>
  </cellXfs>
  <cellStyles count="15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2006_kraj" xfId="20"/>
    <cellStyle name="normální_Finanční plány nemocnice" xfId="21"/>
    <cellStyle name="normální_RK Odpisový plán na rok 2002" xfId="22"/>
    <cellStyle name="normální_RK-10-2006-xx,př1 FP po 105%" xfId="23"/>
    <cellStyle name="normální_RK-10-2006-xxpř1 FP po 105%upr1" xfId="24"/>
    <cellStyle name="normální_RK-26-2006 př 1 hospodaření" xfId="25"/>
    <cellStyle name="nový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4.625" style="482" customWidth="1"/>
    <col min="2" max="2" width="11.25390625" style="481" customWidth="1"/>
    <col min="3" max="5" width="12.375" style="481" customWidth="1"/>
    <col min="6" max="6" width="11.125" style="481" customWidth="1"/>
    <col min="7" max="7" width="12.00390625" style="481" customWidth="1"/>
    <col min="8" max="8" width="11.125" style="482" customWidth="1"/>
    <col min="9" max="9" width="12.00390625" style="482" customWidth="1"/>
    <col min="10" max="10" width="11.375" style="482" customWidth="1"/>
    <col min="11" max="16384" width="9.125" style="482" customWidth="1"/>
  </cols>
  <sheetData>
    <row r="1" ht="15">
      <c r="H1" s="590" t="s">
        <v>656</v>
      </c>
    </row>
    <row r="2" spans="1:8" ht="34.5" customHeight="1" thickBot="1">
      <c r="A2" s="480" t="s">
        <v>531</v>
      </c>
      <c r="H2" s="591" t="s">
        <v>655</v>
      </c>
    </row>
    <row r="3" spans="1:9" s="483" customFormat="1" ht="15.75" customHeight="1">
      <c r="A3" s="1221" t="s">
        <v>269</v>
      </c>
      <c r="B3" s="1210" t="s">
        <v>258</v>
      </c>
      <c r="C3" s="1207" t="s">
        <v>260</v>
      </c>
      <c r="D3" s="1193"/>
      <c r="E3" s="1193"/>
      <c r="F3" s="1207" t="s">
        <v>600</v>
      </c>
      <c r="G3" s="1208"/>
      <c r="H3" s="1209"/>
      <c r="I3" s="1205" t="s">
        <v>610</v>
      </c>
    </row>
    <row r="4" spans="1:9" s="483" customFormat="1" ht="51" customHeight="1" thickBot="1">
      <c r="A4" s="1222"/>
      <c r="B4" s="1211"/>
      <c r="C4" s="889" t="s">
        <v>263</v>
      </c>
      <c r="D4" s="484" t="s">
        <v>289</v>
      </c>
      <c r="E4" s="1045" t="s">
        <v>606</v>
      </c>
      <c r="F4" s="1050" t="s">
        <v>607</v>
      </c>
      <c r="G4" s="1072" t="s">
        <v>608</v>
      </c>
      <c r="H4" s="1051" t="s">
        <v>609</v>
      </c>
      <c r="I4" s="1206"/>
    </row>
    <row r="5" spans="1:9" s="489" customFormat="1" ht="18" customHeight="1">
      <c r="A5" s="532" t="s">
        <v>264</v>
      </c>
      <c r="B5" s="537">
        <v>34600</v>
      </c>
      <c r="C5" s="890">
        <f>+'H.Brod'!I15</f>
        <v>18869</v>
      </c>
      <c r="D5" s="487">
        <f>+'H.Brod'!E43/1000</f>
        <v>1569</v>
      </c>
      <c r="E5" s="1037">
        <f>+'H.Brod'!E44/1000</f>
        <v>17300</v>
      </c>
      <c r="F5" s="1046">
        <f>+'H.Brod'!J44/1000</f>
        <v>17300</v>
      </c>
      <c r="G5" s="547"/>
      <c r="H5" s="1041">
        <f>+'H.Brod'!J49/1000</f>
        <v>15746</v>
      </c>
      <c r="I5" s="1033">
        <v>23.39625</v>
      </c>
    </row>
    <row r="6" spans="1:9" s="489" customFormat="1" ht="18" customHeight="1">
      <c r="A6" s="533" t="s">
        <v>265</v>
      </c>
      <c r="B6" s="538">
        <v>52800</v>
      </c>
      <c r="C6" s="891">
        <f>+Jihlava!I15</f>
        <v>31021.75573</v>
      </c>
      <c r="D6" s="492">
        <f>+Jihlava!E44/1000</f>
        <v>1374</v>
      </c>
      <c r="E6" s="1038">
        <f>+Jihlava!E45/1000</f>
        <v>23481.75573</v>
      </c>
      <c r="F6" s="1047">
        <f>+Jihlava!J45/1000</f>
        <v>29318.24427</v>
      </c>
      <c r="G6" s="548"/>
      <c r="H6" s="1042">
        <f>+Jihlava!J50/1000</f>
        <v>19337</v>
      </c>
      <c r="I6" s="1034">
        <v>315.426</v>
      </c>
    </row>
    <row r="7" spans="1:9" s="489" customFormat="1" ht="18" customHeight="1">
      <c r="A7" s="533" t="s">
        <v>266</v>
      </c>
      <c r="B7" s="538">
        <v>32500</v>
      </c>
      <c r="C7" s="891">
        <f>+Pelhřimov!E54/1000</f>
        <v>17130</v>
      </c>
      <c r="D7" s="492">
        <f>+Pelhřimov!E46/1000</f>
        <v>880</v>
      </c>
      <c r="E7" s="1038">
        <f>+Pelhřimov!E47/1000</f>
        <v>16250</v>
      </c>
      <c r="F7" s="1047">
        <f>+B7-E7</f>
        <v>16250</v>
      </c>
      <c r="G7" s="548"/>
      <c r="H7" s="1042">
        <f>+Pelhřimov!J52/1000</f>
        <v>10420</v>
      </c>
      <c r="I7" s="1034">
        <v>23.52971</v>
      </c>
    </row>
    <row r="8" spans="1:9" s="489" customFormat="1" ht="18" customHeight="1">
      <c r="A8" s="533" t="s">
        <v>267</v>
      </c>
      <c r="B8" s="538">
        <v>24400</v>
      </c>
      <c r="C8" s="891">
        <f>+Třebíč!E55/1000</f>
        <v>1557</v>
      </c>
      <c r="D8" s="492">
        <f>+Třebíč!E47/1000</f>
        <v>1557</v>
      </c>
      <c r="E8" s="1038">
        <f>+C8-D8</f>
        <v>0</v>
      </c>
      <c r="F8" s="1047">
        <f>+B8-E8</f>
        <v>24400</v>
      </c>
      <c r="G8" s="548">
        <f>+Třebíč!J52/1000</f>
        <v>1557</v>
      </c>
      <c r="H8" s="1042">
        <f>+Třebíč!J53/1000</f>
        <v>15542</v>
      </c>
      <c r="I8" s="1034">
        <v>186.53349</v>
      </c>
    </row>
    <row r="9" spans="1:9" s="489" customFormat="1" ht="27" customHeight="1" thickBot="1">
      <c r="A9" s="534" t="s">
        <v>268</v>
      </c>
      <c r="B9" s="539">
        <v>35700</v>
      </c>
      <c r="C9" s="892">
        <f>+'N.Město'!E53/1000</f>
        <v>18720</v>
      </c>
      <c r="D9" s="497">
        <f>+'N.Město'!E45/1000</f>
        <v>1020</v>
      </c>
      <c r="E9" s="1039">
        <f>+'N.Město'!E46/1000</f>
        <v>17700</v>
      </c>
      <c r="F9" s="1048">
        <f>+'N.Město'!J46/1000</f>
        <v>18000</v>
      </c>
      <c r="G9" s="549"/>
      <c r="H9" s="1043">
        <f>+'N.Město'!J50/1000</f>
        <v>15455</v>
      </c>
      <c r="I9" s="1035">
        <v>294.1196</v>
      </c>
    </row>
    <row r="10" spans="1:9" s="505" customFormat="1" ht="23.25" customHeight="1" thickBot="1">
      <c r="A10" s="535" t="s">
        <v>4</v>
      </c>
      <c r="B10" s="540">
        <f aca="true" t="shared" si="0" ref="B10:I10">SUM(B5:B9)</f>
        <v>180000</v>
      </c>
      <c r="C10" s="893">
        <f t="shared" si="0"/>
        <v>87297.75573</v>
      </c>
      <c r="D10" s="502">
        <f t="shared" si="0"/>
        <v>6400</v>
      </c>
      <c r="E10" s="1040">
        <f t="shared" si="0"/>
        <v>74731.75573</v>
      </c>
      <c r="F10" s="1049">
        <f t="shared" si="0"/>
        <v>105268.24427</v>
      </c>
      <c r="G10" s="550">
        <f t="shared" si="0"/>
        <v>1557</v>
      </c>
      <c r="H10" s="1044">
        <f t="shared" si="0"/>
        <v>76500</v>
      </c>
      <c r="I10" s="1036">
        <f t="shared" si="0"/>
        <v>843.00505</v>
      </c>
    </row>
    <row r="11" spans="1:9" ht="8.25" customHeight="1">
      <c r="A11" s="506"/>
      <c r="B11" s="507"/>
      <c r="C11" s="507"/>
      <c r="D11" s="507"/>
      <c r="E11" s="507"/>
      <c r="F11" s="507"/>
      <c r="G11" s="507"/>
      <c r="H11" s="506"/>
      <c r="I11" s="506"/>
    </row>
    <row r="12" spans="1:9" ht="8.25" customHeight="1" thickBot="1">
      <c r="A12" s="506"/>
      <c r="B12" s="507"/>
      <c r="C12" s="507"/>
      <c r="D12" s="507"/>
      <c r="E12" s="507"/>
      <c r="F12" s="507"/>
      <c r="G12" s="507"/>
      <c r="H12" s="506"/>
      <c r="I12" s="506"/>
    </row>
    <row r="13" spans="1:9" ht="31.5" customHeight="1">
      <c r="A13" s="1225" t="s">
        <v>269</v>
      </c>
      <c r="B13" s="1191" t="s">
        <v>259</v>
      </c>
      <c r="C13" s="1213" t="s">
        <v>261</v>
      </c>
      <c r="D13" s="1203" t="s">
        <v>287</v>
      </c>
      <c r="E13" s="1216" t="s">
        <v>262</v>
      </c>
      <c r="F13" s="1217" t="s">
        <v>271</v>
      </c>
      <c r="G13" s="1223"/>
      <c r="H13" s="1223"/>
      <c r="I13" s="1224"/>
    </row>
    <row r="14" spans="1:9" ht="43.5" customHeight="1" thickBot="1">
      <c r="A14" s="1219"/>
      <c r="B14" s="1192"/>
      <c r="C14" s="1214"/>
      <c r="D14" s="1204"/>
      <c r="E14" s="1212"/>
      <c r="F14" s="510">
        <v>2006</v>
      </c>
      <c r="G14" s="508">
        <v>2007</v>
      </c>
      <c r="H14" s="509" t="s">
        <v>7</v>
      </c>
      <c r="I14" s="511" t="s">
        <v>48</v>
      </c>
    </row>
    <row r="15" spans="1:9" ht="17.25" customHeight="1">
      <c r="A15" s="898" t="s">
        <v>264</v>
      </c>
      <c r="B15" s="894">
        <f>+'H.Brod'!I36</f>
        <v>-18265</v>
      </c>
      <c r="C15" s="487">
        <f>+B15-E5</f>
        <v>-35565</v>
      </c>
      <c r="D15" s="536">
        <f>+E5/B5</f>
        <v>0.5</v>
      </c>
      <c r="E15" s="488">
        <f>+C15</f>
        <v>-35565</v>
      </c>
      <c r="F15" s="486">
        <f>+'H.Brod'!F17</f>
        <v>153455.55</v>
      </c>
      <c r="G15" s="487">
        <f>+'H.Brod'!K17</f>
        <v>156066</v>
      </c>
      <c r="H15" s="492">
        <f aca="true" t="shared" si="1" ref="H15:H20">+G15-F15</f>
        <v>2610.4500000000116</v>
      </c>
      <c r="I15" s="493">
        <f aca="true" t="shared" si="2" ref="I15:I20">+G15/F15</f>
        <v>1.0170111149450118</v>
      </c>
    </row>
    <row r="16" spans="1:9" ht="17.25" customHeight="1">
      <c r="A16" s="899" t="s">
        <v>265</v>
      </c>
      <c r="B16" s="895">
        <f>+Jihlava!I36</f>
        <v>-27310.244270000025</v>
      </c>
      <c r="C16" s="487">
        <f>+B16-E6</f>
        <v>-50792.00000000003</v>
      </c>
      <c r="D16" s="512">
        <f>(E6-23482)/B6</f>
        <v>-4.626325757561227E-06</v>
      </c>
      <c r="E16" s="494">
        <f>+C16+23482</f>
        <v>-27310.00000000003</v>
      </c>
      <c r="F16" s="491">
        <f>+Jihlava!F17</f>
        <v>176913</v>
      </c>
      <c r="G16" s="492">
        <f>+Jihlava!K17</f>
        <v>170410</v>
      </c>
      <c r="H16" s="492">
        <f t="shared" si="1"/>
        <v>-6503</v>
      </c>
      <c r="I16" s="493">
        <f t="shared" si="2"/>
        <v>0.9632418194253672</v>
      </c>
    </row>
    <row r="17" spans="1:9" ht="17.25" customHeight="1">
      <c r="A17" s="899" t="s">
        <v>266</v>
      </c>
      <c r="B17" s="895">
        <f>+Pelhřimov!K38</f>
        <v>-30390.309999999998</v>
      </c>
      <c r="C17" s="487">
        <f>+B17-E7</f>
        <v>-46640.31</v>
      </c>
      <c r="D17" s="512">
        <f>+E7/B7</f>
        <v>0.5</v>
      </c>
      <c r="E17" s="494">
        <f>+C17</f>
        <v>-46640.31</v>
      </c>
      <c r="F17" s="491">
        <f>+Pelhřimov!F18</f>
        <v>101861</v>
      </c>
      <c r="G17" s="492">
        <f>+Pelhřimov!K18</f>
        <v>103000</v>
      </c>
      <c r="H17" s="492">
        <f t="shared" si="1"/>
        <v>1139</v>
      </c>
      <c r="I17" s="493">
        <f t="shared" si="2"/>
        <v>1.011181904752555</v>
      </c>
    </row>
    <row r="18" spans="1:9" ht="17.25" customHeight="1">
      <c r="A18" s="899" t="s">
        <v>267</v>
      </c>
      <c r="B18" s="895">
        <f>+Třebíč!I37</f>
        <v>-38825.03200000001</v>
      </c>
      <c r="C18" s="487">
        <f>+B18-E8</f>
        <v>-38825.03200000001</v>
      </c>
      <c r="D18" s="512">
        <f>+E8/B8</f>
        <v>0</v>
      </c>
      <c r="E18" s="494">
        <f>+C18</f>
        <v>-38825.03200000001</v>
      </c>
      <c r="F18" s="491">
        <f>+Třebíč!F18</f>
        <v>119646</v>
      </c>
      <c r="G18" s="492">
        <f>+Třebíč!K18</f>
        <v>128572.14199999999</v>
      </c>
      <c r="H18" s="492">
        <f t="shared" si="1"/>
        <v>8926.141999999993</v>
      </c>
      <c r="I18" s="493">
        <f t="shared" si="2"/>
        <v>1.0746046002373668</v>
      </c>
    </row>
    <row r="19" spans="1:9" ht="25.5" customHeight="1" thickBot="1">
      <c r="A19" s="900" t="s">
        <v>268</v>
      </c>
      <c r="B19" s="896">
        <f>+'N.Město'!I36</f>
        <v>-9972</v>
      </c>
      <c r="C19" s="487">
        <f>+B19-E9</f>
        <v>-27672</v>
      </c>
      <c r="D19" s="513">
        <f>+E9/B9</f>
        <v>0.4957983193277311</v>
      </c>
      <c r="E19" s="499">
        <f>+C19</f>
        <v>-27672</v>
      </c>
      <c r="F19" s="496">
        <f>+'N.Město'!F17</f>
        <v>129308</v>
      </c>
      <c r="G19" s="497">
        <f>+'N.Město'!K17</f>
        <v>128000</v>
      </c>
      <c r="H19" s="497">
        <f t="shared" si="1"/>
        <v>-1308</v>
      </c>
      <c r="I19" s="498">
        <f t="shared" si="2"/>
        <v>0.9898846165743805</v>
      </c>
    </row>
    <row r="20" spans="1:9" ht="17.25" customHeight="1" thickBot="1">
      <c r="A20" s="901" t="s">
        <v>4</v>
      </c>
      <c r="B20" s="897">
        <f>SUM(B15:B19)</f>
        <v>-124762.58627000003</v>
      </c>
      <c r="C20" s="502">
        <f>SUM(C15:C19)</f>
        <v>-199494.34200000003</v>
      </c>
      <c r="D20" s="514">
        <f>+E10/B10</f>
        <v>0.4151764207222223</v>
      </c>
      <c r="E20" s="504">
        <f>SUM(E15:E19)</f>
        <v>-176012.34200000003</v>
      </c>
      <c r="F20" s="501">
        <f>SUM(F15:F19)</f>
        <v>681183.55</v>
      </c>
      <c r="G20" s="502">
        <f>SUM(G15:G19)</f>
        <v>686048.142</v>
      </c>
      <c r="H20" s="502">
        <f t="shared" si="1"/>
        <v>4864.591999999946</v>
      </c>
      <c r="I20" s="503">
        <f t="shared" si="2"/>
        <v>1.007141382084168</v>
      </c>
    </row>
    <row r="21" ht="4.5" customHeight="1" thickBot="1"/>
    <row r="22" spans="1:9" ht="13.5" customHeight="1" hidden="1">
      <c r="A22" s="1232"/>
      <c r="B22" s="1233"/>
      <c r="C22" s="1233"/>
      <c r="D22" s="1233"/>
      <c r="E22" s="1233"/>
      <c r="F22" s="1233"/>
      <c r="G22" s="1233"/>
      <c r="H22" s="1233"/>
      <c r="I22" s="1234"/>
    </row>
    <row r="23" spans="1:9" ht="13.5" customHeight="1" hidden="1">
      <c r="A23" s="1235"/>
      <c r="B23" s="1236"/>
      <c r="C23" s="1236"/>
      <c r="D23" s="1236"/>
      <c r="E23" s="1236"/>
      <c r="F23" s="1236"/>
      <c r="G23" s="1236"/>
      <c r="H23" s="1236"/>
      <c r="I23" s="1237"/>
    </row>
    <row r="24" spans="1:9" ht="13.5" customHeight="1" hidden="1">
      <c r="A24" s="1235"/>
      <c r="B24" s="1236"/>
      <c r="C24" s="1236"/>
      <c r="D24" s="1236"/>
      <c r="E24" s="1236"/>
      <c r="F24" s="1236"/>
      <c r="G24" s="1236"/>
      <c r="H24" s="1236"/>
      <c r="I24" s="1237"/>
    </row>
    <row r="25" spans="1:9" ht="13.5" customHeight="1" hidden="1">
      <c r="A25" s="1235"/>
      <c r="B25" s="1236"/>
      <c r="C25" s="1236"/>
      <c r="D25" s="1236"/>
      <c r="E25" s="1236"/>
      <c r="F25" s="1236"/>
      <c r="G25" s="1236"/>
      <c r="H25" s="1236"/>
      <c r="I25" s="1237"/>
    </row>
    <row r="26" spans="1:9" ht="13.5" customHeight="1" hidden="1">
      <c r="A26" s="1235"/>
      <c r="B26" s="1236"/>
      <c r="C26" s="1236"/>
      <c r="D26" s="1236"/>
      <c r="E26" s="1236"/>
      <c r="F26" s="1236"/>
      <c r="G26" s="1236"/>
      <c r="H26" s="1236"/>
      <c r="I26" s="1237"/>
    </row>
    <row r="27" spans="1:9" ht="13.5" customHeight="1" hidden="1">
      <c r="A27" s="1235"/>
      <c r="B27" s="1236"/>
      <c r="C27" s="1236"/>
      <c r="D27" s="1236"/>
      <c r="E27" s="1236"/>
      <c r="F27" s="1236"/>
      <c r="G27" s="1236"/>
      <c r="H27" s="1236"/>
      <c r="I27" s="1237"/>
    </row>
    <row r="28" spans="1:9" ht="9.75" customHeight="1" hidden="1">
      <c r="A28" s="1227"/>
      <c r="B28" s="1228"/>
      <c r="C28" s="1228"/>
      <c r="D28" s="1228"/>
      <c r="E28" s="1228"/>
      <c r="F28" s="1228"/>
      <c r="G28" s="1228"/>
      <c r="H28" s="1228"/>
      <c r="I28" s="1229"/>
    </row>
    <row r="29" ht="9" customHeight="1" hidden="1" thickBot="1"/>
    <row r="30" spans="1:9" s="505" customFormat="1" ht="14.25" customHeight="1">
      <c r="A30" s="1218" t="s">
        <v>269</v>
      </c>
      <c r="B30" s="1217" t="s">
        <v>270</v>
      </c>
      <c r="C30" s="1223"/>
      <c r="D30" s="1223"/>
      <c r="E30" s="1224"/>
      <c r="F30" s="1217" t="s">
        <v>272</v>
      </c>
      <c r="G30" s="1223"/>
      <c r="H30" s="1223"/>
      <c r="I30" s="1224"/>
    </row>
    <row r="31" spans="1:9" s="505" customFormat="1" ht="15" customHeight="1" thickBot="1">
      <c r="A31" s="1215"/>
      <c r="B31" s="510">
        <v>2006</v>
      </c>
      <c r="C31" s="508">
        <v>2007</v>
      </c>
      <c r="D31" s="509" t="s">
        <v>7</v>
      </c>
      <c r="E31" s="511" t="s">
        <v>48</v>
      </c>
      <c r="F31" s="510">
        <v>2006</v>
      </c>
      <c r="G31" s="508">
        <v>2007</v>
      </c>
      <c r="H31" s="509" t="s">
        <v>7</v>
      </c>
      <c r="I31" s="511" t="s">
        <v>48</v>
      </c>
    </row>
    <row r="32" spans="1:9" s="489" customFormat="1" ht="17.25" customHeight="1">
      <c r="A32" s="485" t="s">
        <v>264</v>
      </c>
      <c r="B32" s="486">
        <f>+'H.Brod'!F19</f>
        <v>21447.79</v>
      </c>
      <c r="C32" s="487">
        <f>+'H.Brod'!K19</f>
        <v>21300</v>
      </c>
      <c r="D32" s="492">
        <f aca="true" t="shared" si="3" ref="D32:D37">+C32-B32</f>
        <v>-147.79000000000087</v>
      </c>
      <c r="E32" s="493">
        <f aca="true" t="shared" si="4" ref="E32:E37">+C32/B32</f>
        <v>0.9931093133604907</v>
      </c>
      <c r="F32" s="486">
        <f>+'H.Brod'!F33</f>
        <v>2187.45</v>
      </c>
      <c r="G32" s="487">
        <f>+'H.Brod'!K33</f>
        <v>3454</v>
      </c>
      <c r="H32" s="492">
        <f aca="true" t="shared" si="5" ref="H32:H37">+G32-F32</f>
        <v>1266.5500000000002</v>
      </c>
      <c r="I32" s="493">
        <f aca="true" t="shared" si="6" ref="I32:I37">+G32/F32</f>
        <v>1.5790075201718898</v>
      </c>
    </row>
    <row r="33" spans="1:9" s="489" customFormat="1" ht="17.25" customHeight="1">
      <c r="A33" s="490" t="s">
        <v>265</v>
      </c>
      <c r="B33" s="491">
        <f>+Jihlava!C19+Jihlava!C20</f>
        <v>30916</v>
      </c>
      <c r="C33" s="492">
        <f>+Jihlava!K19+Jihlava!K20</f>
        <v>33300</v>
      </c>
      <c r="D33" s="492">
        <f t="shared" si="3"/>
        <v>2384</v>
      </c>
      <c r="E33" s="493">
        <f t="shared" si="4"/>
        <v>1.077112174925605</v>
      </c>
      <c r="F33" s="491">
        <f>+Jihlava!F33</f>
        <v>1729</v>
      </c>
      <c r="G33" s="492">
        <f>+Jihlava!K33</f>
        <v>2200</v>
      </c>
      <c r="H33" s="492">
        <f t="shared" si="5"/>
        <v>471</v>
      </c>
      <c r="I33" s="493">
        <f t="shared" si="6"/>
        <v>1.2724117987275883</v>
      </c>
    </row>
    <row r="34" spans="1:9" s="489" customFormat="1" ht="17.25" customHeight="1">
      <c r="A34" s="490" t="s">
        <v>266</v>
      </c>
      <c r="B34" s="491">
        <f>+Pelhřimov!F20</f>
        <v>18701</v>
      </c>
      <c r="C34" s="492">
        <f>+Pelhřimov!K20</f>
        <v>20000</v>
      </c>
      <c r="D34" s="492">
        <f t="shared" si="3"/>
        <v>1299</v>
      </c>
      <c r="E34" s="493">
        <f t="shared" si="4"/>
        <v>1.0694615261215978</v>
      </c>
      <c r="F34" s="491">
        <f>+Pelhřimov!F34</f>
        <v>2346</v>
      </c>
      <c r="G34" s="492">
        <f>+Pelhřimov!K34</f>
        <v>3000</v>
      </c>
      <c r="H34" s="492">
        <f t="shared" si="5"/>
        <v>654</v>
      </c>
      <c r="I34" s="493">
        <f t="shared" si="6"/>
        <v>1.278772378516624</v>
      </c>
    </row>
    <row r="35" spans="1:9" s="489" customFormat="1" ht="17.25" customHeight="1">
      <c r="A35" s="490" t="s">
        <v>267</v>
      </c>
      <c r="B35" s="491">
        <f>+Třebíč!F20</f>
        <v>24250</v>
      </c>
      <c r="C35" s="492">
        <f>+Třebíč!K20</f>
        <v>28300</v>
      </c>
      <c r="D35" s="492">
        <f t="shared" si="3"/>
        <v>4050</v>
      </c>
      <c r="E35" s="493">
        <f t="shared" si="4"/>
        <v>1.1670103092783506</v>
      </c>
      <c r="F35" s="491">
        <f>+Třebíč!F34</f>
        <v>451</v>
      </c>
      <c r="G35" s="492">
        <f>+Třebíč!K34</f>
        <v>6683</v>
      </c>
      <c r="H35" s="492">
        <f t="shared" si="5"/>
        <v>6232</v>
      </c>
      <c r="I35" s="493">
        <f t="shared" si="6"/>
        <v>14.818181818181818</v>
      </c>
    </row>
    <row r="36" spans="1:9" s="489" customFormat="1" ht="31.5" customHeight="1" thickBot="1">
      <c r="A36" s="495" t="s">
        <v>268</v>
      </c>
      <c r="B36" s="496">
        <f>+('N.Město'!F19+'N.Město'!F20)</f>
        <v>24717</v>
      </c>
      <c r="C36" s="497">
        <f>+('N.Město'!K19+'N.Město'!K20)</f>
        <v>24750</v>
      </c>
      <c r="D36" s="497">
        <f t="shared" si="3"/>
        <v>33</v>
      </c>
      <c r="E36" s="498">
        <f t="shared" si="4"/>
        <v>1.0013351134846462</v>
      </c>
      <c r="F36" s="496">
        <f>+'N.Město'!F33</f>
        <v>4400</v>
      </c>
      <c r="G36" s="497">
        <f>+'N.Město'!K33</f>
        <v>6704</v>
      </c>
      <c r="H36" s="497">
        <f t="shared" si="5"/>
        <v>2304</v>
      </c>
      <c r="I36" s="498">
        <f t="shared" si="6"/>
        <v>1.5236363636363637</v>
      </c>
    </row>
    <row r="37" spans="1:9" s="505" customFormat="1" ht="22.5" customHeight="1" thickBot="1">
      <c r="A37" s="500" t="s">
        <v>4</v>
      </c>
      <c r="B37" s="501">
        <f>SUM(B32:B36)</f>
        <v>120031.79000000001</v>
      </c>
      <c r="C37" s="502">
        <f>SUM(C32:C36)</f>
        <v>127650</v>
      </c>
      <c r="D37" s="502">
        <f t="shared" si="3"/>
        <v>7618.209999999992</v>
      </c>
      <c r="E37" s="503">
        <f t="shared" si="4"/>
        <v>1.06346826953093</v>
      </c>
      <c r="F37" s="501">
        <f>SUM(F32:F36)</f>
        <v>11113.45</v>
      </c>
      <c r="G37" s="502">
        <f>SUM(G32:G36)</f>
        <v>22041</v>
      </c>
      <c r="H37" s="502">
        <f t="shared" si="5"/>
        <v>10927.55</v>
      </c>
      <c r="I37" s="503">
        <f t="shared" si="6"/>
        <v>1.9832725211343012</v>
      </c>
    </row>
    <row r="38" ht="15.75" customHeight="1" thickBot="1"/>
    <row r="39" spans="1:9" ht="15.75" customHeight="1" hidden="1">
      <c r="A39" s="1230"/>
      <c r="B39" s="1233"/>
      <c r="C39" s="1233"/>
      <c r="D39" s="1233"/>
      <c r="E39" s="1233"/>
      <c r="F39" s="1233"/>
      <c r="G39" s="1233"/>
      <c r="H39" s="1233"/>
      <c r="I39" s="1234"/>
    </row>
    <row r="40" spans="1:9" ht="15.75" customHeight="1" hidden="1">
      <c r="A40" s="1235"/>
      <c r="B40" s="1236"/>
      <c r="C40" s="1236"/>
      <c r="D40" s="1236"/>
      <c r="E40" s="1236"/>
      <c r="F40" s="1236"/>
      <c r="G40" s="1236"/>
      <c r="H40" s="1236"/>
      <c r="I40" s="1237"/>
    </row>
    <row r="41" spans="1:9" ht="15.75" customHeight="1" hidden="1">
      <c r="A41" s="1227"/>
      <c r="B41" s="1228"/>
      <c r="C41" s="1228"/>
      <c r="D41" s="1228"/>
      <c r="E41" s="1228"/>
      <c r="F41" s="1228"/>
      <c r="G41" s="1228"/>
      <c r="H41" s="1228"/>
      <c r="I41" s="1229"/>
    </row>
    <row r="42" ht="11.25" customHeight="1" hidden="1" thickBot="1"/>
    <row r="43" spans="1:9" s="505" customFormat="1" ht="18.75" customHeight="1">
      <c r="A43" s="1225" t="s">
        <v>269</v>
      </c>
      <c r="B43" s="1220" t="s">
        <v>390</v>
      </c>
      <c r="C43" s="1223"/>
      <c r="D43" s="1223"/>
      <c r="E43" s="1224"/>
      <c r="F43" s="1231" t="s">
        <v>646</v>
      </c>
      <c r="G43" s="1223"/>
      <c r="H43" s="1223"/>
      <c r="I43" s="1224"/>
    </row>
    <row r="44" spans="1:9" s="505" customFormat="1" ht="15.75" customHeight="1" thickBot="1">
      <c r="A44" s="1219"/>
      <c r="B44" s="1125">
        <v>2006</v>
      </c>
      <c r="C44" s="508">
        <v>2007</v>
      </c>
      <c r="D44" s="509" t="s">
        <v>7</v>
      </c>
      <c r="E44" s="511" t="s">
        <v>48</v>
      </c>
      <c r="F44" s="510">
        <v>2006</v>
      </c>
      <c r="G44" s="508">
        <v>2007</v>
      </c>
      <c r="H44" s="509" t="s">
        <v>7</v>
      </c>
      <c r="I44" s="511" t="s">
        <v>48</v>
      </c>
    </row>
    <row r="45" spans="1:9" s="489" customFormat="1" ht="18.75" customHeight="1">
      <c r="A45" s="898" t="s">
        <v>264</v>
      </c>
      <c r="B45" s="894">
        <f>+'H.Brod'!F25</f>
        <v>329554</v>
      </c>
      <c r="C45" s="487">
        <f>+'H.Brod'!K25</f>
        <v>354000</v>
      </c>
      <c r="D45" s="492">
        <f>+C45-B45</f>
        <v>24446</v>
      </c>
      <c r="E45" s="493">
        <f aca="true" t="shared" si="7" ref="E45:E50">+C45/B45</f>
        <v>1.074179041977946</v>
      </c>
      <c r="F45" s="487">
        <f>+'H.Brod'!F21</f>
        <v>49726.96</v>
      </c>
      <c r="G45" s="487">
        <f>+'H.Brod'!K21</f>
        <v>48000</v>
      </c>
      <c r="H45" s="492">
        <f>+G45-F45</f>
        <v>-1726.9599999999991</v>
      </c>
      <c r="I45" s="493">
        <f aca="true" t="shared" si="8" ref="I45:I50">+G45/F45</f>
        <v>0.9652711527107227</v>
      </c>
    </row>
    <row r="46" spans="1:9" s="489" customFormat="1" ht="18.75" customHeight="1">
      <c r="A46" s="899" t="s">
        <v>265</v>
      </c>
      <c r="B46" s="895">
        <f>+Jihlava!F25</f>
        <v>382742</v>
      </c>
      <c r="C46" s="492">
        <f>+Jihlava!K25</f>
        <v>418456</v>
      </c>
      <c r="D46" s="492">
        <f>+C46-B46</f>
        <v>35714</v>
      </c>
      <c r="E46" s="493">
        <f t="shared" si="7"/>
        <v>1.0933108987255122</v>
      </c>
      <c r="F46" s="492">
        <f>+Jihlava!F21</f>
        <v>83416</v>
      </c>
      <c r="G46" s="492">
        <f>+Jihlava!K21</f>
        <v>83000</v>
      </c>
      <c r="H46" s="492">
        <f>+G46-F46</f>
        <v>-416</v>
      </c>
      <c r="I46" s="493">
        <f t="shared" si="8"/>
        <v>0.9950129471564209</v>
      </c>
    </row>
    <row r="47" spans="1:9" s="489" customFormat="1" ht="18.75" customHeight="1">
      <c r="A47" s="899" t="s">
        <v>266</v>
      </c>
      <c r="B47" s="895">
        <f>+Pelhřimov!F26</f>
        <v>220563</v>
      </c>
      <c r="C47" s="492">
        <f>+Pelhřimov!K26</f>
        <v>236000.31</v>
      </c>
      <c r="D47" s="492">
        <f>+C47-B47</f>
        <v>15437.309999999998</v>
      </c>
      <c r="E47" s="493">
        <f t="shared" si="7"/>
        <v>1.0699904789107875</v>
      </c>
      <c r="F47" s="492">
        <f>+Pelhřimov!F22</f>
        <v>43138</v>
      </c>
      <c r="G47" s="492">
        <f>+Pelhřimov!K22</f>
        <v>43000</v>
      </c>
      <c r="H47" s="492">
        <f>+G47-F47</f>
        <v>-138</v>
      </c>
      <c r="I47" s="493">
        <f t="shared" si="8"/>
        <v>0.9968009643469795</v>
      </c>
    </row>
    <row r="48" spans="1:9" s="489" customFormat="1" ht="18.75" customHeight="1">
      <c r="A48" s="899" t="s">
        <v>267</v>
      </c>
      <c r="B48" s="895">
        <f>+Třebíč!F26</f>
        <v>307016</v>
      </c>
      <c r="C48" s="492">
        <f>+Třebíč!K26</f>
        <v>336680.951</v>
      </c>
      <c r="D48" s="492">
        <f>+C48-B48</f>
        <v>29664.951</v>
      </c>
      <c r="E48" s="493">
        <f t="shared" si="7"/>
        <v>1.096623469135159</v>
      </c>
      <c r="F48" s="492">
        <f>+Třebíč!F22</f>
        <v>34984</v>
      </c>
      <c r="G48" s="492">
        <f>+Třebíč!K22</f>
        <v>36500</v>
      </c>
      <c r="H48" s="492">
        <f>+G48-F48</f>
        <v>1516</v>
      </c>
      <c r="I48" s="493">
        <f t="shared" si="8"/>
        <v>1.0433340955865538</v>
      </c>
    </row>
    <row r="49" spans="1:9" s="489" customFormat="1" ht="27" customHeight="1" thickBot="1">
      <c r="A49" s="900" t="s">
        <v>268</v>
      </c>
      <c r="B49" s="896">
        <f>+'N.Město'!F25</f>
        <v>305450</v>
      </c>
      <c r="C49" s="497">
        <f>+'N.Město'!K25</f>
        <v>328658</v>
      </c>
      <c r="D49" s="492">
        <f>+C49-B49</f>
        <v>23208</v>
      </c>
      <c r="E49" s="493">
        <f t="shared" si="7"/>
        <v>1.0759797020789</v>
      </c>
      <c r="F49" s="497">
        <f>+'N.Město'!F21</f>
        <v>46003</v>
      </c>
      <c r="G49" s="497">
        <f>+'N.Město'!K21</f>
        <v>51984</v>
      </c>
      <c r="H49" s="492">
        <f>+G49-F49</f>
        <v>5981</v>
      </c>
      <c r="I49" s="493">
        <f t="shared" si="8"/>
        <v>1.1300132600047823</v>
      </c>
    </row>
    <row r="50" spans="1:9" s="505" customFormat="1" ht="22.5" customHeight="1" thickBot="1">
      <c r="A50" s="901" t="s">
        <v>4</v>
      </c>
      <c r="B50" s="897">
        <f>SUM(B45:B49)</f>
        <v>1545325</v>
      </c>
      <c r="C50" s="502">
        <f>SUM(C45:C49)</f>
        <v>1673795.261</v>
      </c>
      <c r="D50" s="502">
        <f>SUM(D45:D49)</f>
        <v>128470.261</v>
      </c>
      <c r="E50" s="503">
        <f t="shared" si="7"/>
        <v>1.0831347845922379</v>
      </c>
      <c r="F50" s="897">
        <f>SUM(F45:F49)</f>
        <v>257267.96</v>
      </c>
      <c r="G50" s="502">
        <f>SUM(G45:G49)</f>
        <v>262484</v>
      </c>
      <c r="H50" s="502">
        <f>SUM(H45:H49)</f>
        <v>5216.040000000001</v>
      </c>
      <c r="I50" s="503">
        <f t="shared" si="8"/>
        <v>1.020274736115605</v>
      </c>
    </row>
    <row r="51" ht="16.5" customHeight="1" thickBot="1"/>
    <row r="52" spans="1:9" ht="13.5" customHeight="1" hidden="1">
      <c r="A52" s="1232"/>
      <c r="B52" s="1233"/>
      <c r="C52" s="1233"/>
      <c r="D52" s="1233"/>
      <c r="E52" s="1233"/>
      <c r="F52" s="1233"/>
      <c r="G52" s="1233"/>
      <c r="H52" s="1233"/>
      <c r="I52" s="1234"/>
    </row>
    <row r="53" spans="1:9" ht="13.5" customHeight="1" hidden="1">
      <c r="A53" s="1235"/>
      <c r="B53" s="1236"/>
      <c r="C53" s="1236"/>
      <c r="D53" s="1236"/>
      <c r="E53" s="1236"/>
      <c r="F53" s="1236"/>
      <c r="G53" s="1236"/>
      <c r="H53" s="1236"/>
      <c r="I53" s="1237"/>
    </row>
    <row r="54" spans="1:9" ht="9.75" customHeight="1" hidden="1">
      <c r="A54" s="1227"/>
      <c r="B54" s="1228"/>
      <c r="C54" s="1228"/>
      <c r="D54" s="1228"/>
      <c r="E54" s="1228"/>
      <c r="F54" s="1228"/>
      <c r="G54" s="1228"/>
      <c r="H54" s="1228"/>
      <c r="I54" s="1229"/>
    </row>
    <row r="55" ht="13.5" hidden="1" thickBot="1"/>
    <row r="56" spans="1:9" s="505" customFormat="1" ht="18.75" customHeight="1">
      <c r="A56" s="1221" t="s">
        <v>269</v>
      </c>
      <c r="B56" s="1217" t="s">
        <v>273</v>
      </c>
      <c r="C56" s="1223"/>
      <c r="D56" s="1223"/>
      <c r="E56" s="1224"/>
      <c r="F56" s="1231" t="s">
        <v>274</v>
      </c>
      <c r="G56" s="1223"/>
      <c r="H56" s="1223"/>
      <c r="I56" s="1224"/>
    </row>
    <row r="57" spans="1:9" s="505" customFormat="1" ht="15.75" customHeight="1" thickBot="1">
      <c r="A57" s="1222"/>
      <c r="B57" s="510">
        <v>2006</v>
      </c>
      <c r="C57" s="508">
        <v>2007</v>
      </c>
      <c r="D57" s="509" t="s">
        <v>7</v>
      </c>
      <c r="E57" s="511" t="s">
        <v>48</v>
      </c>
      <c r="F57" s="510">
        <v>2006</v>
      </c>
      <c r="G57" s="508">
        <v>2007</v>
      </c>
      <c r="H57" s="509" t="s">
        <v>7</v>
      </c>
      <c r="I57" s="511" t="s">
        <v>48</v>
      </c>
    </row>
    <row r="58" spans="1:9" s="489" customFormat="1" ht="18.75" customHeight="1">
      <c r="A58" s="532" t="s">
        <v>264</v>
      </c>
      <c r="B58" s="486">
        <f>+'H.Brod'!F8</f>
        <v>520574</v>
      </c>
      <c r="C58" s="487">
        <f>+'H.Brod'!K8</f>
        <v>535750</v>
      </c>
      <c r="D58" s="492">
        <f aca="true" t="shared" si="9" ref="D58:D63">+C58-B58</f>
        <v>15176</v>
      </c>
      <c r="E58" s="493">
        <f aca="true" t="shared" si="10" ref="E58:E63">+C58/B58</f>
        <v>1.0291524355807244</v>
      </c>
      <c r="F58" s="487">
        <f>+'H.Brod'!F9</f>
        <v>58668</v>
      </c>
      <c r="G58" s="487">
        <f>+'H.Brod'!K9</f>
        <v>55000</v>
      </c>
      <c r="H58" s="492">
        <f aca="true" t="shared" si="11" ref="H58:H63">+G58-F58</f>
        <v>-3668</v>
      </c>
      <c r="I58" s="493">
        <f aca="true" t="shared" si="12" ref="I58:I63">+G58/F58</f>
        <v>0.9374786936660531</v>
      </c>
    </row>
    <row r="59" spans="1:9" s="489" customFormat="1" ht="18.75" customHeight="1">
      <c r="A59" s="533" t="s">
        <v>265</v>
      </c>
      <c r="B59" s="491">
        <f>+Jihlava!F8</f>
        <v>635581</v>
      </c>
      <c r="C59" s="492">
        <f>+Jihlava!K8</f>
        <v>660410</v>
      </c>
      <c r="D59" s="492">
        <f t="shared" si="9"/>
        <v>24829</v>
      </c>
      <c r="E59" s="493">
        <f t="shared" si="10"/>
        <v>1.039065044423921</v>
      </c>
      <c r="F59" s="492">
        <f>+Jihlava!F9</f>
        <v>98220</v>
      </c>
      <c r="G59" s="492">
        <f>+Jihlava!K9</f>
        <v>98511</v>
      </c>
      <c r="H59" s="492">
        <f t="shared" si="11"/>
        <v>291</v>
      </c>
      <c r="I59" s="493">
        <f t="shared" si="12"/>
        <v>1.0029627367135003</v>
      </c>
    </row>
    <row r="60" spans="1:9" s="489" customFormat="1" ht="18.75" customHeight="1">
      <c r="A60" s="533" t="s">
        <v>266</v>
      </c>
      <c r="B60" s="491">
        <f>+Pelhřimov!F8</f>
        <v>347407</v>
      </c>
      <c r="C60" s="492">
        <f>+Pelhřimov!K8</f>
        <v>355600</v>
      </c>
      <c r="D60" s="492">
        <f t="shared" si="9"/>
        <v>8193</v>
      </c>
      <c r="E60" s="493">
        <f t="shared" si="10"/>
        <v>1.023583289916438</v>
      </c>
      <c r="F60" s="492">
        <f>+Pelhřimov!F9</f>
        <v>50856</v>
      </c>
      <c r="G60" s="492">
        <f>+Pelhřimov!K9</f>
        <v>51000</v>
      </c>
      <c r="H60" s="492">
        <f t="shared" si="11"/>
        <v>144</v>
      </c>
      <c r="I60" s="493">
        <f t="shared" si="12"/>
        <v>1.002831524303917</v>
      </c>
    </row>
    <row r="61" spans="1:9" s="489" customFormat="1" ht="18.75" customHeight="1">
      <c r="A61" s="533" t="s">
        <v>267</v>
      </c>
      <c r="B61" s="491">
        <f>+Třebíč!F9</f>
        <v>519150</v>
      </c>
      <c r="C61" s="492">
        <f>+Třebíč!K9</f>
        <v>533875</v>
      </c>
      <c r="D61" s="492">
        <f t="shared" si="9"/>
        <v>14725</v>
      </c>
      <c r="E61" s="493">
        <f t="shared" si="10"/>
        <v>1.0283636713859192</v>
      </c>
      <c r="F61" s="492">
        <f>+Třebíč!F10</f>
        <v>41398</v>
      </c>
      <c r="G61" s="492">
        <f>+Třebíč!K10</f>
        <v>43900</v>
      </c>
      <c r="H61" s="492">
        <f t="shared" si="11"/>
        <v>2502</v>
      </c>
      <c r="I61" s="493">
        <f t="shared" si="12"/>
        <v>1.060437702304459</v>
      </c>
    </row>
    <row r="62" spans="1:9" s="489" customFormat="1" ht="27" customHeight="1" thickBot="1">
      <c r="A62" s="534" t="s">
        <v>268</v>
      </c>
      <c r="B62" s="496">
        <f>+'N.Město'!F8</f>
        <v>485813</v>
      </c>
      <c r="C62" s="497">
        <f>+'N.Město'!K8</f>
        <v>505000</v>
      </c>
      <c r="D62" s="497">
        <f t="shared" si="9"/>
        <v>19187</v>
      </c>
      <c r="E62" s="498">
        <f t="shared" si="10"/>
        <v>1.039494620358039</v>
      </c>
      <c r="F62" s="497">
        <f>+'N.Město'!F9</f>
        <v>55200</v>
      </c>
      <c r="G62" s="497">
        <f>+'N.Město'!K9</f>
        <v>60000</v>
      </c>
      <c r="H62" s="497">
        <f>+G62-F62</f>
        <v>4800</v>
      </c>
      <c r="I62" s="498">
        <f t="shared" si="12"/>
        <v>1.0869565217391304</v>
      </c>
    </row>
    <row r="63" spans="1:9" s="505" customFormat="1" ht="22.5" customHeight="1" thickBot="1">
      <c r="A63" s="535" t="s">
        <v>4</v>
      </c>
      <c r="B63" s="501">
        <f>SUM(B58:B62)</f>
        <v>2508525</v>
      </c>
      <c r="C63" s="502">
        <f>SUM(C58:C62)</f>
        <v>2590635</v>
      </c>
      <c r="D63" s="502">
        <f t="shared" si="9"/>
        <v>82110</v>
      </c>
      <c r="E63" s="503">
        <f t="shared" si="10"/>
        <v>1.0327323825754178</v>
      </c>
      <c r="F63" s="502">
        <f>SUM(F58:F62)</f>
        <v>304342</v>
      </c>
      <c r="G63" s="502">
        <f>SUM(G58:G62)</f>
        <v>308411</v>
      </c>
      <c r="H63" s="502">
        <f t="shared" si="11"/>
        <v>4069</v>
      </c>
      <c r="I63" s="503">
        <f t="shared" si="12"/>
        <v>1.0133698273652667</v>
      </c>
    </row>
    <row r="64" ht="12.75">
      <c r="A64" s="592"/>
    </row>
    <row r="65" spans="1:9" ht="12.75" hidden="1">
      <c r="A65" s="1232"/>
      <c r="B65" s="1233"/>
      <c r="C65" s="1233"/>
      <c r="D65" s="1233"/>
      <c r="E65" s="1233"/>
      <c r="F65" s="1233"/>
      <c r="G65" s="1233"/>
      <c r="H65" s="1233"/>
      <c r="I65" s="1234"/>
    </row>
    <row r="66" spans="1:9" ht="12.75" hidden="1">
      <c r="A66" s="1235"/>
      <c r="B66" s="1236"/>
      <c r="C66" s="1236"/>
      <c r="D66" s="1236"/>
      <c r="E66" s="1236"/>
      <c r="F66" s="1236"/>
      <c r="G66" s="1236"/>
      <c r="H66" s="1236"/>
      <c r="I66" s="1237"/>
    </row>
    <row r="67" spans="1:9" ht="12.75" hidden="1">
      <c r="A67" s="1235"/>
      <c r="B67" s="1236"/>
      <c r="C67" s="1236"/>
      <c r="D67" s="1236"/>
      <c r="E67" s="1236"/>
      <c r="F67" s="1236"/>
      <c r="G67" s="1236"/>
      <c r="H67" s="1236"/>
      <c r="I67" s="1237"/>
    </row>
    <row r="68" spans="1:9" ht="12.75" hidden="1">
      <c r="A68" s="1235"/>
      <c r="B68" s="1236"/>
      <c r="C68" s="1236"/>
      <c r="D68" s="1236"/>
      <c r="E68" s="1236"/>
      <c r="F68" s="1236"/>
      <c r="G68" s="1236"/>
      <c r="H68" s="1236"/>
      <c r="I68" s="1237"/>
    </row>
    <row r="69" spans="1:9" ht="12.75" hidden="1">
      <c r="A69" s="1235"/>
      <c r="B69" s="1236"/>
      <c r="C69" s="1236"/>
      <c r="D69" s="1236"/>
      <c r="E69" s="1236"/>
      <c r="F69" s="1236"/>
      <c r="G69" s="1236"/>
      <c r="H69" s="1236"/>
      <c r="I69" s="1237"/>
    </row>
    <row r="70" spans="1:9" ht="12.75" hidden="1">
      <c r="A70" s="1235"/>
      <c r="B70" s="1236"/>
      <c r="C70" s="1236"/>
      <c r="D70" s="1236"/>
      <c r="E70" s="1236"/>
      <c r="F70" s="1236"/>
      <c r="G70" s="1236"/>
      <c r="H70" s="1236"/>
      <c r="I70" s="1237"/>
    </row>
    <row r="71" spans="1:9" ht="12.75" hidden="1">
      <c r="A71" s="1235"/>
      <c r="B71" s="1236"/>
      <c r="C71" s="1236"/>
      <c r="D71" s="1236"/>
      <c r="E71" s="1236"/>
      <c r="F71" s="1236"/>
      <c r="G71" s="1236"/>
      <c r="H71" s="1236"/>
      <c r="I71" s="1237"/>
    </row>
    <row r="72" spans="1:9" ht="12.75" hidden="1">
      <c r="A72" s="1226"/>
      <c r="B72" s="1236"/>
      <c r="C72" s="1236"/>
      <c r="D72" s="1236"/>
      <c r="E72" s="1236"/>
      <c r="F72" s="1236"/>
      <c r="G72" s="1236"/>
      <c r="H72" s="1236"/>
      <c r="I72" s="1237"/>
    </row>
    <row r="73" spans="1:9" ht="12.75" hidden="1">
      <c r="A73" s="1235"/>
      <c r="B73" s="1236"/>
      <c r="C73" s="1236"/>
      <c r="D73" s="1236"/>
      <c r="E73" s="1236"/>
      <c r="F73" s="1236"/>
      <c r="G73" s="1236"/>
      <c r="H73" s="1236"/>
      <c r="I73" s="1237"/>
    </row>
    <row r="74" spans="1:9" ht="12.75" hidden="1">
      <c r="A74" s="1227"/>
      <c r="B74" s="1228"/>
      <c r="C74" s="1228"/>
      <c r="D74" s="1228"/>
      <c r="E74" s="1228"/>
      <c r="F74" s="1228"/>
      <c r="G74" s="1228"/>
      <c r="H74" s="1228"/>
      <c r="I74" s="1229"/>
    </row>
    <row r="75" ht="12.75" hidden="1"/>
  </sheetData>
  <mergeCells count="25">
    <mergeCell ref="I3:I4"/>
    <mergeCell ref="F3:H3"/>
    <mergeCell ref="B3:B4"/>
    <mergeCell ref="A13:A14"/>
    <mergeCell ref="B13:B14"/>
    <mergeCell ref="C3:E3"/>
    <mergeCell ref="A3:A4"/>
    <mergeCell ref="A30:A31"/>
    <mergeCell ref="F30:I30"/>
    <mergeCell ref="B30:E30"/>
    <mergeCell ref="E13:E14"/>
    <mergeCell ref="C13:C14"/>
    <mergeCell ref="D13:D14"/>
    <mergeCell ref="F13:I13"/>
    <mergeCell ref="A22:I28"/>
    <mergeCell ref="A65:I71"/>
    <mergeCell ref="A72:I74"/>
    <mergeCell ref="A39:I41"/>
    <mergeCell ref="F56:I56"/>
    <mergeCell ref="F43:I43"/>
    <mergeCell ref="A43:A44"/>
    <mergeCell ref="B43:E43"/>
    <mergeCell ref="A56:A57"/>
    <mergeCell ref="B56:E56"/>
    <mergeCell ref="A52:I54"/>
  </mergeCells>
  <printOptions horizontalCentered="1"/>
  <pageMargins left="0.31496062992125984" right="0.2362204724409449" top="0.37" bottom="0.3" header="0.25" footer="0.1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0">
      <selection activeCell="A60" sqref="A60"/>
    </sheetView>
  </sheetViews>
  <sheetFormatPr defaultColWidth="9.00390625" defaultRowHeight="12.75"/>
  <cols>
    <col min="1" max="1" width="22.00390625" style="1022" bestFit="1" customWidth="1"/>
    <col min="2" max="2" width="11.125" style="1022" customWidth="1"/>
    <col min="3" max="6" width="9.125" style="1056" customWidth="1"/>
    <col min="7" max="16384" width="9.125" style="1022" customWidth="1"/>
  </cols>
  <sheetData>
    <row r="1" ht="13.5" thickBot="1">
      <c r="A1" s="1021" t="s">
        <v>191</v>
      </c>
    </row>
    <row r="2" spans="1:6" ht="15" customHeight="1">
      <c r="A2" s="1194" t="s">
        <v>64</v>
      </c>
      <c r="B2" s="1196" t="s">
        <v>599</v>
      </c>
      <c r="C2" s="1198" t="s">
        <v>299</v>
      </c>
      <c r="D2" s="1199"/>
      <c r="E2" s="1199"/>
      <c r="F2" s="1200"/>
    </row>
    <row r="3" spans="1:6" ht="21" customHeight="1" thickBot="1">
      <c r="A3" s="1195"/>
      <c r="B3" s="1197"/>
      <c r="C3" s="1057" t="s">
        <v>297</v>
      </c>
      <c r="D3" s="1058" t="s">
        <v>66</v>
      </c>
      <c r="E3" s="1058" t="s">
        <v>67</v>
      </c>
      <c r="F3" s="1059" t="s">
        <v>298</v>
      </c>
    </row>
    <row r="4" spans="1:6" ht="15" customHeight="1">
      <c r="A4" s="1023" t="s">
        <v>68</v>
      </c>
      <c r="B4" s="1024">
        <f>+'H.Brod'!G136</f>
        <v>52614.01</v>
      </c>
      <c r="C4" s="1060" t="str">
        <f>+'H.Brod'!I136</f>
        <v>-</v>
      </c>
      <c r="D4" s="1060" t="str">
        <f>+'H.Brod'!J136</f>
        <v>-</v>
      </c>
      <c r="E4" s="1060" t="str">
        <f>+'H.Brod'!K136</f>
        <v>-</v>
      </c>
      <c r="F4" s="1061" t="str">
        <f>+'H.Brod'!L136</f>
        <v>-</v>
      </c>
    </row>
    <row r="5" spans="1:6" ht="15" customHeight="1">
      <c r="A5" s="1025" t="s">
        <v>70</v>
      </c>
      <c r="B5" s="1024">
        <f>+'H.Brod'!G137</f>
        <v>0</v>
      </c>
      <c r="C5" s="1060">
        <f>+'H.Brod'!I137</f>
        <v>0</v>
      </c>
      <c r="D5" s="1060">
        <f>+'H.Brod'!J137</f>
        <v>0</v>
      </c>
      <c r="E5" s="1060">
        <f>+'H.Brod'!K137</f>
        <v>0</v>
      </c>
      <c r="F5" s="1061">
        <f>+'H.Brod'!L137</f>
        <v>0</v>
      </c>
    </row>
    <row r="6" spans="1:6" ht="15" customHeight="1">
      <c r="A6" s="1025" t="s">
        <v>71</v>
      </c>
      <c r="B6" s="1024">
        <f>+'H.Brod'!G138</f>
        <v>0</v>
      </c>
      <c r="C6" s="1062">
        <f>+'H.Brod'!I138</f>
        <v>4433</v>
      </c>
      <c r="D6" s="1060">
        <f>+'H.Brod'!J138</f>
        <v>0</v>
      </c>
      <c r="E6" s="1060">
        <f>+'H.Brod'!K138</f>
        <v>0</v>
      </c>
      <c r="F6" s="1061">
        <f>+'H.Brod'!L138</f>
        <v>4433</v>
      </c>
    </row>
    <row r="7" spans="1:6" ht="15" customHeight="1">
      <c r="A7" s="1025" t="s">
        <v>72</v>
      </c>
      <c r="B7" s="1024">
        <f>+'H.Brod'!G139</f>
        <v>44975.01</v>
      </c>
      <c r="C7" s="1060" t="str">
        <f>+'H.Brod'!I139</f>
        <v>-</v>
      </c>
      <c r="D7" s="1060" t="str">
        <f>+'H.Brod'!J139</f>
        <v>-</v>
      </c>
      <c r="E7" s="1060" t="str">
        <f>+'H.Brod'!K139</f>
        <v>-</v>
      </c>
      <c r="F7" s="1061" t="str">
        <f>+'H.Brod'!L139</f>
        <v>-</v>
      </c>
    </row>
    <row r="8" spans="1:6" ht="15" customHeight="1">
      <c r="A8" s="1025" t="s">
        <v>73</v>
      </c>
      <c r="B8" s="1024">
        <f>+'H.Brod'!G140</f>
        <v>7639</v>
      </c>
      <c r="C8" s="1062">
        <f>+'H.Brod'!I140</f>
        <v>23210</v>
      </c>
      <c r="D8" s="1060">
        <f>+'H.Brod'!J140</f>
        <v>36500</v>
      </c>
      <c r="E8" s="1060">
        <f>+'H.Brod'!K140</f>
        <v>38671</v>
      </c>
      <c r="F8" s="1061">
        <f>+'H.Brod'!L140</f>
        <v>21039</v>
      </c>
    </row>
    <row r="9" spans="1:6" ht="15" customHeight="1" thickBot="1">
      <c r="A9" s="1026" t="s">
        <v>74</v>
      </c>
      <c r="B9" s="1032">
        <f>+'H.Brod'!G141</f>
        <v>9</v>
      </c>
      <c r="C9" s="1063">
        <f>+'H.Brod'!I141</f>
        <v>2280.5</v>
      </c>
      <c r="D9" s="1063">
        <f>+'H.Brod'!J141</f>
        <v>4977</v>
      </c>
      <c r="E9" s="1063">
        <f>+'H.Brod'!K141</f>
        <v>4500</v>
      </c>
      <c r="F9" s="1064">
        <f>+'H.Brod'!L141</f>
        <v>2757.5</v>
      </c>
    </row>
    <row r="10" spans="1:6" ht="9.75" customHeight="1">
      <c r="A10" s="1027"/>
      <c r="B10" s="1028"/>
      <c r="C10" s="1065"/>
      <c r="D10" s="1065"/>
      <c r="E10" s="1065"/>
      <c r="F10" s="1065"/>
    </row>
    <row r="11" ht="13.5" thickBot="1">
      <c r="A11" s="1021" t="s">
        <v>131</v>
      </c>
    </row>
    <row r="12" spans="1:6" ht="15" customHeight="1">
      <c r="A12" s="1194" t="s">
        <v>64</v>
      </c>
      <c r="B12" s="1196" t="s">
        <v>599</v>
      </c>
      <c r="C12" s="1198" t="s">
        <v>299</v>
      </c>
      <c r="D12" s="1199"/>
      <c r="E12" s="1199"/>
      <c r="F12" s="1200"/>
    </row>
    <row r="13" spans="1:6" ht="21" customHeight="1" thickBot="1">
      <c r="A13" s="1195"/>
      <c r="B13" s="1197"/>
      <c r="C13" s="1057" t="s">
        <v>297</v>
      </c>
      <c r="D13" s="1058" t="s">
        <v>66</v>
      </c>
      <c r="E13" s="1058" t="s">
        <v>67</v>
      </c>
      <c r="F13" s="1059" t="s">
        <v>298</v>
      </c>
    </row>
    <row r="14" spans="1:6" ht="15" customHeight="1">
      <c r="A14" s="1023" t="s">
        <v>68</v>
      </c>
      <c r="B14" s="1024">
        <f>+Jihlava!G173</f>
        <v>15084</v>
      </c>
      <c r="C14" s="1060" t="str">
        <f>+Jihlava!I173</f>
        <v>-</v>
      </c>
      <c r="D14" s="1060" t="str">
        <f>+Jihlava!J173</f>
        <v>-</v>
      </c>
      <c r="E14" s="1060" t="str">
        <f>+Jihlava!K173</f>
        <v>-</v>
      </c>
      <c r="F14" s="1061" t="str">
        <f>+Jihlava!L173</f>
        <v>-</v>
      </c>
    </row>
    <row r="15" spans="1:6" ht="15" customHeight="1">
      <c r="A15" s="1025" t="s">
        <v>70</v>
      </c>
      <c r="B15" s="1024">
        <f>+Jihlava!G174</f>
        <v>0</v>
      </c>
      <c r="C15" s="1060">
        <f>+Jihlava!I174</f>
        <v>129</v>
      </c>
      <c r="D15" s="1060">
        <f>+Jihlava!J174</f>
        <v>0</v>
      </c>
      <c r="E15" s="1060">
        <f>+Jihlava!K174</f>
        <v>0</v>
      </c>
      <c r="F15" s="1061">
        <f>+Jihlava!L174</f>
        <v>129</v>
      </c>
    </row>
    <row r="16" spans="1:6" ht="15" customHeight="1">
      <c r="A16" s="1025" t="s">
        <v>71</v>
      </c>
      <c r="B16" s="1024">
        <f>+Jihlava!G175</f>
        <v>2160</v>
      </c>
      <c r="C16" s="1062">
        <f>+Jihlava!I175</f>
        <v>2227</v>
      </c>
      <c r="D16" s="1060">
        <f>+Jihlava!J175</f>
        <v>2000</v>
      </c>
      <c r="E16" s="1060">
        <f>+Jihlava!K175</f>
        <v>2000</v>
      </c>
      <c r="F16" s="1061">
        <f>+Jihlava!L175</f>
        <v>2227</v>
      </c>
    </row>
    <row r="17" spans="1:6" ht="15" customHeight="1">
      <c r="A17" s="1025" t="s">
        <v>72</v>
      </c>
      <c r="B17" s="1024">
        <f>+Jihlava!G176</f>
        <v>14840</v>
      </c>
      <c r="C17" s="1060" t="str">
        <f>+Jihlava!I176</f>
        <v>-</v>
      </c>
      <c r="D17" s="1060" t="str">
        <f>+Jihlava!J176</f>
        <v>-</v>
      </c>
      <c r="E17" s="1060" t="str">
        <f>+Jihlava!K176</f>
        <v>-</v>
      </c>
      <c r="F17" s="1061" t="str">
        <f>+Jihlava!L176</f>
        <v>-</v>
      </c>
    </row>
    <row r="18" spans="1:6" ht="15" customHeight="1">
      <c r="A18" s="1025" t="s">
        <v>73</v>
      </c>
      <c r="B18" s="1024">
        <f>+Jihlava!G177</f>
        <v>0</v>
      </c>
      <c r="C18" s="1062">
        <f>+Jihlava!I177</f>
        <v>29803</v>
      </c>
      <c r="D18" s="1060">
        <f>+Jihlava!J177</f>
        <v>53204.244</v>
      </c>
      <c r="E18" s="1060">
        <f>+Jihlava!K177</f>
        <v>78567.80027</v>
      </c>
      <c r="F18" s="1061">
        <f>+Jihlava!L177</f>
        <v>4439.443729999999</v>
      </c>
    </row>
    <row r="19" spans="1:6" ht="15" customHeight="1" thickBot="1">
      <c r="A19" s="1026" t="s">
        <v>74</v>
      </c>
      <c r="B19" s="1032">
        <f>+Jihlava!G178</f>
        <v>3092</v>
      </c>
      <c r="C19" s="1063">
        <f>+Jihlava!I178</f>
        <v>3493</v>
      </c>
      <c r="D19" s="1063">
        <f>+Jihlava!J178</f>
        <v>5700</v>
      </c>
      <c r="E19" s="1063">
        <f>+Jihlava!K178</f>
        <v>7960</v>
      </c>
      <c r="F19" s="1064">
        <f>+Jihlava!L178</f>
        <v>1233</v>
      </c>
    </row>
    <row r="21" ht="13.5" thickBot="1">
      <c r="A21" s="1021" t="s">
        <v>246</v>
      </c>
    </row>
    <row r="22" spans="1:6" ht="15" customHeight="1">
      <c r="A22" s="1194" t="s">
        <v>64</v>
      </c>
      <c r="B22" s="1196" t="s">
        <v>599</v>
      </c>
      <c r="C22" s="1198" t="s">
        <v>299</v>
      </c>
      <c r="D22" s="1199"/>
      <c r="E22" s="1199"/>
      <c r="F22" s="1200"/>
    </row>
    <row r="23" spans="1:6" ht="21" customHeight="1" thickBot="1">
      <c r="A23" s="1195"/>
      <c r="B23" s="1197"/>
      <c r="C23" s="1057" t="s">
        <v>297</v>
      </c>
      <c r="D23" s="1058" t="s">
        <v>66</v>
      </c>
      <c r="E23" s="1058" t="s">
        <v>67</v>
      </c>
      <c r="F23" s="1059" t="s">
        <v>298</v>
      </c>
    </row>
    <row r="24" spans="1:6" ht="15" customHeight="1">
      <c r="A24" s="1023" t="s">
        <v>68</v>
      </c>
      <c r="B24" s="1024">
        <f>+Pelhřimov!G131</f>
        <v>39741.67</v>
      </c>
      <c r="C24" s="1060" t="str">
        <f>+Pelhřimov!I131</f>
        <v>-</v>
      </c>
      <c r="D24" s="1060" t="str">
        <f>+Pelhřimov!J131</f>
        <v>-</v>
      </c>
      <c r="E24" s="1060" t="str">
        <f>+Pelhřimov!K131</f>
        <v>-</v>
      </c>
      <c r="F24" s="1061" t="str">
        <f>+Pelhřimov!L131</f>
        <v>-</v>
      </c>
    </row>
    <row r="25" spans="1:6" ht="15" customHeight="1">
      <c r="A25" s="1025" t="s">
        <v>70</v>
      </c>
      <c r="B25" s="1024">
        <f>+Pelhřimov!G132</f>
        <v>6680.01</v>
      </c>
      <c r="C25" s="1060">
        <f>+Pelhřimov!I132</f>
        <v>688</v>
      </c>
      <c r="D25" s="1060">
        <f>+Pelhřimov!J132</f>
        <v>0</v>
      </c>
      <c r="E25" s="1060">
        <f>+Pelhřimov!K132</f>
        <v>500</v>
      </c>
      <c r="F25" s="1061">
        <f>+Pelhřimov!L132</f>
        <v>188</v>
      </c>
    </row>
    <row r="26" spans="1:6" ht="15" customHeight="1">
      <c r="A26" s="1025" t="s">
        <v>71</v>
      </c>
      <c r="B26" s="1024">
        <f>+Pelhřimov!G133</f>
        <v>1996.15</v>
      </c>
      <c r="C26" s="1062">
        <f>+Pelhřimov!I133</f>
        <v>3086</v>
      </c>
      <c r="D26" s="1060">
        <f>+Pelhřimov!J133</f>
        <v>680</v>
      </c>
      <c r="E26" s="1060">
        <f>+Pelhřimov!K133</f>
        <v>2000</v>
      </c>
      <c r="F26" s="1061">
        <f>+Pelhřimov!L133</f>
        <v>1766</v>
      </c>
    </row>
    <row r="27" spans="1:6" ht="15" customHeight="1">
      <c r="A27" s="1025" t="s">
        <v>72</v>
      </c>
      <c r="B27" s="1024">
        <f>+Pelhřimov!G134</f>
        <v>-6826.300000000003</v>
      </c>
      <c r="C27" s="1060" t="str">
        <f>+Pelhřimov!I134</f>
        <v>-</v>
      </c>
      <c r="D27" s="1060" t="str">
        <f>+Pelhřimov!J134</f>
        <v>-</v>
      </c>
      <c r="E27" s="1060" t="str">
        <f>+Pelhřimov!K134</f>
        <v>-</v>
      </c>
      <c r="F27" s="1061" t="str">
        <f>+Pelhřimov!L134</f>
        <v>-</v>
      </c>
    </row>
    <row r="28" spans="1:6" ht="15" customHeight="1">
      <c r="A28" s="1025" t="s">
        <v>73</v>
      </c>
      <c r="B28" s="1024">
        <f>+Pelhřimov!G135</f>
        <v>37891.81</v>
      </c>
      <c r="C28" s="1062">
        <f>+Pelhřimov!I135</f>
        <v>37892.2954</v>
      </c>
      <c r="D28" s="1060">
        <f>+Pelhřimov!J135</f>
        <v>29670</v>
      </c>
      <c r="E28" s="1060">
        <f>+Pelhřimov!K135</f>
        <v>26670</v>
      </c>
      <c r="F28" s="1061">
        <f>+Pelhřimov!L135</f>
        <v>40892.2954</v>
      </c>
    </row>
    <row r="29" spans="1:6" ht="15" customHeight="1" thickBot="1">
      <c r="A29" s="1026" t="s">
        <v>74</v>
      </c>
      <c r="B29" s="1032">
        <f>+Pelhřimov!G136</f>
        <v>1554.89</v>
      </c>
      <c r="C29" s="1063">
        <f>+Pelhřimov!I136</f>
        <v>1389</v>
      </c>
      <c r="D29" s="1063">
        <f>+Pelhřimov!J136</f>
        <v>3443</v>
      </c>
      <c r="E29" s="1063">
        <f>+Pelhřimov!K136</f>
        <v>3000</v>
      </c>
      <c r="F29" s="1064">
        <f>+Pelhřimov!L136</f>
        <v>1832</v>
      </c>
    </row>
    <row r="31" ht="13.5" thickBot="1">
      <c r="A31" s="1021" t="s">
        <v>184</v>
      </c>
    </row>
    <row r="32" spans="1:6" ht="15" customHeight="1">
      <c r="A32" s="1194" t="s">
        <v>64</v>
      </c>
      <c r="B32" s="1196" t="s">
        <v>599</v>
      </c>
      <c r="C32" s="1198" t="s">
        <v>299</v>
      </c>
      <c r="D32" s="1199"/>
      <c r="E32" s="1199"/>
      <c r="F32" s="1200"/>
    </row>
    <row r="33" spans="1:6" ht="21" customHeight="1" thickBot="1">
      <c r="A33" s="1195"/>
      <c r="B33" s="1197"/>
      <c r="C33" s="1057" t="s">
        <v>297</v>
      </c>
      <c r="D33" s="1058" t="s">
        <v>66</v>
      </c>
      <c r="E33" s="1058" t="s">
        <v>67</v>
      </c>
      <c r="F33" s="1059" t="s">
        <v>298</v>
      </c>
    </row>
    <row r="34" spans="1:6" ht="15" customHeight="1">
      <c r="A34" s="1023" t="s">
        <v>68</v>
      </c>
      <c r="B34" s="1024">
        <f>+Třebíč!G133</f>
        <v>11908.61</v>
      </c>
      <c r="C34" s="1060" t="str">
        <f>+Třebíč!I133</f>
        <v>-</v>
      </c>
      <c r="D34" s="1060" t="str">
        <f>+Třebíč!J133</f>
        <v>-</v>
      </c>
      <c r="E34" s="1060" t="str">
        <f>+Třebíč!K133</f>
        <v>-</v>
      </c>
      <c r="F34" s="1061" t="str">
        <f>+Třebíč!L133</f>
        <v>-</v>
      </c>
    </row>
    <row r="35" spans="1:6" ht="15" customHeight="1">
      <c r="A35" s="1025" t="s">
        <v>70</v>
      </c>
      <c r="B35" s="1024">
        <f>+Třebíč!G134</f>
        <v>0</v>
      </c>
      <c r="C35" s="1060">
        <f>+Třebíč!I134</f>
        <v>0</v>
      </c>
      <c r="D35" s="1060">
        <f>+Třebíč!J134</f>
        <v>0</v>
      </c>
      <c r="E35" s="1060">
        <f>+Třebíč!K134</f>
        <v>0</v>
      </c>
      <c r="F35" s="1061">
        <f>+Třebíč!L134</f>
        <v>0</v>
      </c>
    </row>
    <row r="36" spans="1:6" ht="15" customHeight="1">
      <c r="A36" s="1025" t="s">
        <v>71</v>
      </c>
      <c r="B36" s="1024">
        <f>+Třebíč!G135</f>
        <v>0</v>
      </c>
      <c r="C36" s="1062">
        <f>+Třebíč!I135</f>
        <v>291.61</v>
      </c>
      <c r="D36" s="1060">
        <f>+Třebíč!J135</f>
        <v>400</v>
      </c>
      <c r="E36" s="1060">
        <f>+Třebíč!K135</f>
        <v>500</v>
      </c>
      <c r="F36" s="1061">
        <f>+Třebíč!L135</f>
        <v>191.61</v>
      </c>
    </row>
    <row r="37" spans="1:6" ht="15" customHeight="1">
      <c r="A37" s="1025" t="s">
        <v>72</v>
      </c>
      <c r="B37" s="1024">
        <f>+Třebíč!G136</f>
        <v>0</v>
      </c>
      <c r="C37" s="1060" t="str">
        <f>+Třebíč!I136</f>
        <v>-</v>
      </c>
      <c r="D37" s="1060" t="str">
        <f>+Třebíč!J136</f>
        <v>-</v>
      </c>
      <c r="E37" s="1060" t="str">
        <f>+Třebíč!K136</f>
        <v>-</v>
      </c>
      <c r="F37" s="1061" t="str">
        <f>+Třebíč!L136</f>
        <v>-</v>
      </c>
    </row>
    <row r="38" spans="1:6" ht="15" customHeight="1">
      <c r="A38" s="1025" t="s">
        <v>73</v>
      </c>
      <c r="B38" s="1024">
        <f>+Třebíč!G137</f>
        <v>19865</v>
      </c>
      <c r="C38" s="1062">
        <f>+Třebíč!I137</f>
        <v>20315</v>
      </c>
      <c r="D38" s="1060">
        <f>+Třebíč!J137</f>
        <v>48573</v>
      </c>
      <c r="E38" s="1060">
        <f>+Třebíč!K137</f>
        <v>64289</v>
      </c>
      <c r="F38" s="1061">
        <f>+Třebíč!L137</f>
        <v>4599</v>
      </c>
    </row>
    <row r="39" spans="1:6" ht="15" customHeight="1" thickBot="1">
      <c r="A39" s="1026" t="s">
        <v>74</v>
      </c>
      <c r="B39" s="1032">
        <f>+Třebíč!G138</f>
        <v>1583.56</v>
      </c>
      <c r="C39" s="1063">
        <f>+Třebíč!I138</f>
        <v>2624.1</v>
      </c>
      <c r="D39" s="1063">
        <f>+Třebíč!J138</f>
        <v>4684</v>
      </c>
      <c r="E39" s="1063">
        <f>+Třebíč!K138</f>
        <v>6726.68</v>
      </c>
      <c r="F39" s="1064">
        <f>+Třebíč!L138</f>
        <v>581.4200000000001</v>
      </c>
    </row>
    <row r="40" ht="6" customHeight="1"/>
    <row r="41" ht="13.5" thickBot="1">
      <c r="A41" s="1021" t="s">
        <v>256</v>
      </c>
    </row>
    <row r="42" spans="1:6" ht="15" customHeight="1">
      <c r="A42" s="1194" t="s">
        <v>64</v>
      </c>
      <c r="B42" s="1196" t="s">
        <v>599</v>
      </c>
      <c r="C42" s="1198" t="s">
        <v>299</v>
      </c>
      <c r="D42" s="1199"/>
      <c r="E42" s="1199"/>
      <c r="F42" s="1200"/>
    </row>
    <row r="43" spans="1:6" ht="21" customHeight="1" thickBot="1">
      <c r="A43" s="1195"/>
      <c r="B43" s="1197"/>
      <c r="C43" s="1057" t="s">
        <v>297</v>
      </c>
      <c r="D43" s="1058" t="s">
        <v>66</v>
      </c>
      <c r="E43" s="1058" t="s">
        <v>67</v>
      </c>
      <c r="F43" s="1059" t="s">
        <v>298</v>
      </c>
    </row>
    <row r="44" spans="1:6" ht="15" customHeight="1">
      <c r="A44" s="1023" t="s">
        <v>68</v>
      </c>
      <c r="B44" s="1024">
        <f>+'N.Město'!G149</f>
        <v>78071.94</v>
      </c>
      <c r="C44" s="1060" t="str">
        <f>+'N.Město'!I149</f>
        <v>-</v>
      </c>
      <c r="D44" s="1060" t="str">
        <f>+'N.Město'!J149</f>
        <v>-</v>
      </c>
      <c r="E44" s="1060" t="str">
        <f>+'N.Město'!K149</f>
        <v>-</v>
      </c>
      <c r="F44" s="1061" t="str">
        <f>+'N.Město'!L149</f>
        <v>-</v>
      </c>
    </row>
    <row r="45" spans="1:6" ht="15" customHeight="1">
      <c r="A45" s="1025" t="s">
        <v>70</v>
      </c>
      <c r="B45" s="1024">
        <v>543.17</v>
      </c>
      <c r="C45" s="1060">
        <f>+'N.Město'!I150</f>
        <v>543.17</v>
      </c>
      <c r="D45" s="1060">
        <f>+'N.Město'!J150</f>
        <v>0</v>
      </c>
      <c r="E45" s="1060">
        <f>+'N.Město'!K150</f>
        <v>0</v>
      </c>
      <c r="F45" s="1061">
        <f>+'N.Město'!L150</f>
        <v>543.17</v>
      </c>
    </row>
    <row r="46" spans="1:6" ht="15" customHeight="1">
      <c r="A46" s="1025" t="s">
        <v>71</v>
      </c>
      <c r="B46" s="1024">
        <v>1625</v>
      </c>
      <c r="C46" s="1062">
        <f>+'N.Město'!I151</f>
        <v>1625</v>
      </c>
      <c r="D46" s="1060">
        <f>+'N.Město'!J151</f>
        <v>349</v>
      </c>
      <c r="E46" s="1060">
        <f>+'N.Město'!K151</f>
        <v>349</v>
      </c>
      <c r="F46" s="1061">
        <f>+'N.Město'!L151</f>
        <v>1625</v>
      </c>
    </row>
    <row r="47" spans="1:6" ht="15" customHeight="1">
      <c r="A47" s="1025" t="s">
        <v>72</v>
      </c>
      <c r="B47" s="1024">
        <v>-3162.39</v>
      </c>
      <c r="C47" s="1060" t="str">
        <f>+'N.Město'!I152</f>
        <v>-</v>
      </c>
      <c r="D47" s="1060" t="str">
        <f>+'N.Město'!J152</f>
        <v>-</v>
      </c>
      <c r="E47" s="1060" t="str">
        <f>+'N.Město'!K152</f>
        <v>-</v>
      </c>
      <c r="F47" s="1061" t="str">
        <f>+'N.Město'!L152</f>
        <v>-</v>
      </c>
    </row>
    <row r="48" spans="1:6" ht="15" customHeight="1">
      <c r="A48" s="1025" t="s">
        <v>73</v>
      </c>
      <c r="B48" s="1024">
        <v>79065.73</v>
      </c>
      <c r="C48" s="1062">
        <f>+'N.Město'!I153</f>
        <v>79065.708</v>
      </c>
      <c r="D48" s="1060">
        <f>+'N.Město'!J153</f>
        <v>40459</v>
      </c>
      <c r="E48" s="1060">
        <f>+'N.Město'!K153</f>
        <v>44568</v>
      </c>
      <c r="F48" s="1061">
        <f>+'N.Město'!L153</f>
        <v>74956.708</v>
      </c>
    </row>
    <row r="49" spans="1:6" ht="15" customHeight="1" thickBot="1">
      <c r="A49" s="1026" t="s">
        <v>74</v>
      </c>
      <c r="B49" s="1032">
        <v>4.44</v>
      </c>
      <c r="C49" s="1063">
        <f>+'N.Město'!I154</f>
        <v>355.28</v>
      </c>
      <c r="D49" s="1063">
        <f>+'N.Město'!J154</f>
        <v>4654</v>
      </c>
      <c r="E49" s="1063">
        <f>+'N.Město'!K154</f>
        <v>4500</v>
      </c>
      <c r="F49" s="1064">
        <f>+'N.Město'!L154</f>
        <v>509.27999999999975</v>
      </c>
    </row>
    <row r="50" ht="13.5" thickBot="1"/>
    <row r="51" spans="1:11" ht="15" customHeight="1">
      <c r="A51" s="1189" t="s">
        <v>601</v>
      </c>
      <c r="B51" s="1196" t="s">
        <v>599</v>
      </c>
      <c r="C51" s="1198" t="s">
        <v>299</v>
      </c>
      <c r="D51" s="1199"/>
      <c r="E51" s="1199"/>
      <c r="F51" s="1200"/>
      <c r="H51"/>
      <c r="I51"/>
      <c r="J51"/>
      <c r="K51"/>
    </row>
    <row r="52" spans="1:6" ht="21" customHeight="1" thickBot="1">
      <c r="A52" s="1190"/>
      <c r="B52" s="1197"/>
      <c r="C52" s="1057" t="s">
        <v>297</v>
      </c>
      <c r="D52" s="1058" t="s">
        <v>66</v>
      </c>
      <c r="E52" s="1058" t="s">
        <v>67</v>
      </c>
      <c r="F52" s="1059" t="s">
        <v>298</v>
      </c>
    </row>
    <row r="53" spans="1:6" ht="15" customHeight="1">
      <c r="A53" s="1025" t="s">
        <v>602</v>
      </c>
      <c r="B53" s="1024">
        <f>+B46+B36+B26+B16+B6</f>
        <v>5781.15</v>
      </c>
      <c r="C53" s="1062">
        <f>+C46+C36+C26+C16+C6</f>
        <v>11662.61</v>
      </c>
      <c r="D53" s="1060">
        <f>+D46+D36+D26+D16+D6</f>
        <v>3429</v>
      </c>
      <c r="E53" s="1060">
        <f>+E46+E36+E26+E16+E6</f>
        <v>4849</v>
      </c>
      <c r="F53" s="1061">
        <f>+F46+F36+F26+F16+F6</f>
        <v>10242.61</v>
      </c>
    </row>
    <row r="54" spans="1:6" ht="15" customHeight="1" thickBot="1">
      <c r="A54" s="1026" t="s">
        <v>603</v>
      </c>
      <c r="B54" s="1032">
        <f>+B48+B38+B28+B18+B8</f>
        <v>144461.53999999998</v>
      </c>
      <c r="C54" s="1066">
        <f>+C48+C38+C28+C18+C8</f>
        <v>190286.0034</v>
      </c>
      <c r="D54" s="1063">
        <f>+D48+D38+D28+D18+D8</f>
        <v>208406.244</v>
      </c>
      <c r="E54" s="1063">
        <f>+E48+E38+E28+E18+E8</f>
        <v>252765.80027</v>
      </c>
      <c r="F54" s="1064">
        <f>+F48+F38+F28+F18+F8</f>
        <v>145926.44713</v>
      </c>
    </row>
    <row r="55" ht="7.5" customHeight="1" thickBot="1"/>
    <row r="56" spans="1:6" ht="12.75">
      <c r="A56" s="1201" t="s">
        <v>650</v>
      </c>
      <c r="B56" s="1126" t="s">
        <v>647</v>
      </c>
      <c r="C56" s="1126" t="s">
        <v>265</v>
      </c>
      <c r="D56" s="1126" t="s">
        <v>266</v>
      </c>
      <c r="E56" s="1126" t="s">
        <v>267</v>
      </c>
      <c r="F56" s="1127" t="s">
        <v>648</v>
      </c>
    </row>
    <row r="57" spans="1:6" ht="18.75" customHeight="1" thickBot="1">
      <c r="A57" s="1202"/>
      <c r="B57" s="1153">
        <f>+'H.Brod'!E145</f>
        <v>5625</v>
      </c>
      <c r="C57" s="1154">
        <f>+Jihlava!D145/1000</f>
        <v>27563.437</v>
      </c>
      <c r="D57" s="1155">
        <v>0</v>
      </c>
      <c r="E57" s="1154">
        <f>+Třebíč!E142</f>
        <v>10860.59362</v>
      </c>
      <c r="F57" s="1156">
        <f>+'N.Město'!E158</f>
        <v>11113</v>
      </c>
    </row>
  </sheetData>
  <mergeCells count="19">
    <mergeCell ref="A56:A57"/>
    <mergeCell ref="A51:A52"/>
    <mergeCell ref="B51:B52"/>
    <mergeCell ref="C51:F51"/>
    <mergeCell ref="A32:A33"/>
    <mergeCell ref="B32:B33"/>
    <mergeCell ref="C32:F32"/>
    <mergeCell ref="A42:A43"/>
    <mergeCell ref="B42:B43"/>
    <mergeCell ref="C42:F42"/>
    <mergeCell ref="A22:A23"/>
    <mergeCell ref="B22:B23"/>
    <mergeCell ref="C22:F22"/>
    <mergeCell ref="A2:A3"/>
    <mergeCell ref="B2:B3"/>
    <mergeCell ref="C2:F2"/>
    <mergeCell ref="A12:A13"/>
    <mergeCell ref="B12:B13"/>
    <mergeCell ref="C12:F12"/>
  </mergeCells>
  <printOptions horizontalCentered="1"/>
  <pageMargins left="0.7874015748031497" right="0.7874015748031497" top="0.37" bottom="0.22" header="0.2755905511811024" footer="0.1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100" workbookViewId="0" topLeftCell="A1">
      <selection activeCell="E18" sqref="E18"/>
    </sheetView>
  </sheetViews>
  <sheetFormatPr defaultColWidth="9.00390625" defaultRowHeight="12.75"/>
  <cols>
    <col min="1" max="1" width="24.25390625" style="398" customWidth="1"/>
    <col min="2" max="3" width="11.875" style="398" customWidth="1"/>
    <col min="4" max="4" width="9.875" style="398" customWidth="1"/>
    <col min="5" max="6" width="11.875" style="398" customWidth="1"/>
    <col min="7" max="7" width="10.125" style="398" customWidth="1"/>
    <col min="8" max="9" width="11.875" style="398" customWidth="1"/>
    <col min="10" max="10" width="10.625" style="398" customWidth="1"/>
    <col min="11" max="12" width="11.875" style="398" customWidth="1"/>
    <col min="13" max="13" width="10.75390625" style="0" customWidth="1"/>
    <col min="14" max="15" width="11.875" style="398" customWidth="1"/>
    <col min="16" max="16" width="10.875" style="0" customWidth="1"/>
  </cols>
  <sheetData>
    <row r="1" ht="18.75" customHeight="1">
      <c r="A1" s="661" t="s">
        <v>374</v>
      </c>
    </row>
    <row r="2" ht="3" customHeight="1" thickBot="1"/>
    <row r="3" spans="1:16" ht="21.75" customHeight="1">
      <c r="A3" s="1187" t="s">
        <v>375</v>
      </c>
      <c r="B3" s="1183" t="s">
        <v>264</v>
      </c>
      <c r="C3" s="1178"/>
      <c r="D3" s="1179"/>
      <c r="E3" s="1178" t="s">
        <v>265</v>
      </c>
      <c r="F3" s="1178"/>
      <c r="G3" s="1178"/>
      <c r="H3" s="1183" t="s">
        <v>266</v>
      </c>
      <c r="I3" s="1178"/>
      <c r="J3" s="1179"/>
      <c r="K3" s="1178" t="s">
        <v>267</v>
      </c>
      <c r="L3" s="1178"/>
      <c r="M3" s="1178"/>
      <c r="N3" s="1183" t="s">
        <v>268</v>
      </c>
      <c r="O3" s="1178"/>
      <c r="P3" s="1179"/>
    </row>
    <row r="4" spans="1:16" s="667" customFormat="1" ht="18.75" customHeight="1" thickBot="1">
      <c r="A4" s="1188"/>
      <c r="B4" s="662">
        <v>2006</v>
      </c>
      <c r="C4" s="663">
        <v>2007</v>
      </c>
      <c r="D4" s="664" t="s">
        <v>376</v>
      </c>
      <c r="E4" s="665">
        <v>2006</v>
      </c>
      <c r="F4" s="663">
        <v>2007</v>
      </c>
      <c r="G4" s="666" t="s">
        <v>376</v>
      </c>
      <c r="H4" s="662">
        <v>2006</v>
      </c>
      <c r="I4" s="663">
        <v>2007</v>
      </c>
      <c r="J4" s="664" t="s">
        <v>376</v>
      </c>
      <c r="K4" s="665">
        <v>2006</v>
      </c>
      <c r="L4" s="663">
        <v>2007</v>
      </c>
      <c r="M4" s="666" t="s">
        <v>376</v>
      </c>
      <c r="N4" s="662">
        <v>2006</v>
      </c>
      <c r="O4" s="663">
        <v>2007</v>
      </c>
      <c r="P4" s="664" t="s">
        <v>376</v>
      </c>
    </row>
    <row r="5" spans="1:16" s="314" customFormat="1" ht="22.5" customHeight="1">
      <c r="A5" s="668" t="s">
        <v>377</v>
      </c>
      <c r="B5" s="602">
        <v>151715391</v>
      </c>
      <c r="C5" s="599">
        <v>166700000</v>
      </c>
      <c r="D5" s="669">
        <f aca="true" t="shared" si="0" ref="D5:D18">+C5-B5</f>
        <v>14984609</v>
      </c>
      <c r="E5" s="614">
        <v>180942957</v>
      </c>
      <c r="F5" s="599">
        <v>198227000</v>
      </c>
      <c r="G5" s="670">
        <f>+F5-E5</f>
        <v>17284043</v>
      </c>
      <c r="H5" s="602">
        <v>106659491</v>
      </c>
      <c r="I5" s="599">
        <v>114125000</v>
      </c>
      <c r="J5" s="669">
        <f aca="true" t="shared" si="1" ref="J5:J18">+I5-H5</f>
        <v>7465509</v>
      </c>
      <c r="K5" s="614">
        <v>148267640</v>
      </c>
      <c r="L5" s="599">
        <v>158646375</v>
      </c>
      <c r="M5" s="671">
        <f aca="true" t="shared" si="2" ref="M5:M17">+L5-K5</f>
        <v>10378735</v>
      </c>
      <c r="N5" s="602">
        <v>145584752</v>
      </c>
      <c r="O5" s="599">
        <v>156304499</v>
      </c>
      <c r="P5" s="672">
        <f aca="true" t="shared" si="3" ref="P5:P16">+O5-N5</f>
        <v>10719747</v>
      </c>
    </row>
    <row r="6" spans="1:16" s="314" customFormat="1" ht="22.5" customHeight="1">
      <c r="A6" s="225" t="s">
        <v>378</v>
      </c>
      <c r="B6" s="609">
        <v>0</v>
      </c>
      <c r="C6" s="601">
        <v>0</v>
      </c>
      <c r="D6" s="669">
        <f t="shared" si="0"/>
        <v>0</v>
      </c>
      <c r="E6" s="640">
        <v>26552193</v>
      </c>
      <c r="F6" s="601">
        <v>29210000</v>
      </c>
      <c r="G6" s="670">
        <f aca="true" t="shared" si="4" ref="G6:G13">+F6-E6</f>
        <v>2657807</v>
      </c>
      <c r="H6" s="609">
        <v>13889483</v>
      </c>
      <c r="I6" s="601">
        <v>14260000</v>
      </c>
      <c r="J6" s="669">
        <f t="shared" si="1"/>
        <v>370517</v>
      </c>
      <c r="K6" s="640">
        <v>25232224</v>
      </c>
      <c r="L6" s="601">
        <v>26998480</v>
      </c>
      <c r="M6" s="671">
        <f t="shared" si="2"/>
        <v>1766256</v>
      </c>
      <c r="N6" s="609">
        <v>21103361</v>
      </c>
      <c r="O6" s="601">
        <v>22158529</v>
      </c>
      <c r="P6" s="672">
        <f t="shared" si="3"/>
        <v>1055168</v>
      </c>
    </row>
    <row r="7" spans="1:16" s="314" customFormat="1" ht="22.5" customHeight="1">
      <c r="A7" s="225" t="s">
        <v>379</v>
      </c>
      <c r="B7" s="609">
        <v>2018217</v>
      </c>
      <c r="C7" s="601">
        <v>3000000</v>
      </c>
      <c r="D7" s="669">
        <f t="shared" si="0"/>
        <v>981783</v>
      </c>
      <c r="E7" s="640">
        <v>1589579</v>
      </c>
      <c r="F7" s="601">
        <v>3867000</v>
      </c>
      <c r="G7" s="670">
        <f t="shared" si="4"/>
        <v>2277421</v>
      </c>
      <c r="H7" s="609">
        <v>848228</v>
      </c>
      <c r="I7" s="601">
        <v>1848000</v>
      </c>
      <c r="J7" s="669">
        <f t="shared" si="1"/>
        <v>999772</v>
      </c>
      <c r="K7" s="640">
        <v>2788435</v>
      </c>
      <c r="L7" s="601">
        <v>3000000</v>
      </c>
      <c r="M7" s="671">
        <f t="shared" si="2"/>
        <v>211565</v>
      </c>
      <c r="N7" s="609">
        <v>1367296</v>
      </c>
      <c r="O7" s="601">
        <v>2678112</v>
      </c>
      <c r="P7" s="672">
        <f t="shared" si="3"/>
        <v>1310816</v>
      </c>
    </row>
    <row r="8" spans="1:16" s="314" customFormat="1" ht="22.5" customHeight="1">
      <c r="A8" s="225" t="s">
        <v>380</v>
      </c>
      <c r="B8" s="609">
        <v>4208699</v>
      </c>
      <c r="C8" s="601">
        <v>0</v>
      </c>
      <c r="D8" s="669">
        <f t="shared" si="0"/>
        <v>-4208699</v>
      </c>
      <c r="E8" s="640">
        <v>2880000</v>
      </c>
      <c r="F8" s="601">
        <v>0</v>
      </c>
      <c r="G8" s="670">
        <f t="shared" si="4"/>
        <v>-2880000</v>
      </c>
      <c r="H8" s="609">
        <v>1250287</v>
      </c>
      <c r="I8" s="601">
        <v>0</v>
      </c>
      <c r="J8" s="669">
        <f t="shared" si="1"/>
        <v>-1250287</v>
      </c>
      <c r="K8" s="640">
        <v>1685794</v>
      </c>
      <c r="L8" s="601">
        <v>450000</v>
      </c>
      <c r="M8" s="671">
        <f t="shared" si="2"/>
        <v>-1235794</v>
      </c>
      <c r="N8" s="609">
        <v>2118059</v>
      </c>
      <c r="O8" s="601">
        <v>200000</v>
      </c>
      <c r="P8" s="672">
        <f t="shared" si="3"/>
        <v>-1918059</v>
      </c>
    </row>
    <row r="9" spans="1:16" s="314" customFormat="1" ht="22.5" customHeight="1">
      <c r="A9" s="225" t="s">
        <v>381</v>
      </c>
      <c r="B9" s="609">
        <v>2054502</v>
      </c>
      <c r="C9" s="601">
        <v>4900000</v>
      </c>
      <c r="D9" s="669">
        <f t="shared" si="0"/>
        <v>2845498</v>
      </c>
      <c r="E9" s="640">
        <v>2653163</v>
      </c>
      <c r="F9" s="601">
        <v>5615000</v>
      </c>
      <c r="G9" s="670">
        <f t="shared" si="4"/>
        <v>2961837</v>
      </c>
      <c r="H9" s="609">
        <v>749017</v>
      </c>
      <c r="I9" s="601">
        <v>1949000</v>
      </c>
      <c r="J9" s="669">
        <f t="shared" si="1"/>
        <v>1199983</v>
      </c>
      <c r="K9" s="640">
        <v>938467</v>
      </c>
      <c r="L9" s="601">
        <v>5100000</v>
      </c>
      <c r="M9" s="671">
        <f t="shared" si="2"/>
        <v>4161533</v>
      </c>
      <c r="N9" s="609">
        <v>2264764</v>
      </c>
      <c r="O9" s="601">
        <v>3517216</v>
      </c>
      <c r="P9" s="672">
        <f t="shared" si="3"/>
        <v>1252452</v>
      </c>
    </row>
    <row r="10" spans="1:16" s="314" customFormat="1" ht="22.5" customHeight="1">
      <c r="A10" s="225" t="s">
        <v>382</v>
      </c>
      <c r="B10" s="609">
        <v>6603907</v>
      </c>
      <c r="C10" s="601">
        <v>18000000</v>
      </c>
      <c r="D10" s="669">
        <f t="shared" si="0"/>
        <v>11396093</v>
      </c>
      <c r="E10" s="640">
        <v>12899046</v>
      </c>
      <c r="F10" s="601">
        <v>11883000</v>
      </c>
      <c r="G10" s="670">
        <f t="shared" si="4"/>
        <v>-1016046</v>
      </c>
      <c r="H10" s="609">
        <v>11003796</v>
      </c>
      <c r="I10" s="601">
        <v>11250000</v>
      </c>
      <c r="J10" s="669">
        <f t="shared" si="1"/>
        <v>246204</v>
      </c>
      <c r="K10" s="640">
        <v>9277280</v>
      </c>
      <c r="L10" s="601">
        <v>11200000</v>
      </c>
      <c r="M10" s="671">
        <f t="shared" si="2"/>
        <v>1922720</v>
      </c>
      <c r="N10" s="609">
        <v>10644623</v>
      </c>
      <c r="O10" s="601">
        <v>10500000</v>
      </c>
      <c r="P10" s="672">
        <f t="shared" si="3"/>
        <v>-144623</v>
      </c>
    </row>
    <row r="11" spans="1:16" s="314" customFormat="1" ht="22.5" customHeight="1">
      <c r="A11" s="225" t="s">
        <v>383</v>
      </c>
      <c r="B11" s="609">
        <v>0</v>
      </c>
      <c r="C11" s="601">
        <v>11350000</v>
      </c>
      <c r="D11" s="669">
        <f t="shared" si="0"/>
        <v>11350000</v>
      </c>
      <c r="E11" s="640">
        <v>9000000</v>
      </c>
      <c r="F11" s="601">
        <v>6000000</v>
      </c>
      <c r="G11" s="670">
        <f t="shared" si="4"/>
        <v>-3000000</v>
      </c>
      <c r="H11" s="609">
        <v>8190230</v>
      </c>
      <c r="I11" s="601">
        <v>8400000</v>
      </c>
      <c r="J11" s="669">
        <f t="shared" si="1"/>
        <v>209770</v>
      </c>
      <c r="K11" s="640">
        <v>4984234</v>
      </c>
      <c r="L11" s="601">
        <v>8000000</v>
      </c>
      <c r="M11" s="671">
        <f t="shared" si="2"/>
        <v>3015766</v>
      </c>
      <c r="N11" s="609">
        <v>7328029</v>
      </c>
      <c r="O11" s="601">
        <v>7694430</v>
      </c>
      <c r="P11" s="672">
        <f t="shared" si="3"/>
        <v>366401</v>
      </c>
    </row>
    <row r="12" spans="1:16" s="314" customFormat="1" ht="22.5" customHeight="1">
      <c r="A12" s="225" t="s">
        <v>384</v>
      </c>
      <c r="B12" s="609">
        <v>10979868</v>
      </c>
      <c r="C12" s="601">
        <v>6400000</v>
      </c>
      <c r="D12" s="669">
        <f t="shared" si="0"/>
        <v>-4579868</v>
      </c>
      <c r="E12" s="640">
        <v>16530151</v>
      </c>
      <c r="F12" s="601">
        <v>15776000</v>
      </c>
      <c r="G12" s="670">
        <f t="shared" si="4"/>
        <v>-754151</v>
      </c>
      <c r="H12" s="609">
        <v>3234708</v>
      </c>
      <c r="I12" s="601">
        <v>3250000</v>
      </c>
      <c r="J12" s="669">
        <f t="shared" si="1"/>
        <v>15292</v>
      </c>
      <c r="K12" s="640">
        <v>17198672</v>
      </c>
      <c r="L12" s="601">
        <v>13000000</v>
      </c>
      <c r="M12" s="671">
        <f t="shared" si="2"/>
        <v>-4198672</v>
      </c>
      <c r="N12" s="609">
        <v>451843</v>
      </c>
      <c r="O12" s="601">
        <v>5940000</v>
      </c>
      <c r="P12" s="672">
        <f t="shared" si="3"/>
        <v>5488157</v>
      </c>
    </row>
    <row r="13" spans="1:16" s="314" customFormat="1" ht="22.5" customHeight="1" thickBot="1">
      <c r="A13" s="443" t="s">
        <v>385</v>
      </c>
      <c r="B13" s="617">
        <v>49502715</v>
      </c>
      <c r="C13" s="613">
        <v>49872000</v>
      </c>
      <c r="D13" s="669">
        <f t="shared" si="0"/>
        <v>369285</v>
      </c>
      <c r="E13" s="673">
        <v>29830446</v>
      </c>
      <c r="F13" s="613">
        <v>25552000</v>
      </c>
      <c r="G13" s="670">
        <f t="shared" si="4"/>
        <v>-4278446</v>
      </c>
      <c r="H13" s="617">
        <v>23238552</v>
      </c>
      <c r="I13" s="613">
        <v>23000000</v>
      </c>
      <c r="J13" s="669">
        <f t="shared" si="1"/>
        <v>-238552</v>
      </c>
      <c r="K13" s="673">
        <v>11446526</v>
      </c>
      <c r="L13" s="613">
        <v>12600000</v>
      </c>
      <c r="M13" s="671">
        <f t="shared" si="2"/>
        <v>1153474</v>
      </c>
      <c r="N13" s="617">
        <v>38045650</v>
      </c>
      <c r="O13" s="613">
        <v>31402435</v>
      </c>
      <c r="P13" s="672">
        <f t="shared" si="3"/>
        <v>-6643215</v>
      </c>
    </row>
    <row r="14" spans="1:16" s="676" customFormat="1" ht="22.5" customHeight="1" thickBot="1">
      <c r="A14" s="8" t="s">
        <v>386</v>
      </c>
      <c r="B14" s="605">
        <f>B5+B6+B7+B8+B9+B10+B12+B13</f>
        <v>227083299</v>
      </c>
      <c r="C14" s="115">
        <f>C5+C6+C7+C8+C9+C10+C12+C13</f>
        <v>248872000</v>
      </c>
      <c r="D14" s="674">
        <f t="shared" si="0"/>
        <v>21788701</v>
      </c>
      <c r="E14" s="606">
        <f>SUM(E5:E13)</f>
        <v>282877535</v>
      </c>
      <c r="F14" s="115">
        <f>SUM(F5:F13)</f>
        <v>296130000</v>
      </c>
      <c r="G14" s="675">
        <f>+F14-E14</f>
        <v>13252465</v>
      </c>
      <c r="H14" s="605">
        <v>160873562</v>
      </c>
      <c r="I14" s="115">
        <f>I5+I6+I7+I8+I9+I10+I12+I13</f>
        <v>169682000</v>
      </c>
      <c r="J14" s="674">
        <f t="shared" si="1"/>
        <v>8808438</v>
      </c>
      <c r="K14" s="606">
        <f>SUM(K5:K13)</f>
        <v>221819272</v>
      </c>
      <c r="L14" s="115">
        <f>SUM(L5:L13)</f>
        <v>238994855</v>
      </c>
      <c r="M14" s="675">
        <f t="shared" si="2"/>
        <v>17175583</v>
      </c>
      <c r="N14" s="605">
        <v>221582354</v>
      </c>
      <c r="O14" s="115">
        <v>232702798</v>
      </c>
      <c r="P14" s="674">
        <f t="shared" si="3"/>
        <v>11120444</v>
      </c>
    </row>
    <row r="15" spans="1:16" s="314" customFormat="1" ht="22.5" customHeight="1">
      <c r="A15" s="668" t="s">
        <v>387</v>
      </c>
      <c r="B15" s="602">
        <v>13689375</v>
      </c>
      <c r="C15" s="599">
        <v>9900000</v>
      </c>
      <c r="D15" s="669">
        <f t="shared" si="0"/>
        <v>-3789375</v>
      </c>
      <c r="E15" s="614">
        <v>5775913</v>
      </c>
      <c r="F15" s="599">
        <v>15750000</v>
      </c>
      <c r="G15" s="670">
        <f>+F15-E15</f>
        <v>9974087</v>
      </c>
      <c r="H15" s="602">
        <v>113926</v>
      </c>
      <c r="I15" s="599">
        <v>2550000</v>
      </c>
      <c r="J15" s="669">
        <f t="shared" si="1"/>
        <v>2436074</v>
      </c>
      <c r="K15" s="614">
        <v>2079269</v>
      </c>
      <c r="L15" s="599">
        <v>3100000</v>
      </c>
      <c r="M15" s="671">
        <f t="shared" si="2"/>
        <v>1020731</v>
      </c>
      <c r="N15" s="602">
        <v>1383718</v>
      </c>
      <c r="O15" s="599">
        <v>7300000</v>
      </c>
      <c r="P15" s="672">
        <f t="shared" si="3"/>
        <v>5916282</v>
      </c>
    </row>
    <row r="16" spans="1:16" s="314" customFormat="1" ht="22.5" customHeight="1">
      <c r="A16" s="225" t="s">
        <v>388</v>
      </c>
      <c r="B16" s="609">
        <v>7793928</v>
      </c>
      <c r="C16" s="601">
        <v>4000000</v>
      </c>
      <c r="D16" s="678">
        <f t="shared" si="0"/>
        <v>-3793928</v>
      </c>
      <c r="E16" s="679"/>
      <c r="F16" s="601">
        <v>6000000</v>
      </c>
      <c r="G16" s="670">
        <f>+F16-E16</f>
        <v>6000000</v>
      </c>
      <c r="H16" s="677"/>
      <c r="I16" s="601">
        <v>2484000</v>
      </c>
      <c r="J16" s="678">
        <f t="shared" si="1"/>
        <v>2484000</v>
      </c>
      <c r="K16" s="679">
        <v>1065077</v>
      </c>
      <c r="L16" s="601">
        <v>2100000</v>
      </c>
      <c r="M16" s="680">
        <f t="shared" si="2"/>
        <v>1034923</v>
      </c>
      <c r="N16" s="677"/>
      <c r="O16" s="601">
        <v>6800000</v>
      </c>
      <c r="P16" s="672">
        <f t="shared" si="3"/>
        <v>6800000</v>
      </c>
    </row>
    <row r="17" spans="1:16" s="314" customFormat="1" ht="22.5" customHeight="1" thickBot="1">
      <c r="A17" s="443" t="s">
        <v>389</v>
      </c>
      <c r="B17" s="617">
        <f>B14+B15</f>
        <v>240772674</v>
      </c>
      <c r="C17" s="613">
        <f>C14+C15</f>
        <v>258772000</v>
      </c>
      <c r="D17" s="681">
        <f t="shared" si="0"/>
        <v>17999326</v>
      </c>
      <c r="E17" s="673">
        <f>+E14+E15</f>
        <v>288653448</v>
      </c>
      <c r="F17" s="613">
        <f>+F14+F15</f>
        <v>311880000</v>
      </c>
      <c r="G17" s="1157">
        <f>+F17-E17</f>
        <v>23226552</v>
      </c>
      <c r="H17" s="617">
        <v>160987488</v>
      </c>
      <c r="I17" s="613">
        <f>I14+I15</f>
        <v>172232000</v>
      </c>
      <c r="J17" s="681">
        <f t="shared" si="1"/>
        <v>11244512</v>
      </c>
      <c r="K17" s="673">
        <f>K14+K15</f>
        <v>223898541</v>
      </c>
      <c r="L17" s="613">
        <f>L14+L15</f>
        <v>242094855</v>
      </c>
      <c r="M17" s="682">
        <f t="shared" si="2"/>
        <v>18196314</v>
      </c>
      <c r="N17" s="617">
        <v>222966072</v>
      </c>
      <c r="O17" s="613">
        <v>240002798</v>
      </c>
      <c r="P17" s="683">
        <f>+O17-N17</f>
        <v>17036726</v>
      </c>
    </row>
    <row r="18" spans="1:16" s="314" customFormat="1" ht="22.5" customHeight="1" thickBot="1">
      <c r="A18" s="46" t="s">
        <v>390</v>
      </c>
      <c r="B18" s="605">
        <v>329542239</v>
      </c>
      <c r="C18" s="115">
        <v>354000000</v>
      </c>
      <c r="D18" s="674">
        <f t="shared" si="0"/>
        <v>24457761</v>
      </c>
      <c r="E18" s="606">
        <v>383009705.50000006</v>
      </c>
      <c r="F18" s="115">
        <v>418456000</v>
      </c>
      <c r="G18" s="674">
        <f>+F18-E18</f>
        <v>35446294.49999994</v>
      </c>
      <c r="H18" s="605">
        <f>160987488+56358124+3217471</f>
        <v>220563083</v>
      </c>
      <c r="I18" s="115">
        <f>I17*1.37</f>
        <v>235957840.00000003</v>
      </c>
      <c r="J18" s="674">
        <f t="shared" si="1"/>
        <v>15394757.00000003</v>
      </c>
      <c r="K18" s="606">
        <v>306433239.44</v>
      </c>
      <c r="L18" s="115">
        <v>331607951.35</v>
      </c>
      <c r="M18" s="684">
        <v>25174711.910000026</v>
      </c>
      <c r="N18" s="605">
        <v>305435844.28000003</v>
      </c>
      <c r="O18" s="115">
        <v>328657833.26000005</v>
      </c>
      <c r="P18" s="685">
        <f>+O18-N18</f>
        <v>23221988.98000002</v>
      </c>
    </row>
    <row r="19" spans="13:16" ht="13.5" thickBot="1">
      <c r="M19" s="686"/>
      <c r="P19" s="686"/>
    </row>
    <row r="20" spans="1:16" ht="24" customHeight="1">
      <c r="A20" s="1187"/>
      <c r="B20" s="1184" t="s">
        <v>391</v>
      </c>
      <c r="C20" s="1185"/>
      <c r="D20" s="1186"/>
      <c r="E20" s="1184" t="s">
        <v>392</v>
      </c>
      <c r="F20" s="1185"/>
      <c r="G20" s="1186"/>
      <c r="H20" s="1184" t="s">
        <v>393</v>
      </c>
      <c r="I20" s="1185"/>
      <c r="J20" s="1186"/>
      <c r="M20" s="686"/>
      <c r="N20" s="1184" t="s">
        <v>394</v>
      </c>
      <c r="O20" s="1185"/>
      <c r="P20" s="1186"/>
    </row>
    <row r="21" spans="1:16" ht="17.25" customHeight="1" thickBot="1">
      <c r="A21" s="1188" t="s">
        <v>375</v>
      </c>
      <c r="B21" s="662">
        <v>2006</v>
      </c>
      <c r="C21" s="663">
        <v>2007</v>
      </c>
      <c r="D21" s="664" t="s">
        <v>376</v>
      </c>
      <c r="E21" s="662">
        <v>2006</v>
      </c>
      <c r="F21" s="663">
        <v>2007</v>
      </c>
      <c r="G21" s="664" t="s">
        <v>376</v>
      </c>
      <c r="H21" s="662">
        <v>2006</v>
      </c>
      <c r="I21" s="663">
        <v>2007</v>
      </c>
      <c r="J21" s="664" t="s">
        <v>376</v>
      </c>
      <c r="K21"/>
      <c r="L21"/>
      <c r="N21" s="662">
        <v>2006</v>
      </c>
      <c r="O21" s="687">
        <v>2007</v>
      </c>
      <c r="P21" s="688" t="s">
        <v>376</v>
      </c>
    </row>
    <row r="22" spans="1:16" ht="22.5" customHeight="1">
      <c r="A22" s="668" t="s">
        <v>377</v>
      </c>
      <c r="B22" s="602">
        <v>49918135</v>
      </c>
      <c r="C22" s="599">
        <v>53262650</v>
      </c>
      <c r="D22" s="669">
        <v>3344515</v>
      </c>
      <c r="E22" s="602">
        <v>3803796</v>
      </c>
      <c r="F22" s="599">
        <v>4680552</v>
      </c>
      <c r="G22" s="669">
        <v>876756</v>
      </c>
      <c r="H22" s="602">
        <v>6043610</v>
      </c>
      <c r="I22" s="599">
        <v>7408856</v>
      </c>
      <c r="J22" s="669">
        <f>+I22-H22</f>
        <v>1365246</v>
      </c>
      <c r="K22"/>
      <c r="L22"/>
      <c r="N22" s="602">
        <f aca="true" t="shared" si="5" ref="N22:N35">+B5+E5+H5+K5+N5+B22+E22+H22</f>
        <v>792935772</v>
      </c>
      <c r="O22" s="600">
        <f aca="true" t="shared" si="6" ref="O22:O35">+C5+F5+I5+L5+O5+C22+F22+I22</f>
        <v>859354932</v>
      </c>
      <c r="P22" s="689">
        <f aca="true" t="shared" si="7" ref="P22:P35">+O22-N22</f>
        <v>66419160</v>
      </c>
    </row>
    <row r="23" spans="1:16" ht="22.5" customHeight="1">
      <c r="A23" s="225" t="s">
        <v>378</v>
      </c>
      <c r="B23" s="609">
        <v>22654991</v>
      </c>
      <c r="C23" s="601">
        <v>24172875</v>
      </c>
      <c r="D23" s="669">
        <v>1517884</v>
      </c>
      <c r="E23" s="609">
        <v>942155</v>
      </c>
      <c r="F23" s="601">
        <v>832477</v>
      </c>
      <c r="G23" s="669">
        <v>-109678</v>
      </c>
      <c r="H23" s="609">
        <v>1529358</v>
      </c>
      <c r="I23" s="601">
        <v>1645398</v>
      </c>
      <c r="J23" s="669">
        <f aca="true" t="shared" si="8" ref="J23:J35">+I23-H23</f>
        <v>116040</v>
      </c>
      <c r="N23" s="609">
        <f t="shared" si="5"/>
        <v>111903765</v>
      </c>
      <c r="O23" s="607">
        <f t="shared" si="6"/>
        <v>119277759</v>
      </c>
      <c r="P23" s="689">
        <f t="shared" si="7"/>
        <v>7373994</v>
      </c>
    </row>
    <row r="24" spans="1:16" ht="22.5" customHeight="1">
      <c r="A24" s="225" t="s">
        <v>379</v>
      </c>
      <c r="B24" s="609">
        <v>714946</v>
      </c>
      <c r="C24" s="601">
        <v>780946</v>
      </c>
      <c r="D24" s="669">
        <v>66000</v>
      </c>
      <c r="E24" s="609">
        <v>54363</v>
      </c>
      <c r="F24" s="601">
        <v>70200</v>
      </c>
      <c r="G24" s="669">
        <v>15837</v>
      </c>
      <c r="H24" s="609">
        <v>111121</v>
      </c>
      <c r="I24" s="601">
        <v>157200</v>
      </c>
      <c r="J24" s="669">
        <f t="shared" si="8"/>
        <v>46079</v>
      </c>
      <c r="N24" s="609">
        <f t="shared" si="5"/>
        <v>9492185</v>
      </c>
      <c r="O24" s="607">
        <f t="shared" si="6"/>
        <v>15401458</v>
      </c>
      <c r="P24" s="689">
        <f t="shared" si="7"/>
        <v>5909273</v>
      </c>
    </row>
    <row r="25" spans="1:16" ht="22.5" customHeight="1">
      <c r="A25" s="225" t="s">
        <v>380</v>
      </c>
      <c r="B25" s="609">
        <v>811229</v>
      </c>
      <c r="C25" s="601">
        <v>0</v>
      </c>
      <c r="D25" s="669">
        <v>-811229</v>
      </c>
      <c r="E25" s="609">
        <v>60222</v>
      </c>
      <c r="F25" s="601">
        <v>193920</v>
      </c>
      <c r="G25" s="669">
        <v>133698</v>
      </c>
      <c r="H25" s="609">
        <v>70678</v>
      </c>
      <c r="I25" s="601">
        <v>96000</v>
      </c>
      <c r="J25" s="669">
        <f t="shared" si="8"/>
        <v>25322</v>
      </c>
      <c r="N25" s="609">
        <f t="shared" si="5"/>
        <v>13084968</v>
      </c>
      <c r="O25" s="607">
        <f t="shared" si="6"/>
        <v>939920</v>
      </c>
      <c r="P25" s="689">
        <f t="shared" si="7"/>
        <v>-12145048</v>
      </c>
    </row>
    <row r="26" spans="1:16" ht="22.5" customHeight="1">
      <c r="A26" s="225" t="s">
        <v>381</v>
      </c>
      <c r="B26" s="609">
        <v>3766254</v>
      </c>
      <c r="C26" s="601">
        <v>4877483</v>
      </c>
      <c r="D26" s="669">
        <v>1111229</v>
      </c>
      <c r="E26" s="609">
        <v>0</v>
      </c>
      <c r="F26" s="601">
        <v>0</v>
      </c>
      <c r="G26" s="669">
        <v>0</v>
      </c>
      <c r="H26" s="609">
        <v>62920</v>
      </c>
      <c r="I26" s="601">
        <v>144000</v>
      </c>
      <c r="J26" s="669">
        <f t="shared" si="8"/>
        <v>81080</v>
      </c>
      <c r="N26" s="609">
        <f t="shared" si="5"/>
        <v>12489087</v>
      </c>
      <c r="O26" s="607">
        <f t="shared" si="6"/>
        <v>26102699</v>
      </c>
      <c r="P26" s="689">
        <f t="shared" si="7"/>
        <v>13613612</v>
      </c>
    </row>
    <row r="27" spans="1:16" ht="22.5" customHeight="1">
      <c r="A27" s="225" t="s">
        <v>382</v>
      </c>
      <c r="B27" s="609">
        <v>1504450</v>
      </c>
      <c r="C27" s="601">
        <v>1500000</v>
      </c>
      <c r="D27" s="669">
        <v>-4450</v>
      </c>
      <c r="E27" s="609">
        <v>100000</v>
      </c>
      <c r="F27" s="601"/>
      <c r="G27" s="669">
        <v>-100000</v>
      </c>
      <c r="H27" s="609">
        <v>390957</v>
      </c>
      <c r="I27" s="601">
        <v>50000</v>
      </c>
      <c r="J27" s="669">
        <f t="shared" si="8"/>
        <v>-340957</v>
      </c>
      <c r="N27" s="609">
        <f t="shared" si="5"/>
        <v>52424059</v>
      </c>
      <c r="O27" s="607">
        <f t="shared" si="6"/>
        <v>64383000</v>
      </c>
      <c r="P27" s="689">
        <f t="shared" si="7"/>
        <v>11958941</v>
      </c>
    </row>
    <row r="28" spans="1:16" ht="22.5" customHeight="1">
      <c r="A28" s="225" t="s">
        <v>383</v>
      </c>
      <c r="B28" s="609"/>
      <c r="C28" s="601">
        <v>1500000</v>
      </c>
      <c r="D28" s="669">
        <v>1500000</v>
      </c>
      <c r="E28" s="609">
        <v>0</v>
      </c>
      <c r="F28" s="601">
        <v>0</v>
      </c>
      <c r="G28" s="669">
        <v>0</v>
      </c>
      <c r="H28" s="609">
        <v>0</v>
      </c>
      <c r="I28" s="601">
        <v>0</v>
      </c>
      <c r="J28" s="669">
        <f t="shared" si="8"/>
        <v>0</v>
      </c>
      <c r="N28" s="609">
        <f t="shared" si="5"/>
        <v>29502493</v>
      </c>
      <c r="O28" s="607">
        <f t="shared" si="6"/>
        <v>42944430</v>
      </c>
      <c r="P28" s="689">
        <f t="shared" si="7"/>
        <v>13441937</v>
      </c>
    </row>
    <row r="29" spans="1:16" ht="22.5" customHeight="1">
      <c r="A29" s="225" t="s">
        <v>384</v>
      </c>
      <c r="B29" s="609">
        <v>8228997</v>
      </c>
      <c r="C29" s="601">
        <v>10130340</v>
      </c>
      <c r="D29" s="669">
        <v>1901343</v>
      </c>
      <c r="E29" s="609">
        <v>5883</v>
      </c>
      <c r="F29" s="601">
        <v>0</v>
      </c>
      <c r="G29" s="669">
        <v>-5883</v>
      </c>
      <c r="H29" s="609">
        <v>65617</v>
      </c>
      <c r="I29" s="601">
        <v>112144</v>
      </c>
      <c r="J29" s="669">
        <f t="shared" si="8"/>
        <v>46527</v>
      </c>
      <c r="N29" s="609">
        <f t="shared" si="5"/>
        <v>56695739</v>
      </c>
      <c r="O29" s="607">
        <f t="shared" si="6"/>
        <v>54608484</v>
      </c>
      <c r="P29" s="689">
        <f t="shared" si="7"/>
        <v>-2087255</v>
      </c>
    </row>
    <row r="30" spans="1:16" ht="22.5" customHeight="1" thickBot="1">
      <c r="A30" s="443" t="s">
        <v>385</v>
      </c>
      <c r="B30" s="617">
        <v>9583756</v>
      </c>
      <c r="C30" s="613">
        <v>9583756</v>
      </c>
      <c r="D30" s="669">
        <v>0</v>
      </c>
      <c r="E30" s="617">
        <v>287456</v>
      </c>
      <c r="F30" s="613">
        <v>387240</v>
      </c>
      <c r="G30" s="669">
        <v>99784</v>
      </c>
      <c r="H30" s="617">
        <v>429739</v>
      </c>
      <c r="I30" s="613">
        <v>453000</v>
      </c>
      <c r="J30" s="669">
        <f t="shared" si="8"/>
        <v>23261</v>
      </c>
      <c r="N30" s="617">
        <f t="shared" si="5"/>
        <v>162364840</v>
      </c>
      <c r="O30" s="690">
        <f t="shared" si="6"/>
        <v>152850431</v>
      </c>
      <c r="P30" s="689">
        <f t="shared" si="7"/>
        <v>-9514409</v>
      </c>
    </row>
    <row r="31" spans="1:16" s="444" customFormat="1" ht="22.5" customHeight="1" thickBot="1">
      <c r="A31" s="8" t="s">
        <v>386</v>
      </c>
      <c r="B31" s="605">
        <v>97182758</v>
      </c>
      <c r="C31" s="115">
        <v>104308050</v>
      </c>
      <c r="D31" s="674">
        <v>7125292</v>
      </c>
      <c r="E31" s="605">
        <v>5253875</v>
      </c>
      <c r="F31" s="115">
        <v>6164389</v>
      </c>
      <c r="G31" s="674">
        <v>910514</v>
      </c>
      <c r="H31" s="605">
        <v>8704000</v>
      </c>
      <c r="I31" s="115">
        <v>10066598</v>
      </c>
      <c r="J31" s="674">
        <f t="shared" si="8"/>
        <v>1362598</v>
      </c>
      <c r="K31" s="888"/>
      <c r="L31" s="888"/>
      <c r="N31" s="605">
        <f t="shared" si="5"/>
        <v>1225376655</v>
      </c>
      <c r="O31" s="124">
        <f t="shared" si="6"/>
        <v>1306920690</v>
      </c>
      <c r="P31" s="691">
        <f t="shared" si="7"/>
        <v>81544035</v>
      </c>
    </row>
    <row r="32" spans="1:16" ht="22.5" customHeight="1">
      <c r="A32" s="668" t="s">
        <v>387</v>
      </c>
      <c r="B32" s="602">
        <v>7636413</v>
      </c>
      <c r="C32" s="599">
        <v>8300000</v>
      </c>
      <c r="D32" s="669">
        <v>663587</v>
      </c>
      <c r="E32" s="602">
        <v>22000</v>
      </c>
      <c r="F32" s="599">
        <v>30000</v>
      </c>
      <c r="G32" s="669">
        <v>8000</v>
      </c>
      <c r="H32" s="602">
        <v>20000</v>
      </c>
      <c r="I32" s="599">
        <v>30000</v>
      </c>
      <c r="J32" s="669">
        <f t="shared" si="8"/>
        <v>10000</v>
      </c>
      <c r="N32" s="602">
        <f t="shared" si="5"/>
        <v>30720614</v>
      </c>
      <c r="O32" s="600">
        <f t="shared" si="6"/>
        <v>46960000</v>
      </c>
      <c r="P32" s="689">
        <f t="shared" si="7"/>
        <v>16239386</v>
      </c>
    </row>
    <row r="33" spans="1:16" ht="22.5" customHeight="1">
      <c r="A33" s="225" t="s">
        <v>388</v>
      </c>
      <c r="B33" s="677"/>
      <c r="C33" s="601"/>
      <c r="D33" s="678">
        <v>0</v>
      </c>
      <c r="E33" s="677">
        <v>0</v>
      </c>
      <c r="F33" s="601">
        <v>0</v>
      </c>
      <c r="G33" s="678">
        <v>0</v>
      </c>
      <c r="H33" s="677">
        <v>0</v>
      </c>
      <c r="I33" s="601">
        <v>0</v>
      </c>
      <c r="J33" s="678">
        <f t="shared" si="8"/>
        <v>0</v>
      </c>
      <c r="N33" s="609">
        <f t="shared" si="5"/>
        <v>8859005</v>
      </c>
      <c r="O33" s="607">
        <f t="shared" si="6"/>
        <v>21384000</v>
      </c>
      <c r="P33" s="692">
        <f t="shared" si="7"/>
        <v>12524995</v>
      </c>
    </row>
    <row r="34" spans="1:16" ht="22.5" customHeight="1" thickBot="1">
      <c r="A34" s="443" t="s">
        <v>389</v>
      </c>
      <c r="B34" s="617">
        <v>104819171</v>
      </c>
      <c r="C34" s="613">
        <v>112608050</v>
      </c>
      <c r="D34" s="681">
        <v>7788879</v>
      </c>
      <c r="E34" s="617">
        <v>5275875</v>
      </c>
      <c r="F34" s="613">
        <v>6194389</v>
      </c>
      <c r="G34" s="681">
        <v>918514</v>
      </c>
      <c r="H34" s="617">
        <f>+H31+H32</f>
        <v>8724000</v>
      </c>
      <c r="I34" s="613">
        <f>+I31+I32</f>
        <v>10096598</v>
      </c>
      <c r="J34" s="681">
        <f t="shared" si="8"/>
        <v>1372598</v>
      </c>
      <c r="N34" s="617">
        <f t="shared" si="5"/>
        <v>1256097269</v>
      </c>
      <c r="O34" s="690">
        <f t="shared" si="6"/>
        <v>1353880690</v>
      </c>
      <c r="P34" s="693">
        <f t="shared" si="7"/>
        <v>97783421</v>
      </c>
    </row>
    <row r="35" spans="1:16" ht="22.5" customHeight="1" thickBot="1">
      <c r="A35" s="46" t="s">
        <v>390</v>
      </c>
      <c r="B35" s="605">
        <v>143309153</v>
      </c>
      <c r="C35" s="115">
        <v>154107028</v>
      </c>
      <c r="D35" s="674">
        <v>10797875</v>
      </c>
      <c r="E35" s="605">
        <f>+E31*1.37+E32*1.35</f>
        <v>7227508.750000001</v>
      </c>
      <c r="F35" s="115">
        <f>+F31*1.37+F32*1.35</f>
        <v>8485712.930000002</v>
      </c>
      <c r="G35" s="674">
        <f>+F35-E35</f>
        <v>1258204.1800000006</v>
      </c>
      <c r="H35" s="605">
        <v>11979790</v>
      </c>
      <c r="I35" s="115">
        <f>+I31*1.37+I32*1.35</f>
        <v>13831739.260000002</v>
      </c>
      <c r="J35" s="674">
        <f t="shared" si="8"/>
        <v>1851949.2600000016</v>
      </c>
      <c r="N35" s="605">
        <f t="shared" si="5"/>
        <v>1707500562.97</v>
      </c>
      <c r="O35" s="124">
        <f t="shared" si="6"/>
        <v>1845104104.8</v>
      </c>
      <c r="P35" s="691">
        <f t="shared" si="7"/>
        <v>137603541.82999992</v>
      </c>
    </row>
    <row r="47" ht="12.75">
      <c r="C47" s="694"/>
    </row>
    <row r="48" ht="12.75">
      <c r="C48" s="695"/>
    </row>
    <row r="49" ht="12.75">
      <c r="C49" s="695"/>
    </row>
    <row r="50" ht="12.75">
      <c r="C50" s="695"/>
    </row>
    <row r="51" ht="12.75">
      <c r="C51" s="695"/>
    </row>
    <row r="52" spans="3:5" ht="12.75">
      <c r="C52" s="696"/>
      <c r="E52" s="697"/>
    </row>
    <row r="53" spans="3:5" ht="12.75">
      <c r="C53" s="696"/>
      <c r="E53" s="698"/>
    </row>
    <row r="54" spans="3:5" ht="12.75">
      <c r="C54" s="696"/>
      <c r="E54" s="697"/>
    </row>
    <row r="55" spans="3:5" ht="12.75">
      <c r="C55" s="699"/>
      <c r="E55" s="700"/>
    </row>
    <row r="56" ht="12.75">
      <c r="E56" s="700"/>
    </row>
  </sheetData>
  <mergeCells count="11">
    <mergeCell ref="N3:P3"/>
    <mergeCell ref="N20:P20"/>
    <mergeCell ref="H3:J3"/>
    <mergeCell ref="B3:D3"/>
    <mergeCell ref="K3:M3"/>
    <mergeCell ref="E3:G3"/>
    <mergeCell ref="B20:D20"/>
    <mergeCell ref="E20:G20"/>
    <mergeCell ref="H20:J20"/>
    <mergeCell ref="A3:A4"/>
    <mergeCell ref="A20:A21"/>
  </mergeCells>
  <printOptions horizontalCentered="1"/>
  <pageMargins left="0.2" right="0.2" top="0.35" bottom="0.32" header="0.27" footer="0.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160">
      <selection activeCell="A163" sqref="A163:IV163"/>
    </sheetView>
  </sheetViews>
  <sheetFormatPr defaultColWidth="9.00390625" defaultRowHeight="12.75"/>
  <cols>
    <col min="1" max="1" width="34.125" style="142" customWidth="1"/>
    <col min="2" max="2" width="10.625" style="194" customWidth="1"/>
    <col min="3" max="3" width="10.25390625" style="194" customWidth="1"/>
    <col min="4" max="4" width="9.375" style="194" customWidth="1"/>
    <col min="5" max="5" width="9.25390625" style="142" customWidth="1"/>
    <col min="6" max="6" width="9.875" style="142" customWidth="1"/>
    <col min="7" max="7" width="9.75390625" style="142" customWidth="1"/>
    <col min="8" max="8" width="9.375" style="142" customWidth="1"/>
    <col min="9" max="9" width="9.125" style="142" customWidth="1"/>
    <col min="10" max="11" width="9.375" style="142" customWidth="1"/>
    <col min="12" max="12" width="9.75390625" style="142" customWidth="1"/>
    <col min="13" max="14" width="9.125" style="142" customWidth="1"/>
  </cols>
  <sheetData>
    <row r="1" spans="8:13" ht="15.75">
      <c r="H1" s="163"/>
      <c r="M1" s="163"/>
    </row>
    <row r="2" spans="1:13" ht="16.5" thickBot="1">
      <c r="A2" s="167" t="s">
        <v>143</v>
      </c>
      <c r="B2" s="270"/>
      <c r="C2" s="270"/>
      <c r="D2" s="270"/>
      <c r="H2" s="163"/>
      <c r="M2" s="163"/>
    </row>
    <row r="3" spans="1:14" ht="24" customHeight="1" thickBot="1">
      <c r="A3" s="1325" t="s">
        <v>1</v>
      </c>
      <c r="B3" s="1338" t="s">
        <v>191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40"/>
      <c r="N3"/>
    </row>
    <row r="4" spans="1:17" ht="10.5" customHeight="1">
      <c r="A4" s="1326"/>
      <c r="B4" s="1283" t="s">
        <v>207</v>
      </c>
      <c r="C4" s="1368" t="s">
        <v>251</v>
      </c>
      <c r="D4" s="261" t="s">
        <v>291</v>
      </c>
      <c r="E4" s="262"/>
      <c r="F4" s="263"/>
      <c r="G4" s="1303" t="s">
        <v>152</v>
      </c>
      <c r="H4" s="1304"/>
      <c r="I4" s="1365" t="s">
        <v>292</v>
      </c>
      <c r="J4" s="1366"/>
      <c r="K4" s="1367"/>
      <c r="L4" s="1303" t="s">
        <v>293</v>
      </c>
      <c r="M4" s="1304"/>
      <c r="O4" s="142"/>
      <c r="P4" s="142"/>
      <c r="Q4" s="142"/>
    </row>
    <row r="5" spans="1:14" ht="13.5" customHeight="1">
      <c r="A5" s="1326"/>
      <c r="B5" s="1321"/>
      <c r="C5" s="1369" t="s">
        <v>4</v>
      </c>
      <c r="D5" s="264" t="s">
        <v>2</v>
      </c>
      <c r="E5" s="265" t="s">
        <v>190</v>
      </c>
      <c r="F5" s="266" t="s">
        <v>4</v>
      </c>
      <c r="G5" s="3" t="s">
        <v>4</v>
      </c>
      <c r="H5" s="2" t="s">
        <v>5</v>
      </c>
      <c r="I5" s="264" t="s">
        <v>2</v>
      </c>
      <c r="J5" s="265" t="s">
        <v>190</v>
      </c>
      <c r="K5" s="266" t="s">
        <v>4</v>
      </c>
      <c r="L5" s="3" t="s">
        <v>4</v>
      </c>
      <c r="M5" s="2" t="s">
        <v>5</v>
      </c>
      <c r="N5"/>
    </row>
    <row r="6" spans="1:14" ht="12" customHeight="1" thickBot="1">
      <c r="A6" s="1327"/>
      <c r="B6" s="1322"/>
      <c r="C6" s="1370"/>
      <c r="D6" s="267" t="s">
        <v>6</v>
      </c>
      <c r="E6" s="268" t="s">
        <v>6</v>
      </c>
      <c r="F6" s="269"/>
      <c r="G6" s="5" t="s">
        <v>7</v>
      </c>
      <c r="H6" s="4" t="s">
        <v>8</v>
      </c>
      <c r="I6" s="267" t="s">
        <v>6</v>
      </c>
      <c r="J6" s="268" t="s">
        <v>6</v>
      </c>
      <c r="K6" s="269"/>
      <c r="L6" s="5" t="s">
        <v>7</v>
      </c>
      <c r="M6" s="4" t="s">
        <v>8</v>
      </c>
      <c r="N6"/>
    </row>
    <row r="7" spans="1:14" ht="15.75" customHeight="1">
      <c r="A7" s="271" t="s">
        <v>9</v>
      </c>
      <c r="B7" s="351"/>
      <c r="C7" s="331"/>
      <c r="D7" s="329"/>
      <c r="E7" s="330"/>
      <c r="F7" s="331"/>
      <c r="G7" s="273"/>
      <c r="H7" s="275"/>
      <c r="I7" s="329"/>
      <c r="J7" s="330"/>
      <c r="K7" s="331"/>
      <c r="L7" s="273"/>
      <c r="M7" s="275"/>
      <c r="N7"/>
    </row>
    <row r="8" spans="1:14" ht="15.75" customHeight="1">
      <c r="A8" s="276" t="s">
        <v>10</v>
      </c>
      <c r="B8" s="352">
        <v>454198.04</v>
      </c>
      <c r="C8" s="239">
        <v>484940.89</v>
      </c>
      <c r="D8" s="226">
        <v>517782</v>
      </c>
      <c r="E8" s="12">
        <v>2792</v>
      </c>
      <c r="F8" s="705">
        <f aca="true" t="shared" si="0" ref="F8:F35">SUM(D8:E8)</f>
        <v>520574</v>
      </c>
      <c r="G8" s="280">
        <f aca="true" t="shared" si="1" ref="G8:G34">+F8-C8</f>
        <v>35633.109999999986</v>
      </c>
      <c r="H8" s="281">
        <f aca="true" t="shared" si="2" ref="H8:H13">+F8/C8</f>
        <v>1.0734792852794903</v>
      </c>
      <c r="I8" s="226">
        <v>535000</v>
      </c>
      <c r="J8" s="12">
        <v>750</v>
      </c>
      <c r="K8" s="12">
        <f>+I8+J8</f>
        <v>535750</v>
      </c>
      <c r="L8" s="280">
        <f>+K8-F8</f>
        <v>15176</v>
      </c>
      <c r="M8" s="281">
        <f>+K8/F8</f>
        <v>1.0291524355807244</v>
      </c>
      <c r="N8"/>
    </row>
    <row r="9" spans="1:14" ht="15.75" customHeight="1">
      <c r="A9" s="276" t="s">
        <v>11</v>
      </c>
      <c r="B9" s="353">
        <v>58834.4</v>
      </c>
      <c r="C9" s="229">
        <v>51119.69</v>
      </c>
      <c r="D9" s="236">
        <v>0</v>
      </c>
      <c r="E9" s="237">
        <v>58668</v>
      </c>
      <c r="F9" s="706">
        <f t="shared" si="0"/>
        <v>58668</v>
      </c>
      <c r="G9" s="280">
        <f t="shared" si="1"/>
        <v>7548.309999999998</v>
      </c>
      <c r="H9" s="281">
        <f t="shared" si="2"/>
        <v>1.1476595417538722</v>
      </c>
      <c r="I9" s="236"/>
      <c r="J9" s="237">
        <v>55000</v>
      </c>
      <c r="K9" s="237">
        <f aca="true" t="shared" si="3" ref="K9:K15">+I9+J9</f>
        <v>55000</v>
      </c>
      <c r="L9" s="280">
        <f aca="true" t="shared" si="4" ref="L9:L33">+K9-F9</f>
        <v>-3668</v>
      </c>
      <c r="M9" s="281">
        <f aca="true" t="shared" si="5" ref="M9:M33">+K9/F9</f>
        <v>0.9374786936660531</v>
      </c>
      <c r="N9"/>
    </row>
    <row r="10" spans="1:14" ht="15.75" customHeight="1">
      <c r="A10" s="276" t="s">
        <v>12</v>
      </c>
      <c r="B10" s="353">
        <v>10233.57</v>
      </c>
      <c r="C10" s="229">
        <v>9414.13</v>
      </c>
      <c r="D10" s="236">
        <v>9966</v>
      </c>
      <c r="E10" s="237"/>
      <c r="F10" s="706">
        <f t="shared" si="0"/>
        <v>9966</v>
      </c>
      <c r="G10" s="280">
        <f t="shared" si="1"/>
        <v>551.8700000000008</v>
      </c>
      <c r="H10" s="281">
        <f t="shared" si="2"/>
        <v>1.0586214551955413</v>
      </c>
      <c r="I10" s="236">
        <v>9500</v>
      </c>
      <c r="J10" s="237"/>
      <c r="K10" s="237">
        <f t="shared" si="3"/>
        <v>9500</v>
      </c>
      <c r="L10" s="280">
        <f t="shared" si="4"/>
        <v>-466</v>
      </c>
      <c r="M10" s="281">
        <f t="shared" si="5"/>
        <v>0.953241019466185</v>
      </c>
      <c r="N10"/>
    </row>
    <row r="11" spans="1:14" ht="15.75" customHeight="1">
      <c r="A11" s="276" t="s">
        <v>13</v>
      </c>
      <c r="B11" s="353">
        <v>4142.51</v>
      </c>
      <c r="C11" s="229">
        <v>5657.95</v>
      </c>
      <c r="D11" s="236">
        <v>9477</v>
      </c>
      <c r="E11" s="237">
        <v>131</v>
      </c>
      <c r="F11" s="706">
        <f t="shared" si="0"/>
        <v>9608</v>
      </c>
      <c r="G11" s="280">
        <f t="shared" si="1"/>
        <v>3950.05</v>
      </c>
      <c r="H11" s="281">
        <f t="shared" si="2"/>
        <v>1.6981415530359936</v>
      </c>
      <c r="I11" s="236">
        <v>6000</v>
      </c>
      <c r="J11" s="237">
        <v>6</v>
      </c>
      <c r="K11" s="237">
        <f t="shared" si="3"/>
        <v>6006</v>
      </c>
      <c r="L11" s="280">
        <f t="shared" si="4"/>
        <v>-3602</v>
      </c>
      <c r="M11" s="281">
        <f t="shared" si="5"/>
        <v>0.6251040799333888</v>
      </c>
      <c r="N11"/>
    </row>
    <row r="12" spans="1:14" ht="15.75" customHeight="1">
      <c r="A12" s="282" t="s">
        <v>14</v>
      </c>
      <c r="B12" s="353">
        <v>734.19</v>
      </c>
      <c r="C12" s="229">
        <v>1498</v>
      </c>
      <c r="D12" s="236">
        <v>6497</v>
      </c>
      <c r="E12" s="237"/>
      <c r="F12" s="706">
        <f t="shared" si="0"/>
        <v>6497</v>
      </c>
      <c r="G12" s="280">
        <f t="shared" si="1"/>
        <v>4999</v>
      </c>
      <c r="H12" s="281">
        <f t="shared" si="2"/>
        <v>4.337116154873164</v>
      </c>
      <c r="I12" s="236">
        <v>1500</v>
      </c>
      <c r="J12" s="237"/>
      <c r="K12" s="237">
        <f t="shared" si="3"/>
        <v>1500</v>
      </c>
      <c r="L12" s="280">
        <f t="shared" si="4"/>
        <v>-4997</v>
      </c>
      <c r="M12" s="281">
        <f t="shared" si="5"/>
        <v>0.23087578882561183</v>
      </c>
      <c r="N12"/>
    </row>
    <row r="13" spans="1:14" ht="15.75" customHeight="1">
      <c r="A13" s="282" t="s">
        <v>15</v>
      </c>
      <c r="B13" s="353">
        <v>3527.05</v>
      </c>
      <c r="C13" s="229">
        <v>2224</v>
      </c>
      <c r="D13" s="236">
        <v>75</v>
      </c>
      <c r="E13" s="237">
        <v>1543</v>
      </c>
      <c r="F13" s="706">
        <f t="shared" si="0"/>
        <v>1618</v>
      </c>
      <c r="G13" s="280">
        <f t="shared" si="1"/>
        <v>-606</v>
      </c>
      <c r="H13" s="281">
        <f t="shared" si="2"/>
        <v>0.7275179856115108</v>
      </c>
      <c r="I13" s="236">
        <v>2502</v>
      </c>
      <c r="J13" s="237">
        <v>0</v>
      </c>
      <c r="K13" s="237">
        <f t="shared" si="3"/>
        <v>2502</v>
      </c>
      <c r="L13" s="280">
        <f t="shared" si="4"/>
        <v>884</v>
      </c>
      <c r="M13" s="281">
        <f t="shared" si="5"/>
        <v>1.5463535228677379</v>
      </c>
      <c r="N13"/>
    </row>
    <row r="14" spans="1:14" ht="17.25" customHeight="1">
      <c r="A14" s="282" t="s">
        <v>16</v>
      </c>
      <c r="B14" s="353">
        <v>0</v>
      </c>
      <c r="C14" s="229">
        <v>0</v>
      </c>
      <c r="D14" s="236"/>
      <c r="E14" s="237"/>
      <c r="F14" s="706">
        <f t="shared" si="0"/>
        <v>0</v>
      </c>
      <c r="G14" s="280">
        <f t="shared" si="1"/>
        <v>0</v>
      </c>
      <c r="H14" s="281"/>
      <c r="I14" s="236"/>
      <c r="J14" s="237"/>
      <c r="K14" s="237">
        <f t="shared" si="3"/>
        <v>0</v>
      </c>
      <c r="L14" s="280">
        <f t="shared" si="4"/>
        <v>0</v>
      </c>
      <c r="M14" s="281"/>
      <c r="N14"/>
    </row>
    <row r="15" spans="1:14" ht="15.75" customHeight="1" thickBot="1">
      <c r="A15" s="283" t="s">
        <v>17</v>
      </c>
      <c r="B15" s="354">
        <v>16769.48</v>
      </c>
      <c r="C15" s="232">
        <v>15532.36</v>
      </c>
      <c r="D15" s="230">
        <v>23205</v>
      </c>
      <c r="E15" s="284"/>
      <c r="F15" s="707">
        <f t="shared" si="0"/>
        <v>23205</v>
      </c>
      <c r="G15" s="646">
        <f t="shared" si="1"/>
        <v>7672.639999999999</v>
      </c>
      <c r="H15" s="647">
        <f>+F15/C15</f>
        <v>1.4939777342271232</v>
      </c>
      <c r="I15" s="702">
        <f>17300+E43/1000</f>
        <v>18869</v>
      </c>
      <c r="J15" s="284"/>
      <c r="K15" s="284">
        <f t="shared" si="3"/>
        <v>18869</v>
      </c>
      <c r="L15" s="280">
        <f t="shared" si="4"/>
        <v>-4336</v>
      </c>
      <c r="M15" s="281">
        <f t="shared" si="5"/>
        <v>0.813143719026072</v>
      </c>
      <c r="N15"/>
    </row>
    <row r="16" spans="1:14" ht="13.5" customHeight="1" thickBot="1">
      <c r="A16" s="7" t="s">
        <v>18</v>
      </c>
      <c r="B16" s="129">
        <v>547705.05</v>
      </c>
      <c r="C16" s="10">
        <v>568890</v>
      </c>
      <c r="D16" s="8">
        <f>SUM(D7+D8+D9+D10+D11+D13+D15)</f>
        <v>560505</v>
      </c>
      <c r="E16" s="9">
        <f>SUM(E7+E8+E9+E10+E11+E13+E15)</f>
        <v>63134</v>
      </c>
      <c r="F16" s="708">
        <f t="shared" si="0"/>
        <v>623639</v>
      </c>
      <c r="G16" s="285">
        <f t="shared" si="1"/>
        <v>54749</v>
      </c>
      <c r="H16" s="649">
        <f>+F16/C16</f>
        <v>1.0962382885970925</v>
      </c>
      <c r="I16" s="8">
        <f>SUM(I7+I8+I9+I10+I11+I13+I15)</f>
        <v>571871</v>
      </c>
      <c r="J16" s="9">
        <f>SUM(J7+J8+J9+J10+J11+J13+J15)</f>
        <v>55756</v>
      </c>
      <c r="K16" s="10">
        <f>SUM(I16:J16)</f>
        <v>627627</v>
      </c>
      <c r="L16" s="280">
        <f t="shared" si="4"/>
        <v>3988</v>
      </c>
      <c r="M16" s="281">
        <f t="shared" si="5"/>
        <v>1.0063947251534942</v>
      </c>
      <c r="N16"/>
    </row>
    <row r="17" spans="1:14" ht="13.5" customHeight="1">
      <c r="A17" s="286" t="s">
        <v>19</v>
      </c>
      <c r="B17" s="355">
        <v>134557.84</v>
      </c>
      <c r="C17" s="287">
        <v>145509</v>
      </c>
      <c r="D17" s="278">
        <v>153262.55</v>
      </c>
      <c r="E17" s="279">
        <v>193</v>
      </c>
      <c r="F17" s="709">
        <f t="shared" si="0"/>
        <v>153455.55</v>
      </c>
      <c r="G17" s="273">
        <f t="shared" si="1"/>
        <v>7946.549999999988</v>
      </c>
      <c r="H17" s="648">
        <f>+F17/C17</f>
        <v>1.0546120858503596</v>
      </c>
      <c r="I17" s="278">
        <v>156000</v>
      </c>
      <c r="J17" s="279">
        <v>66</v>
      </c>
      <c r="K17" s="279">
        <f>+I17+J17</f>
        <v>156066</v>
      </c>
      <c r="L17" s="280">
        <f t="shared" si="4"/>
        <v>2610.4500000000116</v>
      </c>
      <c r="M17" s="281">
        <f t="shared" si="5"/>
        <v>1.0170111149450118</v>
      </c>
      <c r="N17"/>
    </row>
    <row r="18" spans="1:14" ht="15.75" customHeight="1">
      <c r="A18" s="282" t="s">
        <v>20</v>
      </c>
      <c r="B18" s="356">
        <v>3053</v>
      </c>
      <c r="C18" s="227">
        <v>8075</v>
      </c>
      <c r="D18" s="226">
        <v>5418</v>
      </c>
      <c r="E18" s="12"/>
      <c r="F18" s="710">
        <f t="shared" si="0"/>
        <v>5418</v>
      </c>
      <c r="G18" s="280">
        <f t="shared" si="1"/>
        <v>-2657</v>
      </c>
      <c r="H18" s="281">
        <f>+F18/C18</f>
        <v>0.6709597523219815</v>
      </c>
      <c r="I18" s="226">
        <v>4000</v>
      </c>
      <c r="J18" s="12"/>
      <c r="K18" s="12">
        <f aca="true" t="shared" si="6" ref="K18:K34">+I18+J18</f>
        <v>4000</v>
      </c>
      <c r="L18" s="280">
        <f t="shared" si="4"/>
        <v>-1418</v>
      </c>
      <c r="M18" s="281">
        <f t="shared" si="5"/>
        <v>0.7382798080472499</v>
      </c>
      <c r="N18"/>
    </row>
    <row r="19" spans="1:14" ht="15.75" customHeight="1">
      <c r="A19" s="276" t="s">
        <v>21</v>
      </c>
      <c r="B19" s="356">
        <v>16618.77</v>
      </c>
      <c r="C19" s="227">
        <v>18161</v>
      </c>
      <c r="D19" s="236">
        <v>20733.68</v>
      </c>
      <c r="E19" s="237">
        <v>714.11</v>
      </c>
      <c r="F19" s="710">
        <f t="shared" si="0"/>
        <v>21447.79</v>
      </c>
      <c r="G19" s="280">
        <f t="shared" si="1"/>
        <v>3286.790000000001</v>
      </c>
      <c r="H19" s="281">
        <f>+F19/C19</f>
        <v>1.1809806728704366</v>
      </c>
      <c r="I19" s="236">
        <v>21000</v>
      </c>
      <c r="J19" s="237">
        <v>300</v>
      </c>
      <c r="K19" s="237">
        <f t="shared" si="6"/>
        <v>21300</v>
      </c>
      <c r="L19" s="280">
        <f t="shared" si="4"/>
        <v>-147.79000000000087</v>
      </c>
      <c r="M19" s="281">
        <f t="shared" si="5"/>
        <v>0.9931093133604907</v>
      </c>
      <c r="N19"/>
    </row>
    <row r="20" spans="1:14" ht="15.75" customHeight="1">
      <c r="A20" s="282" t="s">
        <v>22</v>
      </c>
      <c r="B20" s="356">
        <v>0</v>
      </c>
      <c r="C20" s="227">
        <v>0</v>
      </c>
      <c r="D20" s="236"/>
      <c r="E20" s="237"/>
      <c r="F20" s="710">
        <f t="shared" si="0"/>
        <v>0</v>
      </c>
      <c r="G20" s="280">
        <f t="shared" si="1"/>
        <v>0</v>
      </c>
      <c r="H20" s="281"/>
      <c r="I20" s="236"/>
      <c r="J20" s="237"/>
      <c r="K20" s="237">
        <f t="shared" si="6"/>
        <v>0</v>
      </c>
      <c r="L20" s="280">
        <f t="shared" si="4"/>
        <v>0</v>
      </c>
      <c r="M20" s="281"/>
      <c r="N20"/>
    </row>
    <row r="21" spans="1:14" ht="15.75" customHeight="1">
      <c r="A21" s="276" t="s">
        <v>23</v>
      </c>
      <c r="B21" s="356">
        <v>49137.96</v>
      </c>
      <c r="C21" s="227">
        <v>42916</v>
      </c>
      <c r="D21" s="236">
        <v>0</v>
      </c>
      <c r="E21" s="237">
        <v>49726.96</v>
      </c>
      <c r="F21" s="710">
        <f t="shared" si="0"/>
        <v>49726.96</v>
      </c>
      <c r="G21" s="280">
        <f t="shared" si="1"/>
        <v>6810.959999999999</v>
      </c>
      <c r="H21" s="281">
        <f aca="true" t="shared" si="7" ref="H21:H33">+F21/C21</f>
        <v>1.1587044458943052</v>
      </c>
      <c r="I21" s="236"/>
      <c r="J21" s="237">
        <v>48000</v>
      </c>
      <c r="K21" s="237">
        <f t="shared" si="6"/>
        <v>48000</v>
      </c>
      <c r="L21" s="280">
        <f t="shared" si="4"/>
        <v>-1726.9599999999991</v>
      </c>
      <c r="M21" s="281">
        <f t="shared" si="5"/>
        <v>0.9652711527107227</v>
      </c>
      <c r="N21"/>
    </row>
    <row r="22" spans="1:14" ht="15.75" customHeight="1">
      <c r="A22" s="276" t="s">
        <v>24</v>
      </c>
      <c r="B22" s="356">
        <v>46079.67</v>
      </c>
      <c r="C22" s="227">
        <v>56390</v>
      </c>
      <c r="D22" s="236">
        <f>10306.79+393.69+19.02+43661.45</f>
        <v>54380.95</v>
      </c>
      <c r="E22" s="237">
        <f>151.26+0.57+34.84</f>
        <v>186.67</v>
      </c>
      <c r="F22" s="710">
        <f t="shared" si="0"/>
        <v>54567.619999999995</v>
      </c>
      <c r="G22" s="280">
        <f t="shared" si="1"/>
        <v>-1822.3800000000047</v>
      </c>
      <c r="H22" s="281">
        <f t="shared" si="7"/>
        <v>0.9676825678311757</v>
      </c>
      <c r="I22" s="236">
        <v>56000</v>
      </c>
      <c r="J22" s="237">
        <v>500</v>
      </c>
      <c r="K22" s="237">
        <f t="shared" si="6"/>
        <v>56500</v>
      </c>
      <c r="L22" s="280">
        <f t="shared" si="4"/>
        <v>1932.3800000000047</v>
      </c>
      <c r="M22" s="281">
        <f t="shared" si="5"/>
        <v>1.035412576176128</v>
      </c>
      <c r="N22"/>
    </row>
    <row r="23" spans="1:14" ht="15.75" customHeight="1">
      <c r="A23" s="282" t="s">
        <v>25</v>
      </c>
      <c r="B23" s="356">
        <v>11672.01</v>
      </c>
      <c r="C23" s="227">
        <v>13009</v>
      </c>
      <c r="D23" s="236">
        <v>10307</v>
      </c>
      <c r="E23" s="237">
        <v>151</v>
      </c>
      <c r="F23" s="710">
        <f t="shared" si="0"/>
        <v>10458</v>
      </c>
      <c r="G23" s="280">
        <f t="shared" si="1"/>
        <v>-2551</v>
      </c>
      <c r="H23" s="281">
        <f t="shared" si="7"/>
        <v>0.8039049888538704</v>
      </c>
      <c r="I23" s="236">
        <v>10800</v>
      </c>
      <c r="J23" s="237"/>
      <c r="K23" s="237">
        <f t="shared" si="6"/>
        <v>10800</v>
      </c>
      <c r="L23" s="280">
        <f t="shared" si="4"/>
        <v>342</v>
      </c>
      <c r="M23" s="281">
        <f t="shared" si="5"/>
        <v>1.0327022375215147</v>
      </c>
      <c r="N23"/>
    </row>
    <row r="24" spans="1:14" ht="15.75" customHeight="1">
      <c r="A24" s="276" t="s">
        <v>26</v>
      </c>
      <c r="B24" s="356">
        <v>31229.83</v>
      </c>
      <c r="C24" s="227">
        <v>43001</v>
      </c>
      <c r="D24" s="236">
        <v>43661</v>
      </c>
      <c r="E24" s="237">
        <v>35</v>
      </c>
      <c r="F24" s="710">
        <f t="shared" si="0"/>
        <v>43696</v>
      </c>
      <c r="G24" s="280">
        <f t="shared" si="1"/>
        <v>695</v>
      </c>
      <c r="H24" s="281">
        <f t="shared" si="7"/>
        <v>1.016162414827562</v>
      </c>
      <c r="I24" s="236">
        <v>45200</v>
      </c>
      <c r="J24" s="237">
        <v>100</v>
      </c>
      <c r="K24" s="237">
        <f t="shared" si="6"/>
        <v>45300</v>
      </c>
      <c r="L24" s="280">
        <f t="shared" si="4"/>
        <v>1604</v>
      </c>
      <c r="M24" s="281">
        <f t="shared" si="5"/>
        <v>1.0367081655071402</v>
      </c>
      <c r="N24"/>
    </row>
    <row r="25" spans="1:14" ht="15.75" customHeight="1">
      <c r="A25" s="134" t="s">
        <v>27</v>
      </c>
      <c r="B25" s="356">
        <v>286563.41</v>
      </c>
      <c r="C25" s="227">
        <v>297153</v>
      </c>
      <c r="D25" s="236">
        <v>326507</v>
      </c>
      <c r="E25" s="237">
        <v>3047</v>
      </c>
      <c r="F25" s="710">
        <f t="shared" si="0"/>
        <v>329554</v>
      </c>
      <c r="G25" s="280">
        <f t="shared" si="1"/>
        <v>32401</v>
      </c>
      <c r="H25" s="281">
        <f t="shared" si="7"/>
        <v>1.109038104949302</v>
      </c>
      <c r="I25" s="236">
        <v>351000</v>
      </c>
      <c r="J25" s="237">
        <v>3000</v>
      </c>
      <c r="K25" s="237">
        <f t="shared" si="6"/>
        <v>354000</v>
      </c>
      <c r="L25" s="280">
        <f t="shared" si="4"/>
        <v>24446</v>
      </c>
      <c r="M25" s="281">
        <f>+K25/F25</f>
        <v>1.074179041977946</v>
      </c>
      <c r="N25"/>
    </row>
    <row r="26" spans="1:14" ht="15.75" customHeight="1">
      <c r="A26" s="282" t="s">
        <v>28</v>
      </c>
      <c r="B26" s="356">
        <v>209396.32</v>
      </c>
      <c r="C26" s="227">
        <v>217114</v>
      </c>
      <c r="D26" s="236">
        <v>238569.52</v>
      </c>
      <c r="E26" s="237">
        <v>2228.82</v>
      </c>
      <c r="F26" s="710">
        <f t="shared" si="0"/>
        <v>240798.34</v>
      </c>
      <c r="G26" s="280">
        <f t="shared" si="1"/>
        <v>23684.339999999997</v>
      </c>
      <c r="H26" s="281">
        <f t="shared" si="7"/>
        <v>1.1090871155245632</v>
      </c>
      <c r="I26" s="236">
        <v>256600</v>
      </c>
      <c r="J26" s="237">
        <v>2200</v>
      </c>
      <c r="K26" s="237">
        <f t="shared" si="6"/>
        <v>258800</v>
      </c>
      <c r="L26" s="280">
        <f t="shared" si="4"/>
        <v>18001.660000000003</v>
      </c>
      <c r="M26" s="281">
        <f t="shared" si="5"/>
        <v>1.074758239612449</v>
      </c>
      <c r="N26"/>
    </row>
    <row r="27" spans="1:14" ht="15.75" customHeight="1">
      <c r="A27" s="134" t="s">
        <v>29</v>
      </c>
      <c r="B27" s="357">
        <v>0</v>
      </c>
      <c r="C27" s="272">
        <v>204848</v>
      </c>
      <c r="D27" s="277">
        <f>+D26-D28</f>
        <v>224845.52</v>
      </c>
      <c r="E27" s="6">
        <v>2066</v>
      </c>
      <c r="F27" s="711">
        <f t="shared" si="0"/>
        <v>226911.52</v>
      </c>
      <c r="G27" s="280">
        <f t="shared" si="1"/>
        <v>22063.51999999999</v>
      </c>
      <c r="H27" s="281">
        <f t="shared" si="7"/>
        <v>1.1077067874716864</v>
      </c>
      <c r="I27" s="277">
        <v>246900</v>
      </c>
      <c r="J27" s="6">
        <v>2000</v>
      </c>
      <c r="K27" s="6">
        <f t="shared" si="6"/>
        <v>248900</v>
      </c>
      <c r="L27" s="280">
        <f t="shared" si="4"/>
        <v>21988.48000000001</v>
      </c>
      <c r="M27" s="281">
        <f t="shared" si="5"/>
        <v>1.0969033216118778</v>
      </c>
      <c r="N27"/>
    </row>
    <row r="28" spans="1:14" ht="15.75" customHeight="1">
      <c r="A28" s="282" t="s">
        <v>30</v>
      </c>
      <c r="B28" s="357">
        <v>0</v>
      </c>
      <c r="C28" s="272">
        <v>12266</v>
      </c>
      <c r="D28" s="277">
        <v>13724</v>
      </c>
      <c r="E28" s="6">
        <f>+E26-E27</f>
        <v>162.82000000000016</v>
      </c>
      <c r="F28" s="711">
        <f t="shared" si="0"/>
        <v>13886.82</v>
      </c>
      <c r="G28" s="280">
        <f t="shared" si="1"/>
        <v>1620.8199999999997</v>
      </c>
      <c r="H28" s="281">
        <f t="shared" si="7"/>
        <v>1.13213924669819</v>
      </c>
      <c r="I28" s="277">
        <v>9900</v>
      </c>
      <c r="J28" s="6"/>
      <c r="K28" s="6">
        <f t="shared" si="6"/>
        <v>9900</v>
      </c>
      <c r="L28" s="280">
        <f t="shared" si="4"/>
        <v>-3986.8199999999997</v>
      </c>
      <c r="M28" s="281">
        <f t="shared" si="5"/>
        <v>0.7129061945067338</v>
      </c>
      <c r="N28"/>
    </row>
    <row r="29" spans="1:14" ht="15.75" customHeight="1">
      <c r="A29" s="282" t="s">
        <v>31</v>
      </c>
      <c r="B29" s="357">
        <v>77167.09</v>
      </c>
      <c r="C29" s="272">
        <v>80039</v>
      </c>
      <c r="D29" s="236">
        <f>83434.22+4503.45</f>
        <v>87937.67</v>
      </c>
      <c r="E29" s="237">
        <f>780.06+37.8</f>
        <v>817.8599999999999</v>
      </c>
      <c r="F29" s="711">
        <f t="shared" si="0"/>
        <v>88755.53</v>
      </c>
      <c r="G29" s="280">
        <f t="shared" si="1"/>
        <v>8716.529999999999</v>
      </c>
      <c r="H29" s="281">
        <f t="shared" si="7"/>
        <v>1.108903534526918</v>
      </c>
      <c r="I29" s="236">
        <v>97000</v>
      </c>
      <c r="J29" s="237">
        <v>800</v>
      </c>
      <c r="K29" s="237">
        <f t="shared" si="6"/>
        <v>97800</v>
      </c>
      <c r="L29" s="280">
        <f t="shared" si="4"/>
        <v>9044.470000000001</v>
      </c>
      <c r="M29" s="281">
        <f t="shared" si="5"/>
        <v>1.1019031715544936</v>
      </c>
      <c r="N29"/>
    </row>
    <row r="30" spans="1:14" ht="15.75" customHeight="1">
      <c r="A30" s="134" t="s">
        <v>32</v>
      </c>
      <c r="B30" s="357">
        <v>7.14</v>
      </c>
      <c r="C30" s="272">
        <v>67</v>
      </c>
      <c r="D30" s="236">
        <v>68.89</v>
      </c>
      <c r="E30" s="237"/>
      <c r="F30" s="711">
        <f t="shared" si="0"/>
        <v>68.89</v>
      </c>
      <c r="G30" s="280">
        <f t="shared" si="1"/>
        <v>1.8900000000000006</v>
      </c>
      <c r="H30" s="281">
        <f t="shared" si="7"/>
        <v>1.0282089552238807</v>
      </c>
      <c r="I30" s="236">
        <v>60</v>
      </c>
      <c r="J30" s="237"/>
      <c r="K30" s="237">
        <f t="shared" si="6"/>
        <v>60</v>
      </c>
      <c r="L30" s="280">
        <f t="shared" si="4"/>
        <v>-8.89</v>
      </c>
      <c r="M30" s="281">
        <f t="shared" si="5"/>
        <v>0.8709536942952533</v>
      </c>
      <c r="N30"/>
    </row>
    <row r="31" spans="1:14" ht="15.75" customHeight="1">
      <c r="A31" s="134" t="s">
        <v>33</v>
      </c>
      <c r="B31" s="357">
        <v>4175.55</v>
      </c>
      <c r="C31" s="272">
        <v>3069</v>
      </c>
      <c r="D31" s="236">
        <f>927.96+35.38+846.87+345.37+0.9+3596.95</f>
        <v>5753.43</v>
      </c>
      <c r="E31" s="237">
        <f>11.83+2.14</f>
        <v>13.97</v>
      </c>
      <c r="F31" s="711">
        <f t="shared" si="0"/>
        <v>5767.400000000001</v>
      </c>
      <c r="G31" s="280">
        <f t="shared" si="1"/>
        <v>2698.4000000000005</v>
      </c>
      <c r="H31" s="281">
        <f t="shared" si="7"/>
        <v>1.879244053437602</v>
      </c>
      <c r="I31" s="236">
        <v>4000</v>
      </c>
      <c r="J31" s="237">
        <v>10</v>
      </c>
      <c r="K31" s="237">
        <f t="shared" si="6"/>
        <v>4010</v>
      </c>
      <c r="L31" s="280">
        <f t="shared" si="4"/>
        <v>-1757.4000000000005</v>
      </c>
      <c r="M31" s="281">
        <f t="shared" si="5"/>
        <v>0.6952873045046294</v>
      </c>
      <c r="N31"/>
    </row>
    <row r="32" spans="1:14" ht="15.75" customHeight="1">
      <c r="A32" s="282" t="s">
        <v>34</v>
      </c>
      <c r="B32" s="357">
        <v>10306.29</v>
      </c>
      <c r="C32" s="272">
        <v>5440</v>
      </c>
      <c r="D32" s="236">
        <f>2187.45+1620.44</f>
        <v>3807.89</v>
      </c>
      <c r="E32" s="237"/>
      <c r="F32" s="711">
        <f t="shared" si="0"/>
        <v>3807.89</v>
      </c>
      <c r="G32" s="280">
        <f t="shared" si="1"/>
        <v>-1632.1100000000001</v>
      </c>
      <c r="H32" s="281">
        <f t="shared" si="7"/>
        <v>0.6999797794117647</v>
      </c>
      <c r="I32" s="236">
        <v>5956</v>
      </c>
      <c r="J32" s="237"/>
      <c r="K32" s="237">
        <f t="shared" si="6"/>
        <v>5956</v>
      </c>
      <c r="L32" s="280">
        <f t="shared" si="4"/>
        <v>2148.11</v>
      </c>
      <c r="M32" s="281">
        <f t="shared" si="5"/>
        <v>1.564120812313381</v>
      </c>
      <c r="N32"/>
    </row>
    <row r="33" spans="1:14" ht="15.75" customHeight="1">
      <c r="A33" s="282" t="s">
        <v>35</v>
      </c>
      <c r="B33" s="357">
        <v>6712.75</v>
      </c>
      <c r="C33" s="272">
        <v>2999</v>
      </c>
      <c r="D33" s="236">
        <v>2187.45</v>
      </c>
      <c r="E33" s="237"/>
      <c r="F33" s="711">
        <f t="shared" si="0"/>
        <v>2187.45</v>
      </c>
      <c r="G33" s="280">
        <f t="shared" si="1"/>
        <v>-811.5500000000002</v>
      </c>
      <c r="H33" s="281">
        <f t="shared" si="7"/>
        <v>0.7293931310436812</v>
      </c>
      <c r="I33" s="236">
        <v>3454</v>
      </c>
      <c r="J33" s="237"/>
      <c r="K33" s="229">
        <f t="shared" si="6"/>
        <v>3454</v>
      </c>
      <c r="L33" s="280">
        <f t="shared" si="4"/>
        <v>1266.5500000000002</v>
      </c>
      <c r="M33" s="281">
        <f t="shared" si="5"/>
        <v>1.5790075201718898</v>
      </c>
      <c r="N33"/>
    </row>
    <row r="34" spans="1:14" ht="15.75" customHeight="1" thickBot="1">
      <c r="A34" s="288" t="s">
        <v>36</v>
      </c>
      <c r="B34" s="357">
        <v>749.76</v>
      </c>
      <c r="C34" s="272">
        <v>0</v>
      </c>
      <c r="D34" s="230">
        <v>126.96</v>
      </c>
      <c r="E34" s="284"/>
      <c r="F34" s="711">
        <f t="shared" si="0"/>
        <v>126.96</v>
      </c>
      <c r="G34" s="646">
        <f t="shared" si="1"/>
        <v>126.96</v>
      </c>
      <c r="H34" s="647"/>
      <c r="I34" s="230"/>
      <c r="J34" s="284">
        <v>0</v>
      </c>
      <c r="K34" s="12">
        <f t="shared" si="6"/>
        <v>0</v>
      </c>
      <c r="L34" s="280">
        <f>+K34-F34</f>
        <v>-126.96</v>
      </c>
      <c r="M34" s="281">
        <f>+K34/F34</f>
        <v>0</v>
      </c>
      <c r="N34"/>
    </row>
    <row r="35" spans="1:14" ht="15.75" customHeight="1" thickBot="1">
      <c r="A35" s="7" t="s">
        <v>37</v>
      </c>
      <c r="B35" s="129">
        <v>548196.39</v>
      </c>
      <c r="C35" s="10">
        <v>568705</v>
      </c>
      <c r="D35" s="8">
        <f>SUM(D17+D19+D20+D21+D22+D25+D30+D31+D32+D34)</f>
        <v>564641.35</v>
      </c>
      <c r="E35" s="9">
        <f>SUM(E17+E19+E20+E21+E22+E25+E30+E31+E32+E34)</f>
        <v>53881.71</v>
      </c>
      <c r="F35" s="708">
        <f t="shared" si="0"/>
        <v>618523.0599999999</v>
      </c>
      <c r="G35" s="650"/>
      <c r="H35" s="651"/>
      <c r="I35" s="8">
        <f>SUM(I17+I19+I20+I21+I22+I25+I30+I31+I32+I34)</f>
        <v>594016</v>
      </c>
      <c r="J35" s="9">
        <f>SUM(J17+J19+J20+J21+J22+J25+J30+J31+J32+J34)</f>
        <v>51876</v>
      </c>
      <c r="K35" s="10">
        <f>SUM(I35:J35)</f>
        <v>645892</v>
      </c>
      <c r="L35" s="723">
        <f>+K35-F35</f>
        <v>27368.94000000006</v>
      </c>
      <c r="M35" s="724">
        <f>+K35/F35</f>
        <v>1.0442488595332242</v>
      </c>
      <c r="N35"/>
    </row>
    <row r="36" spans="1:14" ht="15.75" customHeight="1" thickBot="1">
      <c r="A36" s="7" t="s">
        <v>38</v>
      </c>
      <c r="B36" s="721">
        <v>-491.3399999999674</v>
      </c>
      <c r="C36" s="722">
        <v>185</v>
      </c>
      <c r="D36" s="1318">
        <f>+F16-F35</f>
        <v>5115.9400000000605</v>
      </c>
      <c r="E36" s="1319">
        <f>SUM(E16-E35)</f>
        <v>9252.29</v>
      </c>
      <c r="F36" s="1320">
        <f>SUM(F16-F35)</f>
        <v>5115.9400000000605</v>
      </c>
      <c r="G36"/>
      <c r="H36"/>
      <c r="I36" s="1341">
        <f>+K16-K35</f>
        <v>-18265</v>
      </c>
      <c r="J36" s="1342"/>
      <c r="K36" s="1343"/>
      <c r="L36"/>
      <c r="M36"/>
      <c r="N36"/>
    </row>
    <row r="37" spans="1:14" ht="20.25" customHeight="1" thickBot="1">
      <c r="A37" s="13" t="s">
        <v>39</v>
      </c>
      <c r="B37" s="359">
        <v>-325173.09</v>
      </c>
      <c r="C37" s="603">
        <v>-44271.79</v>
      </c>
      <c r="D37" s="1290">
        <v>-44086.64</v>
      </c>
      <c r="E37" s="1291"/>
      <c r="F37" s="1292"/>
      <c r="G37"/>
      <c r="H37"/>
      <c r="I37"/>
      <c r="J37"/>
      <c r="K37"/>
      <c r="L37"/>
      <c r="M37"/>
      <c r="N37"/>
    </row>
    <row r="38" spans="1:14" ht="19.5" customHeight="1" thickBot="1">
      <c r="A38" s="14" t="s">
        <v>40</v>
      </c>
      <c r="B38" s="358">
        <v>-325664.43</v>
      </c>
      <c r="C38" s="603">
        <v>-44086.79</v>
      </c>
      <c r="D38" s="1290">
        <f>+D36+D37</f>
        <v>-38970.69999999994</v>
      </c>
      <c r="E38" s="1291"/>
      <c r="F38" s="1292"/>
      <c r="G38"/>
      <c r="H38"/>
      <c r="L38"/>
      <c r="M38"/>
      <c r="N38"/>
    </row>
    <row r="39" spans="2:11" ht="13.5" thickBot="1">
      <c r="B39" s="142"/>
      <c r="C39" s="142"/>
      <c r="D39" s="350"/>
      <c r="F39" s="290"/>
      <c r="K39" s="290"/>
    </row>
    <row r="40" spans="1:11" ht="12.75">
      <c r="A40" s="1183" t="s">
        <v>369</v>
      </c>
      <c r="B40" s="1328"/>
      <c r="C40" s="1328"/>
      <c r="D40" s="1328"/>
      <c r="E40" s="1328"/>
      <c r="F40" s="1328"/>
      <c r="G40" s="1328"/>
      <c r="H40" s="1328"/>
      <c r="I40" s="1328"/>
      <c r="J40" s="1328"/>
      <c r="K40" s="1329"/>
    </row>
    <row r="41" spans="1:11" ht="12.75">
      <c r="A41" s="1330" t="s">
        <v>42</v>
      </c>
      <c r="B41" s="1331" t="s">
        <v>145</v>
      </c>
      <c r="C41" s="1332"/>
      <c r="D41" s="1332"/>
      <c r="E41" s="1332"/>
      <c r="F41" s="1333"/>
      <c r="G41" s="1331" t="s">
        <v>146</v>
      </c>
      <c r="H41" s="1332"/>
      <c r="I41" s="1332"/>
      <c r="J41" s="1332"/>
      <c r="K41" s="1333"/>
    </row>
    <row r="42" spans="1:11" ht="13.5" thickBot="1">
      <c r="A42" s="1269"/>
      <c r="B42" s="291">
        <v>2004</v>
      </c>
      <c r="C42" s="16">
        <v>2005</v>
      </c>
      <c r="D42" s="16">
        <v>2006</v>
      </c>
      <c r="E42" s="17">
        <v>2007</v>
      </c>
      <c r="F42" s="632" t="s">
        <v>7</v>
      </c>
      <c r="G42" s="18">
        <v>2004</v>
      </c>
      <c r="H42" s="16">
        <v>2005</v>
      </c>
      <c r="I42" s="16">
        <v>2006</v>
      </c>
      <c r="J42" s="17">
        <v>2007</v>
      </c>
      <c r="K42" s="632" t="s">
        <v>7</v>
      </c>
    </row>
    <row r="43" spans="1:11" ht="24">
      <c r="A43" s="292" t="s">
        <v>372</v>
      </c>
      <c r="B43" s="293">
        <v>1627000</v>
      </c>
      <c r="C43" s="19">
        <v>6072000</v>
      </c>
      <c r="D43" s="19">
        <f>1615000++156377</f>
        <v>1771377</v>
      </c>
      <c r="E43" s="703">
        <f>1569000</f>
        <v>1569000</v>
      </c>
      <c r="F43" s="227">
        <f>+E43-D43</f>
        <v>-202377</v>
      </c>
      <c r="G43" s="20"/>
      <c r="H43" s="21"/>
      <c r="I43" s="21">
        <v>2000000</v>
      </c>
      <c r="J43" s="656"/>
      <c r="K43" s="227">
        <f>+J43-I43</f>
        <v>-2000000</v>
      </c>
    </row>
    <row r="44" spans="1:11" ht="22.5">
      <c r="A44" s="241" t="s">
        <v>371</v>
      </c>
      <c r="B44" s="294">
        <v>13159000</v>
      </c>
      <c r="C44" s="19">
        <v>8765000</v>
      </c>
      <c r="D44" s="19">
        <v>21000000</v>
      </c>
      <c r="E44" s="703">
        <f>+B59-J44</f>
        <v>17300000</v>
      </c>
      <c r="F44" s="227">
        <f>+E44-D44</f>
        <v>-3700000</v>
      </c>
      <c r="G44" s="20">
        <v>14941000</v>
      </c>
      <c r="H44" s="21">
        <v>25835000</v>
      </c>
      <c r="I44" s="21">
        <v>13600000</v>
      </c>
      <c r="J44" s="656">
        <v>17300000</v>
      </c>
      <c r="K44" s="227">
        <f>+J44-I44</f>
        <v>3700000</v>
      </c>
    </row>
    <row r="45" spans="1:11" ht="12.75">
      <c r="A45" s="295" t="s">
        <v>367</v>
      </c>
      <c r="B45" s="294">
        <v>201935.4</v>
      </c>
      <c r="C45" s="19">
        <v>370591</v>
      </c>
      <c r="D45" s="19">
        <v>367429.25</v>
      </c>
      <c r="E45" s="703"/>
      <c r="F45" s="227">
        <f>+E45-D45</f>
        <v>-367429.25</v>
      </c>
      <c r="G45" s="20">
        <v>244663.6</v>
      </c>
      <c r="H45" s="21"/>
      <c r="I45" s="21"/>
      <c r="J45" s="656"/>
      <c r="K45" s="227"/>
    </row>
    <row r="46" spans="1:11" ht="24">
      <c r="A46" s="295" t="s">
        <v>368</v>
      </c>
      <c r="B46" s="294">
        <v>108545.5</v>
      </c>
      <c r="C46" s="19">
        <v>257769.4</v>
      </c>
      <c r="D46" s="19">
        <v>60927.2</v>
      </c>
      <c r="E46" s="703"/>
      <c r="F46" s="227"/>
      <c r="G46" s="20"/>
      <c r="H46" s="21"/>
      <c r="I46" s="21"/>
      <c r="J46" s="656"/>
      <c r="K46" s="227"/>
    </row>
    <row r="47" spans="1:11" ht="12.75">
      <c r="A47" s="295" t="s">
        <v>49</v>
      </c>
      <c r="B47" s="296">
        <v>1650000</v>
      </c>
      <c r="C47" s="19">
        <v>22000</v>
      </c>
      <c r="D47" s="19"/>
      <c r="E47" s="703"/>
      <c r="F47" s="227"/>
      <c r="G47" s="22">
        <v>18409999.99</v>
      </c>
      <c r="H47" s="243"/>
      <c r="I47" s="243"/>
      <c r="J47" s="656"/>
      <c r="K47" s="227"/>
    </row>
    <row r="48" spans="1:11" ht="12.75">
      <c r="A48" s="295" t="s">
        <v>208</v>
      </c>
      <c r="B48" s="294">
        <v>23000</v>
      </c>
      <c r="C48" s="19">
        <v>45000</v>
      </c>
      <c r="D48" s="19">
        <v>10000</v>
      </c>
      <c r="E48" s="703"/>
      <c r="F48" s="227"/>
      <c r="G48" s="20"/>
      <c r="H48" s="21"/>
      <c r="I48" s="21"/>
      <c r="J48" s="656"/>
      <c r="K48" s="227"/>
    </row>
    <row r="49" spans="1:11" ht="12.75">
      <c r="A49" s="295" t="s">
        <v>370</v>
      </c>
      <c r="B49" s="294"/>
      <c r="C49" s="19"/>
      <c r="D49" s="19"/>
      <c r="E49" s="703"/>
      <c r="F49" s="227"/>
      <c r="G49" s="20"/>
      <c r="H49" s="21">
        <v>20452000</v>
      </c>
      <c r="I49" s="21">
        <v>11410000</v>
      </c>
      <c r="J49" s="656">
        <f>+J104</f>
        <v>15746000</v>
      </c>
      <c r="K49" s="227">
        <f>+J49-I49</f>
        <v>4336000</v>
      </c>
    </row>
    <row r="50" spans="1:11" ht="13.5" thickBot="1">
      <c r="A50" s="188" t="s">
        <v>395</v>
      </c>
      <c r="B50" s="294"/>
      <c r="C50" s="19"/>
      <c r="D50" s="19"/>
      <c r="E50" s="703"/>
      <c r="F50" s="227"/>
      <c r="G50" s="20"/>
      <c r="H50" s="298"/>
      <c r="I50" s="656">
        <v>78250</v>
      </c>
      <c r="J50" s="656"/>
      <c r="K50" s="227"/>
    </row>
    <row r="51" spans="1:11" s="400" customFormat="1" ht="13.5" thickBot="1">
      <c r="A51" s="299" t="s">
        <v>54</v>
      </c>
      <c r="B51" s="23">
        <f>SUM(B43:B50)</f>
        <v>16769480.9</v>
      </c>
      <c r="C51" s="24">
        <f>SUM(C43:C50)</f>
        <v>15532360.4</v>
      </c>
      <c r="D51" s="24">
        <f>SUM(D43:D50)</f>
        <v>23209733.45</v>
      </c>
      <c r="E51" s="704">
        <f>SUM(E43:E50)</f>
        <v>18869000</v>
      </c>
      <c r="F51" s="633">
        <f>+E51-D51</f>
        <v>-4340733.449999999</v>
      </c>
      <c r="G51" s="11">
        <f>SUM(G43:G50)</f>
        <v>33595663.589999996</v>
      </c>
      <c r="H51" s="24">
        <f>SUM(H43:H50)</f>
        <v>46287000</v>
      </c>
      <c r="I51" s="24">
        <f>SUM(I43:I50)</f>
        <v>27088250</v>
      </c>
      <c r="J51" s="24">
        <f>SUM(J43:J50)</f>
        <v>33046000</v>
      </c>
      <c r="K51" s="633">
        <f>+J51-I1</f>
        <v>33046000</v>
      </c>
    </row>
    <row r="52" spans="2:11" ht="12.75">
      <c r="B52" s="142"/>
      <c r="C52" s="142"/>
      <c r="D52" s="350"/>
      <c r="F52" s="290"/>
      <c r="K52" s="290"/>
    </row>
    <row r="53" ht="13.5" thickBot="1"/>
    <row r="54" spans="1:14" ht="12.75" customHeight="1">
      <c r="A54" s="1184" t="s">
        <v>41</v>
      </c>
      <c r="B54" s="1374" t="s">
        <v>178</v>
      </c>
      <c r="C54" s="1375"/>
      <c r="D54" s="1375"/>
      <c r="E54" s="1375"/>
      <c r="F54" s="1375"/>
      <c r="G54" s="1351"/>
      <c r="H54" s="1376" t="s">
        <v>144</v>
      </c>
      <c r="I54" s="1377"/>
      <c r="J54" s="1377"/>
      <c r="K54" s="1378"/>
      <c r="L54"/>
      <c r="M54"/>
      <c r="N54"/>
    </row>
    <row r="55" spans="1:14" ht="27.75" customHeight="1" thickBot="1">
      <c r="A55" s="1373" t="s">
        <v>44</v>
      </c>
      <c r="B55" s="1379" t="s">
        <v>45</v>
      </c>
      <c r="C55" s="1380"/>
      <c r="D55" s="1381" t="s">
        <v>46</v>
      </c>
      <c r="E55" s="1380"/>
      <c r="F55" s="1381" t="s">
        <v>47</v>
      </c>
      <c r="G55" s="1382"/>
      <c r="H55" s="652" t="s">
        <v>50</v>
      </c>
      <c r="I55" s="156" t="s">
        <v>52</v>
      </c>
      <c r="J55" s="157" t="s">
        <v>51</v>
      </c>
      <c r="K55" s="114" t="s">
        <v>53</v>
      </c>
      <c r="L55"/>
      <c r="M55"/>
      <c r="N55"/>
    </row>
    <row r="56" spans="1:14" ht="14.25" customHeight="1">
      <c r="A56" s="658">
        <v>2004</v>
      </c>
      <c r="B56" s="1354">
        <f>+D56+F56</f>
        <v>28100000</v>
      </c>
      <c r="C56" s="1355"/>
      <c r="D56" s="1363">
        <v>20500000</v>
      </c>
      <c r="E56" s="1355"/>
      <c r="F56" s="1363">
        <v>7600000</v>
      </c>
      <c r="G56" s="1364"/>
      <c r="H56" s="653">
        <v>0.5317081850533808</v>
      </c>
      <c r="I56" s="343">
        <v>0.18941875444839856</v>
      </c>
      <c r="J56" s="343">
        <v>0.3423214590747331</v>
      </c>
      <c r="K56" s="394">
        <v>0.4682918149466192</v>
      </c>
      <c r="L56"/>
      <c r="M56"/>
      <c r="N56"/>
    </row>
    <row r="57" spans="1:14" ht="14.25" customHeight="1">
      <c r="A57" s="659">
        <v>2005</v>
      </c>
      <c r="B57" s="1354">
        <f>+D57+F57</f>
        <v>34600000</v>
      </c>
      <c r="C57" s="1355"/>
      <c r="D57" s="1356">
        <v>26400000</v>
      </c>
      <c r="E57" s="1357"/>
      <c r="F57" s="1356">
        <v>8200000</v>
      </c>
      <c r="G57" s="1358"/>
      <c r="H57" s="654">
        <v>0.7466763005780347</v>
      </c>
      <c r="I57" s="344">
        <v>0.4095361358381503</v>
      </c>
      <c r="J57" s="344">
        <v>0.3371401647398844</v>
      </c>
      <c r="K57" s="346">
        <v>0.2533236994219653</v>
      </c>
      <c r="L57"/>
      <c r="M57"/>
      <c r="N57"/>
    </row>
    <row r="58" spans="1:14" ht="14.25" customHeight="1">
      <c r="A58" s="659">
        <v>2006</v>
      </c>
      <c r="B58" s="1354">
        <f>+D58+F58</f>
        <v>34600000</v>
      </c>
      <c r="C58" s="1355"/>
      <c r="D58" s="1356">
        <f>+D57</f>
        <v>26400000</v>
      </c>
      <c r="E58" s="1357"/>
      <c r="F58" s="1356">
        <f>+F57</f>
        <v>8200000</v>
      </c>
      <c r="G58" s="1358"/>
      <c r="H58" s="654">
        <f>+I44/B58</f>
        <v>0.3930635838150289</v>
      </c>
      <c r="I58" s="344">
        <f>3535266.75/B58</f>
        <v>0.10217533959537572</v>
      </c>
      <c r="J58" s="344">
        <f>10064733.25/B58</f>
        <v>0.2908882442196532</v>
      </c>
      <c r="K58" s="346">
        <f>+D44/B58</f>
        <v>0.6069364161849711</v>
      </c>
      <c r="L58"/>
      <c r="M58"/>
      <c r="N58"/>
    </row>
    <row r="59" spans="1:14" ht="14.25" customHeight="1" thickBot="1">
      <c r="A59" s="660">
        <v>2007</v>
      </c>
      <c r="B59" s="1359">
        <f>+B58</f>
        <v>34600000</v>
      </c>
      <c r="C59" s="1360"/>
      <c r="D59" s="1361">
        <f>+D58</f>
        <v>26400000</v>
      </c>
      <c r="E59" s="1360"/>
      <c r="F59" s="1361">
        <f>+F58</f>
        <v>8200000</v>
      </c>
      <c r="G59" s="1362"/>
      <c r="H59" s="655">
        <f>17300000/B59</f>
        <v>0.5</v>
      </c>
      <c r="I59" s="615">
        <f>2200000/B59</f>
        <v>0.06358381502890173</v>
      </c>
      <c r="J59" s="615">
        <f>+D102/B59</f>
        <v>0.43641618497109824</v>
      </c>
      <c r="K59" s="616">
        <f>17300000/B59</f>
        <v>0.5</v>
      </c>
      <c r="L59"/>
      <c r="M59"/>
      <c r="N59"/>
    </row>
    <row r="60" spans="1:14" ht="18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8.75" customHeight="1" thickBot="1">
      <c r="A61" s="102" t="s">
        <v>179</v>
      </c>
      <c r="B61" s="79"/>
      <c r="C61" s="79"/>
      <c r="D61"/>
      <c r="E61"/>
      <c r="F61"/>
      <c r="G61"/>
      <c r="H61"/>
      <c r="I61"/>
      <c r="J61"/>
      <c r="K61"/>
      <c r="L61"/>
      <c r="M61"/>
      <c r="N61"/>
    </row>
    <row r="62" spans="1:14" ht="18.75" customHeight="1" thickBot="1">
      <c r="A62" s="66" t="s">
        <v>428</v>
      </c>
      <c r="B62" s="61"/>
      <c r="C62"/>
      <c r="D62"/>
      <c r="E62"/>
      <c r="F62"/>
      <c r="G62"/>
      <c r="H62"/>
      <c r="I62"/>
      <c r="J62"/>
      <c r="K62"/>
      <c r="L62"/>
      <c r="M62"/>
      <c r="N62"/>
    </row>
    <row r="63" spans="1:14" ht="18.75" customHeight="1">
      <c r="A63" s="604" t="s">
        <v>129</v>
      </c>
      <c r="B63" s="391">
        <f>+I15</f>
        <v>18869</v>
      </c>
      <c r="C63"/>
      <c r="D63"/>
      <c r="E63"/>
      <c r="F63"/>
      <c r="G63"/>
      <c r="H63"/>
      <c r="I63"/>
      <c r="J63"/>
      <c r="K63"/>
      <c r="L63"/>
      <c r="M63"/>
      <c r="N63"/>
    </row>
    <row r="64" spans="1:14" ht="18.75" customHeight="1">
      <c r="A64" s="598" t="s">
        <v>43</v>
      </c>
      <c r="B64" s="392">
        <f>+J51/1000</f>
        <v>33046</v>
      </c>
      <c r="C64"/>
      <c r="D64"/>
      <c r="E64"/>
      <c r="F64"/>
      <c r="G64"/>
      <c r="H64"/>
      <c r="I64"/>
      <c r="J64"/>
      <c r="K64"/>
      <c r="L64"/>
      <c r="M64"/>
      <c r="N64"/>
    </row>
    <row r="65" spans="1:14" ht="18.75" customHeight="1" thickBot="1">
      <c r="A65" s="608" t="s">
        <v>130</v>
      </c>
      <c r="B65" s="701">
        <f>+I27</f>
        <v>246900</v>
      </c>
      <c r="C65"/>
      <c r="D65"/>
      <c r="E65"/>
      <c r="F65"/>
      <c r="G65"/>
      <c r="H65"/>
      <c r="I65"/>
      <c r="J65"/>
      <c r="K65"/>
      <c r="L65"/>
      <c r="M65"/>
      <c r="N65"/>
    </row>
    <row r="66" spans="1:14" ht="18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4.25" customHeight="1" thickBot="1">
      <c r="A67" s="102" t="s">
        <v>217</v>
      </c>
      <c r="B67"/>
      <c r="C67"/>
      <c r="D67"/>
      <c r="E67"/>
      <c r="F67" s="300"/>
      <c r="G67"/>
      <c r="H67"/>
      <c r="I67"/>
      <c r="J67"/>
      <c r="K67"/>
      <c r="L67"/>
      <c r="M67"/>
      <c r="N67"/>
    </row>
    <row r="68" spans="1:14" ht="33.75" customHeight="1">
      <c r="A68" s="1334" t="s">
        <v>193</v>
      </c>
      <c r="B68" s="1247" t="s">
        <v>373</v>
      </c>
      <c r="C68" s="1248"/>
      <c r="D68" s="1248" t="s">
        <v>55</v>
      </c>
      <c r="E68" s="1249"/>
      <c r="F68" s="1247" t="s">
        <v>56</v>
      </c>
      <c r="G68" s="1350"/>
      <c r="H68" s="1350"/>
      <c r="I68" s="1351"/>
      <c r="J68" s="1180" t="s">
        <v>163</v>
      </c>
      <c r="K68" s="1181"/>
      <c r="L68" s="1180" t="s">
        <v>180</v>
      </c>
      <c r="M68" s="1181"/>
      <c r="N68"/>
    </row>
    <row r="69" spans="1:17" ht="22.5" customHeight="1" thickBot="1">
      <c r="A69" s="1284"/>
      <c r="B69" s="1335" t="s">
        <v>195</v>
      </c>
      <c r="C69" s="1336"/>
      <c r="D69" s="1336" t="s">
        <v>58</v>
      </c>
      <c r="E69" s="1337"/>
      <c r="F69" s="1352" t="s">
        <v>59</v>
      </c>
      <c r="G69" s="1353"/>
      <c r="H69" s="1346" t="s">
        <v>196</v>
      </c>
      <c r="I69" s="1347"/>
      <c r="J69" s="1346" t="s">
        <v>325</v>
      </c>
      <c r="K69" s="1347"/>
      <c r="L69" s="1182" t="s">
        <v>60</v>
      </c>
      <c r="M69" s="1172"/>
      <c r="N69"/>
      <c r="Q69" s="142"/>
    </row>
    <row r="70" spans="1:16" s="246" customFormat="1" ht="18" customHeight="1">
      <c r="A70" s="611" t="s">
        <v>320</v>
      </c>
      <c r="B70" s="1323">
        <v>487425.5</v>
      </c>
      <c r="C70" s="1324"/>
      <c r="D70" s="1173"/>
      <c r="E70" s="1174"/>
      <c r="F70" s="1173"/>
      <c r="G70" s="1246"/>
      <c r="H70" s="1173"/>
      <c r="I70" s="1174"/>
      <c r="J70" s="1173"/>
      <c r="K70" s="1174"/>
      <c r="L70" s="1173">
        <f aca="true" t="shared" si="8" ref="L70:L75">+D70+F70+H70+J70</f>
        <v>0</v>
      </c>
      <c r="M70" s="1174"/>
      <c r="N70"/>
      <c r="O70"/>
      <c r="P70"/>
    </row>
    <row r="71" spans="1:16" s="246" customFormat="1" ht="18" customHeight="1">
      <c r="A71" s="611" t="s">
        <v>321</v>
      </c>
      <c r="B71" s="1239">
        <v>400000</v>
      </c>
      <c r="C71" s="1240"/>
      <c r="D71" s="1173"/>
      <c r="E71" s="1174"/>
      <c r="F71" s="1173"/>
      <c r="G71" s="1246"/>
      <c r="H71" s="1173"/>
      <c r="I71" s="1174"/>
      <c r="J71" s="1173"/>
      <c r="K71" s="1174"/>
      <c r="L71" s="1173">
        <f t="shared" si="8"/>
        <v>0</v>
      </c>
      <c r="M71" s="1174"/>
      <c r="N71"/>
      <c r="O71"/>
      <c r="P71"/>
    </row>
    <row r="72" spans="1:16" s="246" customFormat="1" ht="18" customHeight="1">
      <c r="A72" s="611" t="s">
        <v>322</v>
      </c>
      <c r="B72" s="1239">
        <v>183340</v>
      </c>
      <c r="C72" s="1240"/>
      <c r="D72" s="1173"/>
      <c r="E72" s="1174"/>
      <c r="F72" s="1173"/>
      <c r="G72" s="1246"/>
      <c r="H72" s="1173"/>
      <c r="I72" s="1174"/>
      <c r="J72" s="1173"/>
      <c r="K72" s="1174"/>
      <c r="L72" s="1173">
        <f t="shared" si="8"/>
        <v>0</v>
      </c>
      <c r="M72" s="1174"/>
      <c r="N72"/>
      <c r="O72"/>
      <c r="P72"/>
    </row>
    <row r="73" spans="1:16" s="246" customFormat="1" ht="18" customHeight="1">
      <c r="A73" s="611" t="s">
        <v>320</v>
      </c>
      <c r="B73" s="1239"/>
      <c r="C73" s="1240"/>
      <c r="D73" s="1173">
        <v>1200000</v>
      </c>
      <c r="E73" s="1174"/>
      <c r="F73" s="1173"/>
      <c r="G73" s="1246"/>
      <c r="H73" s="1173"/>
      <c r="I73" s="1174"/>
      <c r="J73" s="1173"/>
      <c r="K73" s="1174"/>
      <c r="L73" s="1173">
        <f t="shared" si="8"/>
        <v>1200000</v>
      </c>
      <c r="M73" s="1174"/>
      <c r="N73"/>
      <c r="O73"/>
      <c r="P73"/>
    </row>
    <row r="74" spans="1:16" s="246" customFormat="1" ht="18" customHeight="1">
      <c r="A74" s="611" t="s">
        <v>323</v>
      </c>
      <c r="B74" s="1239"/>
      <c r="C74" s="1240"/>
      <c r="D74" s="1173">
        <v>500000</v>
      </c>
      <c r="E74" s="1174"/>
      <c r="F74" s="1173"/>
      <c r="G74" s="1246"/>
      <c r="H74" s="1173"/>
      <c r="I74" s="1174"/>
      <c r="J74" s="1173"/>
      <c r="K74" s="1174"/>
      <c r="L74" s="1173">
        <f t="shared" si="8"/>
        <v>500000</v>
      </c>
      <c r="M74" s="1174"/>
      <c r="N74"/>
      <c r="O74"/>
      <c r="P74"/>
    </row>
    <row r="75" spans="1:16" s="246" customFormat="1" ht="18" customHeight="1" thickBot="1">
      <c r="A75" s="611" t="s">
        <v>324</v>
      </c>
      <c r="B75" s="1239"/>
      <c r="C75" s="1240"/>
      <c r="D75" s="1301">
        <v>500000</v>
      </c>
      <c r="E75" s="1302"/>
      <c r="F75" s="1173"/>
      <c r="G75" s="1246"/>
      <c r="H75" s="1301"/>
      <c r="I75" s="1302"/>
      <c r="J75" s="1173"/>
      <c r="K75" s="1174"/>
      <c r="L75" s="1173">
        <f t="shared" si="8"/>
        <v>500000</v>
      </c>
      <c r="M75" s="1174"/>
      <c r="N75"/>
      <c r="O75"/>
      <c r="P75"/>
    </row>
    <row r="76" spans="1:16" s="642" customFormat="1" ht="17.25" customHeight="1" thickBot="1">
      <c r="A76" s="612" t="s">
        <v>197</v>
      </c>
      <c r="B76" s="1250">
        <f>SUM(B70:C75)</f>
        <v>1070765.5</v>
      </c>
      <c r="C76" s="1241"/>
      <c r="D76" s="1241">
        <f>SUM(D70:E75)</f>
        <v>2200000</v>
      </c>
      <c r="E76" s="1242"/>
      <c r="F76" s="1250">
        <f>SUM(F70:G75)</f>
        <v>0</v>
      </c>
      <c r="G76" s="1241"/>
      <c r="H76" s="1241">
        <f>SUM(H70:I75)</f>
        <v>0</v>
      </c>
      <c r="I76" s="1243"/>
      <c r="J76" s="1254">
        <f>SUM(J70:K75)</f>
        <v>0</v>
      </c>
      <c r="K76" s="1255"/>
      <c r="L76" s="1254">
        <f>SUM(L70:M75)</f>
        <v>2200000</v>
      </c>
      <c r="M76" s="1255"/>
      <c r="N76" s="641"/>
      <c r="O76" s="641"/>
      <c r="P76" s="641"/>
    </row>
    <row r="77" spans="1:16" s="246" customFormat="1" ht="6" customHeight="1" thickBot="1">
      <c r="A77" s="644"/>
      <c r="B77"/>
      <c r="C77"/>
      <c r="D77"/>
      <c r="E77"/>
      <c r="F77"/>
      <c r="G77"/>
      <c r="H77"/>
      <c r="J77"/>
      <c r="K77"/>
      <c r="L77"/>
      <c r="M77"/>
      <c r="N77"/>
      <c r="O77"/>
      <c r="P77"/>
    </row>
    <row r="78" spans="1:14" ht="30.75" customHeight="1">
      <c r="A78" s="1334" t="s">
        <v>198</v>
      </c>
      <c r="B78" s="1247" t="s">
        <v>194</v>
      </c>
      <c r="C78" s="1248"/>
      <c r="D78" s="1248" t="s">
        <v>55</v>
      </c>
      <c r="E78" s="1249"/>
      <c r="F78" s="1348" t="s">
        <v>56</v>
      </c>
      <c r="G78" s="1208"/>
      <c r="H78" s="1208"/>
      <c r="I78" s="1349"/>
      <c r="J78" s="1180" t="s">
        <v>163</v>
      </c>
      <c r="K78" s="1181"/>
      <c r="L78" s="1180" t="s">
        <v>180</v>
      </c>
      <c r="M78" s="1181"/>
      <c r="N78"/>
    </row>
    <row r="79" spans="1:17" ht="20.25" customHeight="1" thickBot="1">
      <c r="A79" s="1284" t="s">
        <v>199</v>
      </c>
      <c r="B79" s="1335" t="s">
        <v>195</v>
      </c>
      <c r="C79" s="1336"/>
      <c r="D79" s="1336" t="s">
        <v>58</v>
      </c>
      <c r="E79" s="1337"/>
      <c r="F79" s="1344" t="s">
        <v>200</v>
      </c>
      <c r="G79" s="1345"/>
      <c r="H79" s="1346" t="s">
        <v>196</v>
      </c>
      <c r="I79" s="1347"/>
      <c r="J79" s="1346" t="s">
        <v>325</v>
      </c>
      <c r="K79" s="1347"/>
      <c r="L79" s="1182" t="s">
        <v>60</v>
      </c>
      <c r="M79" s="1172"/>
      <c r="N79"/>
      <c r="Q79" s="142"/>
    </row>
    <row r="80" spans="1:16" s="246" customFormat="1" ht="18" customHeight="1">
      <c r="A80" s="611" t="s">
        <v>326</v>
      </c>
      <c r="B80" s="1239">
        <f>4000000.65-1000000</f>
        <v>3000000.65</v>
      </c>
      <c r="C80" s="1240"/>
      <c r="D80" s="1173"/>
      <c r="E80" s="1174"/>
      <c r="F80" s="1173"/>
      <c r="G80" s="1246"/>
      <c r="H80" s="1173"/>
      <c r="I80" s="1174"/>
      <c r="J80" s="1173">
        <v>14000000</v>
      </c>
      <c r="K80" s="1174"/>
      <c r="L80" s="1173">
        <f>+D80+F80+H80+J80</f>
        <v>14000000</v>
      </c>
      <c r="M80" s="1174"/>
      <c r="N80"/>
      <c r="O80"/>
      <c r="P80"/>
    </row>
    <row r="81" spans="1:16" s="246" customFormat="1" ht="18" customHeight="1">
      <c r="A81" s="611" t="s">
        <v>327</v>
      </c>
      <c r="B81" s="1239">
        <v>554355</v>
      </c>
      <c r="C81" s="1240"/>
      <c r="D81" s="1173"/>
      <c r="E81" s="1174"/>
      <c r="F81" s="1173"/>
      <c r="G81" s="1246"/>
      <c r="H81" s="1173"/>
      <c r="I81" s="1174"/>
      <c r="J81" s="1173"/>
      <c r="K81" s="1174"/>
      <c r="L81" s="1173">
        <f aca="true" t="shared" si="9" ref="L81:L90">+D81+F81+H81+J81</f>
        <v>0</v>
      </c>
      <c r="M81" s="1174"/>
      <c r="N81"/>
      <c r="O81"/>
      <c r="P81"/>
    </row>
    <row r="82" spans="1:16" s="246" customFormat="1" ht="18" customHeight="1">
      <c r="A82" s="611" t="s">
        <v>328</v>
      </c>
      <c r="B82" s="1239">
        <v>1000000</v>
      </c>
      <c r="C82" s="1240"/>
      <c r="D82" s="1173"/>
      <c r="E82" s="1174"/>
      <c r="F82" s="1173"/>
      <c r="G82" s="1246"/>
      <c r="H82" s="1173"/>
      <c r="I82" s="1174"/>
      <c r="J82" s="1173"/>
      <c r="K82" s="1174"/>
      <c r="L82" s="1173">
        <f t="shared" si="9"/>
        <v>0</v>
      </c>
      <c r="M82" s="1174"/>
      <c r="N82"/>
      <c r="O82"/>
      <c r="P82"/>
    </row>
    <row r="83" spans="1:16" s="246" customFormat="1" ht="18" customHeight="1">
      <c r="A83" s="611" t="s">
        <v>329</v>
      </c>
      <c r="B83" s="1239"/>
      <c r="C83" s="1240"/>
      <c r="D83" s="1173"/>
      <c r="E83" s="1174"/>
      <c r="F83" s="1173"/>
      <c r="G83" s="1246"/>
      <c r="H83" s="1173"/>
      <c r="I83" s="1174"/>
      <c r="J83" s="1173">
        <v>1746000</v>
      </c>
      <c r="K83" s="1174"/>
      <c r="L83" s="1173">
        <f t="shared" si="9"/>
        <v>1746000</v>
      </c>
      <c r="M83" s="1174"/>
      <c r="N83"/>
      <c r="O83"/>
      <c r="P83"/>
    </row>
    <row r="84" spans="1:16" s="246" customFormat="1" ht="18" customHeight="1">
      <c r="A84" s="611" t="s">
        <v>330</v>
      </c>
      <c r="B84" s="1239"/>
      <c r="C84" s="1240"/>
      <c r="D84" s="1173">
        <v>4000000</v>
      </c>
      <c r="E84" s="1174"/>
      <c r="F84" s="1173"/>
      <c r="G84" s="1246"/>
      <c r="H84" s="1173"/>
      <c r="I84" s="1174"/>
      <c r="J84" s="1173"/>
      <c r="K84" s="1174"/>
      <c r="L84" s="1173">
        <f t="shared" si="9"/>
        <v>4000000</v>
      </c>
      <c r="M84" s="1174"/>
      <c r="N84"/>
      <c r="O84"/>
      <c r="P84"/>
    </row>
    <row r="85" spans="1:16" s="246" customFormat="1" ht="18" customHeight="1">
      <c r="A85" s="611" t="s">
        <v>331</v>
      </c>
      <c r="B85" s="1239"/>
      <c r="C85" s="1240"/>
      <c r="D85" s="1173">
        <v>2000000</v>
      </c>
      <c r="E85" s="1174"/>
      <c r="F85" s="1173"/>
      <c r="G85" s="1246"/>
      <c r="H85" s="1173"/>
      <c r="I85" s="1174"/>
      <c r="J85" s="1173"/>
      <c r="K85" s="1174"/>
      <c r="L85" s="1173">
        <f t="shared" si="9"/>
        <v>2000000</v>
      </c>
      <c r="M85" s="1174"/>
      <c r="N85"/>
      <c r="O85"/>
      <c r="P85"/>
    </row>
    <row r="86" spans="1:16" s="246" customFormat="1" ht="18" customHeight="1">
      <c r="A86" s="611" t="s">
        <v>332</v>
      </c>
      <c r="B86" s="1239"/>
      <c r="C86" s="1240"/>
      <c r="D86" s="1173">
        <v>1000000</v>
      </c>
      <c r="E86" s="1174"/>
      <c r="F86" s="1173"/>
      <c r="G86" s="1246"/>
      <c r="H86" s="1173"/>
      <c r="I86" s="1174"/>
      <c r="J86" s="1173"/>
      <c r="K86" s="1174"/>
      <c r="L86" s="1173">
        <f t="shared" si="9"/>
        <v>1000000</v>
      </c>
      <c r="M86" s="1174"/>
      <c r="N86"/>
      <c r="O86"/>
      <c r="P86"/>
    </row>
    <row r="87" spans="1:16" s="246" customFormat="1" ht="18" customHeight="1">
      <c r="A87" s="611" t="s">
        <v>333</v>
      </c>
      <c r="B87" s="1239"/>
      <c r="C87" s="1240"/>
      <c r="D87" s="1173">
        <v>900000</v>
      </c>
      <c r="E87" s="1174"/>
      <c r="F87" s="1173"/>
      <c r="G87" s="1246"/>
      <c r="H87" s="1173"/>
      <c r="I87" s="1174"/>
      <c r="J87" s="1173"/>
      <c r="K87" s="1174"/>
      <c r="L87" s="1173">
        <f t="shared" si="9"/>
        <v>900000</v>
      </c>
      <c r="M87" s="1174"/>
      <c r="N87"/>
      <c r="O87"/>
      <c r="P87"/>
    </row>
    <row r="88" spans="1:16" s="246" customFormat="1" ht="18" customHeight="1">
      <c r="A88" s="611" t="s">
        <v>334</v>
      </c>
      <c r="B88" s="1239"/>
      <c r="C88" s="1240"/>
      <c r="D88" s="1173">
        <v>750000</v>
      </c>
      <c r="E88" s="1174"/>
      <c r="F88" s="1173"/>
      <c r="G88" s="1246"/>
      <c r="H88" s="1173"/>
      <c r="I88" s="1174"/>
      <c r="J88" s="1173"/>
      <c r="K88" s="1174"/>
      <c r="L88" s="1173">
        <f t="shared" si="9"/>
        <v>750000</v>
      </c>
      <c r="M88" s="1174"/>
      <c r="N88"/>
      <c r="O88"/>
      <c r="P88"/>
    </row>
    <row r="89" spans="1:16" s="246" customFormat="1" ht="18" customHeight="1">
      <c r="A89" s="611" t="s">
        <v>335</v>
      </c>
      <c r="B89" s="1239"/>
      <c r="C89" s="1240"/>
      <c r="D89" s="1173">
        <v>700000</v>
      </c>
      <c r="E89" s="1174"/>
      <c r="F89" s="1173"/>
      <c r="G89" s="1246"/>
      <c r="H89" s="1173"/>
      <c r="I89" s="1174"/>
      <c r="J89" s="1173"/>
      <c r="K89" s="1174"/>
      <c r="L89" s="1173">
        <f t="shared" si="9"/>
        <v>700000</v>
      </c>
      <c r="M89" s="1174"/>
      <c r="N89"/>
      <c r="O89"/>
      <c r="P89"/>
    </row>
    <row r="90" spans="1:16" s="246" customFormat="1" ht="18" customHeight="1">
      <c r="A90" s="611" t="s">
        <v>336</v>
      </c>
      <c r="B90" s="1239"/>
      <c r="C90" s="1240"/>
      <c r="D90" s="1173">
        <v>600000</v>
      </c>
      <c r="E90" s="1174"/>
      <c r="F90" s="1173"/>
      <c r="G90" s="1246"/>
      <c r="H90" s="1173"/>
      <c r="I90" s="1174"/>
      <c r="J90" s="1173"/>
      <c r="K90" s="1174"/>
      <c r="L90" s="1173">
        <f t="shared" si="9"/>
        <v>600000</v>
      </c>
      <c r="M90" s="1174"/>
      <c r="N90"/>
      <c r="O90"/>
      <c r="P90"/>
    </row>
    <row r="91" spans="1:16" s="246" customFormat="1" ht="18" customHeight="1">
      <c r="A91" s="611" t="s">
        <v>337</v>
      </c>
      <c r="B91" s="1239"/>
      <c r="C91" s="1240"/>
      <c r="D91" s="1173">
        <v>1500000</v>
      </c>
      <c r="E91" s="1174"/>
      <c r="F91" s="1173"/>
      <c r="G91" s="1246"/>
      <c r="H91" s="1173"/>
      <c r="I91" s="1174"/>
      <c r="J91" s="1173"/>
      <c r="K91" s="1174"/>
      <c r="L91" s="1173">
        <f>+D91+F91+H91+J91</f>
        <v>1500000</v>
      </c>
      <c r="M91" s="1174"/>
      <c r="N91"/>
      <c r="O91"/>
      <c r="P91"/>
    </row>
    <row r="92" spans="1:16" s="246" customFormat="1" ht="18" customHeight="1">
      <c r="A92" s="611" t="s">
        <v>338</v>
      </c>
      <c r="B92" s="1239"/>
      <c r="C92" s="1240"/>
      <c r="D92" s="1173">
        <v>250000</v>
      </c>
      <c r="E92" s="1174"/>
      <c r="F92" s="1173"/>
      <c r="G92" s="1246"/>
      <c r="H92" s="1173"/>
      <c r="I92" s="1174"/>
      <c r="J92" s="1173"/>
      <c r="K92" s="1174"/>
      <c r="L92" s="1173">
        <f aca="true" t="shared" si="10" ref="L92:L101">+D92+F92+H92+J92</f>
        <v>250000</v>
      </c>
      <c r="M92" s="1174"/>
      <c r="N92"/>
      <c r="O92"/>
      <c r="P92"/>
    </row>
    <row r="93" spans="1:16" s="246" customFormat="1" ht="18" customHeight="1">
      <c r="A93" s="611" t="s">
        <v>339</v>
      </c>
      <c r="B93" s="1239"/>
      <c r="C93" s="1240"/>
      <c r="D93" s="1173">
        <v>250000</v>
      </c>
      <c r="E93" s="1174"/>
      <c r="F93" s="1173"/>
      <c r="G93" s="1246"/>
      <c r="H93" s="1173"/>
      <c r="I93" s="1174"/>
      <c r="J93" s="1173"/>
      <c r="K93" s="1174"/>
      <c r="L93" s="1173">
        <f t="shared" si="10"/>
        <v>250000</v>
      </c>
      <c r="M93" s="1174"/>
      <c r="N93"/>
      <c r="O93"/>
      <c r="P93"/>
    </row>
    <row r="94" spans="1:16" s="246" customFormat="1" ht="18" customHeight="1">
      <c r="A94" s="611" t="s">
        <v>340</v>
      </c>
      <c r="B94" s="1239"/>
      <c r="C94" s="1240"/>
      <c r="D94" s="1173">
        <v>200000</v>
      </c>
      <c r="E94" s="1174"/>
      <c r="F94" s="1173"/>
      <c r="G94" s="1246"/>
      <c r="H94" s="1173"/>
      <c r="I94" s="1174"/>
      <c r="J94" s="1173"/>
      <c r="K94" s="1174"/>
      <c r="L94" s="1173">
        <f t="shared" si="10"/>
        <v>200000</v>
      </c>
      <c r="M94" s="1174"/>
      <c r="N94"/>
      <c r="O94"/>
      <c r="P94"/>
    </row>
    <row r="95" spans="1:16" s="246" customFormat="1" ht="18" customHeight="1">
      <c r="A95" s="611" t="s">
        <v>341</v>
      </c>
      <c r="B95" s="1239"/>
      <c r="C95" s="1240"/>
      <c r="D95" s="1173">
        <v>940000</v>
      </c>
      <c r="E95" s="1174"/>
      <c r="F95" s="1173"/>
      <c r="G95" s="1246"/>
      <c r="H95" s="1173"/>
      <c r="I95" s="1174"/>
      <c r="J95" s="1173"/>
      <c r="K95" s="1174"/>
      <c r="L95" s="1173">
        <f t="shared" si="10"/>
        <v>940000</v>
      </c>
      <c r="M95" s="1174"/>
      <c r="N95"/>
      <c r="O95"/>
      <c r="P95"/>
    </row>
    <row r="96" spans="1:16" s="246" customFormat="1" ht="18" customHeight="1">
      <c r="A96" s="611" t="s">
        <v>342</v>
      </c>
      <c r="B96" s="1239"/>
      <c r="C96" s="1240"/>
      <c r="D96" s="1173">
        <v>850000</v>
      </c>
      <c r="E96" s="1174"/>
      <c r="F96" s="1173"/>
      <c r="G96" s="1246"/>
      <c r="H96" s="1173"/>
      <c r="I96" s="1174"/>
      <c r="J96" s="1173"/>
      <c r="K96" s="1174"/>
      <c r="L96" s="1173">
        <f t="shared" si="10"/>
        <v>850000</v>
      </c>
      <c r="M96" s="1174"/>
      <c r="N96"/>
      <c r="O96"/>
      <c r="P96"/>
    </row>
    <row r="97" spans="1:16" s="246" customFormat="1" ht="18" customHeight="1">
      <c r="A97" s="611" t="s">
        <v>343</v>
      </c>
      <c r="B97" s="1239"/>
      <c r="C97" s="1240"/>
      <c r="D97" s="1173">
        <v>250000</v>
      </c>
      <c r="E97" s="1174"/>
      <c r="F97" s="1173"/>
      <c r="G97" s="1246"/>
      <c r="H97" s="1173"/>
      <c r="I97" s="1174"/>
      <c r="J97" s="1173"/>
      <c r="K97" s="1174"/>
      <c r="L97" s="1173">
        <f t="shared" si="10"/>
        <v>250000</v>
      </c>
      <c r="M97" s="1174"/>
      <c r="N97"/>
      <c r="O97"/>
      <c r="P97"/>
    </row>
    <row r="98" spans="1:16" s="246" customFormat="1" ht="18" customHeight="1">
      <c r="A98" s="611" t="s">
        <v>344</v>
      </c>
      <c r="B98" s="1239"/>
      <c r="C98" s="1240"/>
      <c r="D98" s="1173">
        <v>200000</v>
      </c>
      <c r="E98" s="1174"/>
      <c r="F98" s="1173"/>
      <c r="G98" s="1246"/>
      <c r="H98" s="1173"/>
      <c r="I98" s="1174"/>
      <c r="J98" s="1173"/>
      <c r="K98" s="1174"/>
      <c r="L98" s="1173">
        <f t="shared" si="10"/>
        <v>200000</v>
      </c>
      <c r="M98" s="1174"/>
      <c r="N98"/>
      <c r="O98"/>
      <c r="P98"/>
    </row>
    <row r="99" spans="1:16" s="246" customFormat="1" ht="18" customHeight="1">
      <c r="A99" s="611" t="s">
        <v>345</v>
      </c>
      <c r="B99" s="1239"/>
      <c r="C99" s="1240"/>
      <c r="D99" s="1173">
        <v>300000</v>
      </c>
      <c r="E99" s="1174"/>
      <c r="F99" s="1173"/>
      <c r="G99" s="1246"/>
      <c r="H99" s="1173"/>
      <c r="I99" s="1174"/>
      <c r="J99" s="1173"/>
      <c r="K99" s="1174"/>
      <c r="L99" s="1173">
        <f t="shared" si="10"/>
        <v>300000</v>
      </c>
      <c r="M99" s="1174"/>
      <c r="N99"/>
      <c r="O99"/>
      <c r="P99"/>
    </row>
    <row r="100" spans="1:16" s="246" customFormat="1" ht="18" customHeight="1">
      <c r="A100" s="611" t="s">
        <v>346</v>
      </c>
      <c r="B100" s="1239"/>
      <c r="C100" s="1240"/>
      <c r="D100" s="1173">
        <v>300000</v>
      </c>
      <c r="E100" s="1174"/>
      <c r="F100" s="1173"/>
      <c r="G100" s="1246"/>
      <c r="H100" s="1173"/>
      <c r="I100" s="1174"/>
      <c r="J100" s="1173"/>
      <c r="K100" s="1174"/>
      <c r="L100" s="1173">
        <f t="shared" si="10"/>
        <v>300000</v>
      </c>
      <c r="M100" s="1174"/>
      <c r="N100"/>
      <c r="O100"/>
      <c r="P100"/>
    </row>
    <row r="101" spans="1:16" s="246" customFormat="1" ht="18" customHeight="1" thickBot="1">
      <c r="A101" s="611" t="s">
        <v>347</v>
      </c>
      <c r="B101" s="1239"/>
      <c r="C101" s="1240"/>
      <c r="D101" s="1173">
        <v>110000</v>
      </c>
      <c r="E101" s="1174"/>
      <c r="F101" s="1173"/>
      <c r="G101" s="1246"/>
      <c r="H101" s="1173"/>
      <c r="I101" s="1174"/>
      <c r="J101" s="1173"/>
      <c r="K101" s="1174"/>
      <c r="L101" s="1173">
        <f t="shared" si="10"/>
        <v>110000</v>
      </c>
      <c r="M101" s="1174"/>
      <c r="N101"/>
      <c r="O101"/>
      <c r="P101"/>
    </row>
    <row r="102" spans="1:16" s="642" customFormat="1" ht="22.5" customHeight="1" thickBot="1">
      <c r="A102" s="612" t="s">
        <v>201</v>
      </c>
      <c r="B102" s="1250">
        <f>SUM(B80:B101)</f>
        <v>4554355.65</v>
      </c>
      <c r="C102" s="1241"/>
      <c r="D102" s="1241">
        <f>SUM(D80:E101)</f>
        <v>15100000</v>
      </c>
      <c r="E102" s="1242"/>
      <c r="F102" s="1244">
        <f>SUM(F80:F101)</f>
        <v>0</v>
      </c>
      <c r="G102" s="1245"/>
      <c r="H102" s="1241">
        <f>SUM(H80:H101)</f>
        <v>0</v>
      </c>
      <c r="I102" s="1243"/>
      <c r="J102" s="1254">
        <f>SUM(J80:K101)</f>
        <v>15746000</v>
      </c>
      <c r="K102" s="1255"/>
      <c r="L102" s="1250">
        <f>SUM(L80:M101)</f>
        <v>30846000</v>
      </c>
      <c r="M102" s="1255"/>
      <c r="N102" s="641"/>
      <c r="O102" s="641"/>
      <c r="P102" s="641"/>
    </row>
    <row r="103" spans="1:16" s="246" customFormat="1" ht="3" customHeight="1" thickBot="1">
      <c r="A103" s="645"/>
      <c r="B103" s="194"/>
      <c r="C103" s="194"/>
      <c r="D103" s="194"/>
      <c r="E103" s="194"/>
      <c r="F103" s="194"/>
      <c r="G103" s="194"/>
      <c r="H103" s="194"/>
      <c r="J103" s="194"/>
      <c r="K103" s="194"/>
      <c r="L103" s="194"/>
      <c r="M103" s="194"/>
      <c r="N103"/>
      <c r="O103"/>
      <c r="P103"/>
    </row>
    <row r="104" spans="1:16" s="643" customFormat="1" ht="15" customHeight="1" thickBot="1">
      <c r="A104" s="260" t="s">
        <v>61</v>
      </c>
      <c r="B104" s="1254">
        <f>+B102+B76</f>
        <v>5625121.15</v>
      </c>
      <c r="C104" s="1241"/>
      <c r="D104" s="1254">
        <f>+D102+D76</f>
        <v>17300000</v>
      </c>
      <c r="E104" s="1242"/>
      <c r="F104" s="1244">
        <f>+F102+F76</f>
        <v>0</v>
      </c>
      <c r="G104" s="1245"/>
      <c r="H104" s="1241">
        <f>+H102+H76</f>
        <v>0</v>
      </c>
      <c r="I104" s="1243"/>
      <c r="J104" s="1254">
        <f>+J102+J76</f>
        <v>15746000</v>
      </c>
      <c r="K104" s="1242"/>
      <c r="L104" s="1250">
        <f>+L102+L76</f>
        <v>33046000</v>
      </c>
      <c r="M104" s="1255"/>
      <c r="N104" s="641"/>
      <c r="O104" s="641"/>
      <c r="P104" s="641"/>
    </row>
    <row r="105" spans="1:20" s="246" customFormat="1" ht="5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14" ht="6" customHeight="1" thickBo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29.25" customHeight="1" thickBot="1">
      <c r="A107" s="301" t="s">
        <v>202</v>
      </c>
      <c r="B107" s="56" t="s">
        <v>203</v>
      </c>
      <c r="C107" s="1305" t="s">
        <v>204</v>
      </c>
      <c r="D107" s="1306"/>
      <c r="E107" s="1307"/>
      <c r="F107" s="302" t="s">
        <v>203</v>
      </c>
      <c r="G107"/>
      <c r="H107"/>
      <c r="I107"/>
      <c r="J107"/>
      <c r="K107"/>
      <c r="L107"/>
      <c r="M107"/>
      <c r="N107"/>
    </row>
    <row r="108" spans="1:14" ht="18" customHeight="1">
      <c r="A108" s="303" t="s">
        <v>348</v>
      </c>
      <c r="B108" s="304">
        <v>1200</v>
      </c>
      <c r="C108" s="1175" t="s">
        <v>358</v>
      </c>
      <c r="D108" s="1176"/>
      <c r="E108" s="1177"/>
      <c r="F108" s="305">
        <v>2100</v>
      </c>
      <c r="G108" s="15"/>
      <c r="H108" s="15"/>
      <c r="I108" s="15"/>
      <c r="J108" s="15"/>
      <c r="K108" s="15"/>
      <c r="L108" s="15"/>
      <c r="M108" s="15"/>
      <c r="N108"/>
    </row>
    <row r="109" spans="1:14" ht="18" customHeight="1">
      <c r="A109" s="303" t="s">
        <v>349</v>
      </c>
      <c r="B109" s="304">
        <v>390</v>
      </c>
      <c r="C109" s="1171" t="s">
        <v>359</v>
      </c>
      <c r="D109" s="1238"/>
      <c r="E109" s="1238"/>
      <c r="F109" s="305">
        <v>600</v>
      </c>
      <c r="G109" s="15"/>
      <c r="H109" s="15"/>
      <c r="I109" s="15"/>
      <c r="J109" s="15"/>
      <c r="K109" s="15"/>
      <c r="L109" s="15"/>
      <c r="M109" s="15"/>
      <c r="N109"/>
    </row>
    <row r="110" spans="1:14" ht="18" customHeight="1">
      <c r="A110" s="303" t="s">
        <v>350</v>
      </c>
      <c r="B110" s="304">
        <v>640</v>
      </c>
      <c r="C110" s="1171" t="s">
        <v>360</v>
      </c>
      <c r="D110" s="1238"/>
      <c r="E110" s="1238"/>
      <c r="F110" s="305">
        <v>250</v>
      </c>
      <c r="G110" s="15"/>
      <c r="H110" s="15"/>
      <c r="I110" s="15"/>
      <c r="J110" s="15"/>
      <c r="K110" s="15"/>
      <c r="L110" s="15"/>
      <c r="M110" s="15"/>
      <c r="N110"/>
    </row>
    <row r="111" spans="1:14" ht="18" customHeight="1">
      <c r="A111" s="303" t="s">
        <v>351</v>
      </c>
      <c r="B111" s="304">
        <v>250</v>
      </c>
      <c r="C111" s="1171" t="s">
        <v>361</v>
      </c>
      <c r="D111" s="1238"/>
      <c r="E111" s="1238"/>
      <c r="F111" s="305">
        <v>280</v>
      </c>
      <c r="G111" s="15"/>
      <c r="H111" s="15"/>
      <c r="I111" s="15"/>
      <c r="J111" s="15"/>
      <c r="K111" s="15"/>
      <c r="L111" s="15"/>
      <c r="M111" s="15"/>
      <c r="N111"/>
    </row>
    <row r="112" spans="1:14" ht="18" customHeight="1">
      <c r="A112" s="303" t="s">
        <v>352</v>
      </c>
      <c r="B112" s="304">
        <v>850</v>
      </c>
      <c r="C112" s="1171" t="s">
        <v>362</v>
      </c>
      <c r="D112" s="1238"/>
      <c r="E112" s="1238"/>
      <c r="F112" s="305">
        <v>720</v>
      </c>
      <c r="G112" s="15"/>
      <c r="H112" s="15"/>
      <c r="I112" s="15"/>
      <c r="J112" s="15"/>
      <c r="K112" s="15"/>
      <c r="L112" s="15"/>
      <c r="M112" s="15"/>
      <c r="N112"/>
    </row>
    <row r="113" spans="1:14" ht="18" customHeight="1">
      <c r="A113" s="303" t="s">
        <v>353</v>
      </c>
      <c r="B113" s="304">
        <v>210</v>
      </c>
      <c r="C113" s="1171" t="s">
        <v>363</v>
      </c>
      <c r="D113" s="1238"/>
      <c r="E113" s="1238"/>
      <c r="F113" s="305">
        <v>1060</v>
      </c>
      <c r="G113" s="15"/>
      <c r="H113" s="15"/>
      <c r="I113" s="15"/>
      <c r="J113" s="15"/>
      <c r="K113" s="15"/>
      <c r="L113" s="15"/>
      <c r="M113" s="15"/>
      <c r="N113"/>
    </row>
    <row r="114" spans="1:14" ht="18" customHeight="1">
      <c r="A114" s="303" t="s">
        <v>354</v>
      </c>
      <c r="B114" s="304">
        <v>340</v>
      </c>
      <c r="C114" s="1171" t="s">
        <v>364</v>
      </c>
      <c r="D114" s="1238"/>
      <c r="E114" s="1238"/>
      <c r="F114" s="305">
        <v>360</v>
      </c>
      <c r="G114" s="15"/>
      <c r="H114" s="15"/>
      <c r="I114" s="15"/>
      <c r="J114" s="15"/>
      <c r="K114" s="15"/>
      <c r="L114" s="15"/>
      <c r="M114" s="15"/>
      <c r="N114"/>
    </row>
    <row r="115" spans="1:20" s="15" customFormat="1" ht="17.25" customHeight="1">
      <c r="A115" s="306" t="s">
        <v>355</v>
      </c>
      <c r="B115" s="307">
        <v>180</v>
      </c>
      <c r="C115" s="1171" t="s">
        <v>365</v>
      </c>
      <c r="D115" s="1238"/>
      <c r="E115" s="1238"/>
      <c r="F115" s="308">
        <v>380</v>
      </c>
      <c r="N115"/>
      <c r="O115"/>
      <c r="P115"/>
      <c r="Q115"/>
      <c r="R115"/>
      <c r="S115"/>
      <c r="T115"/>
    </row>
    <row r="116" spans="1:20" s="15" customFormat="1" ht="17.25" customHeight="1">
      <c r="A116" s="306" t="s">
        <v>356</v>
      </c>
      <c r="B116" s="307">
        <v>180</v>
      </c>
      <c r="C116" s="1171" t="s">
        <v>366</v>
      </c>
      <c r="D116" s="1238"/>
      <c r="E116" s="1238"/>
      <c r="F116" s="308">
        <v>440</v>
      </c>
      <c r="N116"/>
      <c r="O116"/>
      <c r="P116"/>
      <c r="Q116"/>
      <c r="R116"/>
      <c r="S116"/>
      <c r="T116"/>
    </row>
    <row r="117" spans="1:20" s="15" customFormat="1" ht="16.5" customHeight="1" hidden="1">
      <c r="A117" s="306" t="s">
        <v>357</v>
      </c>
      <c r="B117" s="307">
        <v>420</v>
      </c>
      <c r="C117" s="332"/>
      <c r="D117" s="333"/>
      <c r="E117" s="334"/>
      <c r="F117" s="308"/>
      <c r="N117"/>
      <c r="O117"/>
      <c r="P117"/>
      <c r="Q117"/>
      <c r="R117"/>
      <c r="S117"/>
      <c r="T117"/>
    </row>
    <row r="118" spans="1:20" s="15" customFormat="1" ht="16.5" customHeight="1" hidden="1">
      <c r="A118" s="306"/>
      <c r="B118" s="307"/>
      <c r="C118" s="332"/>
      <c r="D118" s="333"/>
      <c r="E118" s="334"/>
      <c r="F118" s="308"/>
      <c r="N118"/>
      <c r="O118"/>
      <c r="P118"/>
      <c r="Q118"/>
      <c r="R118"/>
      <c r="S118"/>
      <c r="T118"/>
    </row>
    <row r="119" spans="1:20" s="15" customFormat="1" ht="16.5" customHeight="1" hidden="1">
      <c r="A119" s="306"/>
      <c r="B119" s="307"/>
      <c r="C119" s="332"/>
      <c r="D119" s="333"/>
      <c r="E119" s="334"/>
      <c r="F119" s="308"/>
      <c r="N119"/>
      <c r="O119"/>
      <c r="P119"/>
      <c r="Q119"/>
      <c r="R119"/>
      <c r="S119"/>
      <c r="T119"/>
    </row>
    <row r="120" spans="1:20" s="15" customFormat="1" ht="16.5" customHeight="1" hidden="1">
      <c r="A120" s="306"/>
      <c r="B120" s="307"/>
      <c r="C120" s="332"/>
      <c r="D120" s="333"/>
      <c r="E120" s="334"/>
      <c r="F120" s="308"/>
      <c r="N120"/>
      <c r="O120"/>
      <c r="P120"/>
      <c r="Q120"/>
      <c r="R120"/>
      <c r="S120"/>
      <c r="T120"/>
    </row>
    <row r="121" spans="1:20" s="15" customFormat="1" ht="16.5" customHeight="1" hidden="1">
      <c r="A121" s="306"/>
      <c r="B121" s="307"/>
      <c r="C121" s="332"/>
      <c r="D121" s="333"/>
      <c r="E121" s="334"/>
      <c r="F121" s="308"/>
      <c r="N121"/>
      <c r="O121"/>
      <c r="P121"/>
      <c r="Q121"/>
      <c r="R121"/>
      <c r="S121"/>
      <c r="T121"/>
    </row>
    <row r="122" spans="1:20" s="15" customFormat="1" ht="16.5" customHeight="1" hidden="1">
      <c r="A122" s="306"/>
      <c r="B122" s="307"/>
      <c r="C122" s="332"/>
      <c r="D122" s="333"/>
      <c r="E122" s="334"/>
      <c r="F122" s="309"/>
      <c r="N122"/>
      <c r="O122"/>
      <c r="P122"/>
      <c r="Q122"/>
      <c r="R122"/>
      <c r="S122"/>
      <c r="T122"/>
    </row>
    <row r="123" spans="1:20" s="15" customFormat="1" ht="16.5" customHeight="1" hidden="1">
      <c r="A123" s="306"/>
      <c r="B123" s="307"/>
      <c r="C123" s="332"/>
      <c r="D123" s="333"/>
      <c r="E123" s="334"/>
      <c r="F123" s="308"/>
      <c r="N123"/>
      <c r="O123"/>
      <c r="P123"/>
      <c r="Q123"/>
      <c r="R123"/>
      <c r="S123"/>
      <c r="T123"/>
    </row>
    <row r="124" spans="1:20" s="15" customFormat="1" ht="13.5" thickBot="1">
      <c r="A124" s="310"/>
      <c r="B124" s="311"/>
      <c r="C124" s="335"/>
      <c r="D124" s="336"/>
      <c r="E124" s="337"/>
      <c r="F124" s="312"/>
      <c r="N124"/>
      <c r="O124"/>
      <c r="P124"/>
      <c r="Q124"/>
      <c r="R124"/>
      <c r="S124"/>
      <c r="T124"/>
    </row>
    <row r="125" spans="1:20" s="15" customFormat="1" ht="13.5" thickBot="1">
      <c r="A125" s="118" t="s">
        <v>205</v>
      </c>
      <c r="B125" s="115">
        <f>SUM(B108:B124)</f>
        <v>4660</v>
      </c>
      <c r="C125" s="338" t="s">
        <v>4</v>
      </c>
      <c r="D125" s="339"/>
      <c r="E125" s="340"/>
      <c r="F125" s="116">
        <f>SUM(F108:F124)</f>
        <v>6190</v>
      </c>
      <c r="G125" s="313"/>
      <c r="H125" s="313"/>
      <c r="I125" s="313"/>
      <c r="J125" s="313"/>
      <c r="K125" s="313"/>
      <c r="L125" s="313"/>
      <c r="M125" s="313"/>
      <c r="N125"/>
      <c r="O125"/>
      <c r="P125"/>
      <c r="Q125"/>
      <c r="R125"/>
      <c r="S125"/>
      <c r="T125"/>
    </row>
    <row r="126" spans="1:20" s="313" customFormat="1" ht="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14" ht="9.75" customHeight="1" thickBo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 customHeight="1">
      <c r="A128" s="1308" t="s">
        <v>62</v>
      </c>
      <c r="B128" s="1311" t="s">
        <v>302</v>
      </c>
      <c r="C128" s="1314" t="s">
        <v>301</v>
      </c>
      <c r="D128" s="1286"/>
      <c r="E128" s="1286"/>
      <c r="F128" s="1286"/>
      <c r="G128" s="1286"/>
      <c r="H128" s="1315"/>
      <c r="I128" s="1293" t="s">
        <v>303</v>
      </c>
      <c r="N128"/>
    </row>
    <row r="129" spans="1:20" s="314" customFormat="1" ht="17.25" customHeight="1">
      <c r="A129" s="1309"/>
      <c r="B129" s="1312"/>
      <c r="C129" s="1316" t="s">
        <v>45</v>
      </c>
      <c r="D129" s="140" t="s">
        <v>63</v>
      </c>
      <c r="E129" s="341"/>
      <c r="F129" s="341"/>
      <c r="G129" s="341"/>
      <c r="H129" s="342"/>
      <c r="I129" s="1294"/>
      <c r="J129" s="142"/>
      <c r="K129" s="142"/>
      <c r="L129" s="142"/>
      <c r="M129" s="142"/>
      <c r="N129"/>
      <c r="O129"/>
      <c r="P129"/>
      <c r="Q129"/>
      <c r="R129"/>
      <c r="S129"/>
      <c r="T129"/>
    </row>
    <row r="130" spans="1:20" s="314" customFormat="1" ht="17.25" customHeight="1" thickBot="1">
      <c r="A130" s="1310"/>
      <c r="B130" s="1313"/>
      <c r="C130" s="1317"/>
      <c r="D130" s="315">
        <v>1</v>
      </c>
      <c r="E130" s="315">
        <v>2</v>
      </c>
      <c r="F130" s="315">
        <v>3</v>
      </c>
      <c r="G130" s="315">
        <v>4</v>
      </c>
      <c r="H130" s="315">
        <v>5</v>
      </c>
      <c r="I130" s="1295"/>
      <c r="J130" s="187"/>
      <c r="K130" s="187"/>
      <c r="L130" s="187"/>
      <c r="M130" s="187"/>
      <c r="N130"/>
      <c r="O130"/>
      <c r="P130"/>
      <c r="Q130"/>
      <c r="R130"/>
      <c r="S130"/>
      <c r="T130"/>
    </row>
    <row r="131" spans="1:20" s="314" customFormat="1" ht="13.5" customHeight="1" thickBot="1">
      <c r="A131" s="316">
        <v>63175</v>
      </c>
      <c r="B131" s="244">
        <v>13858</v>
      </c>
      <c r="C131" s="317">
        <f>SUM(D131:H131)</f>
        <v>3454</v>
      </c>
      <c r="D131" s="244">
        <f>1667+31</f>
        <v>1698</v>
      </c>
      <c r="E131" s="244">
        <v>1464</v>
      </c>
      <c r="F131" s="244">
        <v>6</v>
      </c>
      <c r="G131" s="244">
        <v>65</v>
      </c>
      <c r="H131" s="244">
        <v>221</v>
      </c>
      <c r="I131" s="245">
        <f>SUM(A131-B131-C131)</f>
        <v>45863</v>
      </c>
      <c r="J131" s="142"/>
      <c r="K131" s="142"/>
      <c r="L131" s="142"/>
      <c r="M131" s="142"/>
      <c r="N131"/>
      <c r="O131"/>
      <c r="P131"/>
      <c r="Q131"/>
      <c r="R131"/>
      <c r="S131"/>
      <c r="T131"/>
    </row>
    <row r="132" spans="1:20" s="314" customFormat="1" ht="11.25" customHeight="1">
      <c r="A132" s="388"/>
      <c r="B132" s="389"/>
      <c r="C132" s="389"/>
      <c r="D132" s="389"/>
      <c r="E132" s="389"/>
      <c r="F132" s="389"/>
      <c r="G132" s="389"/>
      <c r="H132" s="389"/>
      <c r="I132" s="389"/>
      <c r="J132" s="142"/>
      <c r="K132" s="142"/>
      <c r="L132" s="142"/>
      <c r="M132" s="142"/>
      <c r="N132"/>
      <c r="O132"/>
      <c r="P132"/>
      <c r="Q132"/>
      <c r="R132"/>
      <c r="S132"/>
      <c r="T132"/>
    </row>
    <row r="133" spans="1:20" s="314" customFormat="1" ht="17.25" customHeight="1" thickBot="1">
      <c r="A133" s="102" t="s">
        <v>218</v>
      </c>
      <c r="B133" s="194"/>
      <c r="C133" s="194"/>
      <c r="D133" s="194"/>
      <c r="E133" s="194"/>
      <c r="F133" s="194"/>
      <c r="G133" s="194"/>
      <c r="H133" s="194"/>
      <c r="I133" s="142"/>
      <c r="J133" s="142"/>
      <c r="K133" s="142"/>
      <c r="L133" s="142"/>
      <c r="M133" s="142"/>
      <c r="N133"/>
      <c r="O133"/>
      <c r="P133"/>
      <c r="Q133"/>
      <c r="R133"/>
      <c r="S133"/>
      <c r="T133"/>
    </row>
    <row r="134" spans="1:14" ht="17.25" customHeight="1">
      <c r="A134" s="1296" t="s">
        <v>64</v>
      </c>
      <c r="B134" s="1298" t="s">
        <v>296</v>
      </c>
      <c r="C134" s="1285" t="s">
        <v>294</v>
      </c>
      <c r="D134" s="1286"/>
      <c r="E134" s="1286"/>
      <c r="F134" s="1287"/>
      <c r="G134" s="1300" t="s">
        <v>295</v>
      </c>
      <c r="H134" s="1283" t="s">
        <v>65</v>
      </c>
      <c r="I134" s="1285" t="s">
        <v>299</v>
      </c>
      <c r="J134" s="1286"/>
      <c r="K134" s="1286"/>
      <c r="L134" s="1287"/>
      <c r="M134"/>
      <c r="N134"/>
    </row>
    <row r="135" spans="1:14" ht="20.25" customHeight="1" thickBot="1">
      <c r="A135" s="1297"/>
      <c r="B135" s="1299"/>
      <c r="C135" s="26" t="s">
        <v>150</v>
      </c>
      <c r="D135" s="27" t="s">
        <v>66</v>
      </c>
      <c r="E135" s="27" t="s">
        <v>67</v>
      </c>
      <c r="F135" s="28" t="s">
        <v>151</v>
      </c>
      <c r="G135" s="1284"/>
      <c r="H135" s="1284"/>
      <c r="I135" s="49" t="s">
        <v>297</v>
      </c>
      <c r="J135" s="27" t="s">
        <v>66</v>
      </c>
      <c r="K135" s="27" t="s">
        <v>67</v>
      </c>
      <c r="L135" s="28" t="s">
        <v>298</v>
      </c>
      <c r="M135"/>
      <c r="N135"/>
    </row>
    <row r="136" spans="1:14" ht="12.75">
      <c r="A136" s="318" t="s">
        <v>68</v>
      </c>
      <c r="B136" s="108">
        <v>44638.42</v>
      </c>
      <c r="C136" s="208" t="s">
        <v>69</v>
      </c>
      <c r="D136" s="199" t="s">
        <v>69</v>
      </c>
      <c r="E136" s="209" t="s">
        <v>69</v>
      </c>
      <c r="F136" s="1161" t="s">
        <v>69</v>
      </c>
      <c r="G136" s="201">
        <v>52614.01</v>
      </c>
      <c r="H136" s="202" t="s">
        <v>69</v>
      </c>
      <c r="I136" s="319" t="s">
        <v>69</v>
      </c>
      <c r="J136" s="319" t="s">
        <v>69</v>
      </c>
      <c r="K136" s="319" t="s">
        <v>69</v>
      </c>
      <c r="L136" s="200" t="s">
        <v>69</v>
      </c>
      <c r="M136"/>
      <c r="N136"/>
    </row>
    <row r="137" spans="1:14" ht="12.75">
      <c r="A137" s="320" t="s">
        <v>70</v>
      </c>
      <c r="B137" s="204">
        <v>0</v>
      </c>
      <c r="C137" s="137">
        <v>0</v>
      </c>
      <c r="D137" s="30">
        <v>0</v>
      </c>
      <c r="E137" s="204">
        <v>0</v>
      </c>
      <c r="F137" s="390">
        <f>+C137+D137-E137</f>
        <v>0</v>
      </c>
      <c r="G137" s="206">
        <v>0</v>
      </c>
      <c r="H137" s="207">
        <f>+G137-F137</f>
        <v>0</v>
      </c>
      <c r="I137" s="30">
        <v>0</v>
      </c>
      <c r="J137" s="30"/>
      <c r="K137" s="30"/>
      <c r="L137" s="205">
        <f>+I137+J137-K137</f>
        <v>0</v>
      </c>
      <c r="M137"/>
      <c r="N137"/>
    </row>
    <row r="138" spans="1:14" ht="12.75">
      <c r="A138" s="320" t="s">
        <v>71</v>
      </c>
      <c r="B138" s="204">
        <v>0</v>
      </c>
      <c r="C138" s="137">
        <v>3273</v>
      </c>
      <c r="D138" s="30">
        <v>9628</v>
      </c>
      <c r="E138" s="204">
        <v>8468</v>
      </c>
      <c r="F138" s="390">
        <f>+C138+D138-E138</f>
        <v>4433</v>
      </c>
      <c r="G138" s="206">
        <v>0</v>
      </c>
      <c r="H138" s="206">
        <f>+G138-F138</f>
        <v>-4433</v>
      </c>
      <c r="I138" s="30">
        <f>+F138</f>
        <v>4433</v>
      </c>
      <c r="J138" s="30">
        <v>0</v>
      </c>
      <c r="K138" s="30">
        <v>0</v>
      </c>
      <c r="L138" s="205">
        <f>+I138+J138-K138</f>
        <v>4433</v>
      </c>
      <c r="M138"/>
      <c r="N138"/>
    </row>
    <row r="139" spans="1:14" ht="12.75">
      <c r="A139" s="320" t="s">
        <v>72</v>
      </c>
      <c r="B139" s="204">
        <f>+B136-B140</f>
        <v>37225.42</v>
      </c>
      <c r="C139" s="208" t="s">
        <v>69</v>
      </c>
      <c r="D139" s="199" t="s">
        <v>69</v>
      </c>
      <c r="E139" s="209" t="s">
        <v>69</v>
      </c>
      <c r="F139" s="1162" t="s">
        <v>69</v>
      </c>
      <c r="G139" s="206">
        <f>+G136-G140</f>
        <v>44975.01</v>
      </c>
      <c r="H139" s="321" t="s">
        <v>69</v>
      </c>
      <c r="I139" s="319" t="s">
        <v>69</v>
      </c>
      <c r="J139" s="319" t="s">
        <v>69</v>
      </c>
      <c r="K139" s="319" t="s">
        <v>69</v>
      </c>
      <c r="L139" s="200" t="s">
        <v>69</v>
      </c>
      <c r="M139"/>
      <c r="N139"/>
    </row>
    <row r="140" spans="1:14" ht="12.75">
      <c r="A140" s="320" t="s">
        <v>73</v>
      </c>
      <c r="B140" s="204">
        <v>7413</v>
      </c>
      <c r="C140" s="137">
        <v>20794</v>
      </c>
      <c r="D140" s="30">
        <f>+D146</f>
        <v>31246</v>
      </c>
      <c r="E140" s="204">
        <f>+D156</f>
        <v>28830</v>
      </c>
      <c r="F140" s="390">
        <f>+D161</f>
        <v>23210</v>
      </c>
      <c r="G140" s="206">
        <v>7639</v>
      </c>
      <c r="H140" s="207">
        <f>+G140-F140</f>
        <v>-15571</v>
      </c>
      <c r="I140" s="210">
        <f>+E144</f>
        <v>23210</v>
      </c>
      <c r="J140" s="210">
        <f>+E146</f>
        <v>36500</v>
      </c>
      <c r="K140" s="210">
        <f>+E156</f>
        <v>38671</v>
      </c>
      <c r="L140" s="205">
        <f>+I140+J140-K140</f>
        <v>21039</v>
      </c>
      <c r="M140"/>
      <c r="N140"/>
    </row>
    <row r="141" spans="1:14" ht="13.5" thickBot="1">
      <c r="A141" s="322" t="s">
        <v>74</v>
      </c>
      <c r="B141" s="212">
        <v>108.18</v>
      </c>
      <c r="C141" s="1029">
        <v>1992.7</v>
      </c>
      <c r="D141" s="1030">
        <v>4600</v>
      </c>
      <c r="E141" s="1160">
        <f>+C141+D141-F141</f>
        <v>4312.2</v>
      </c>
      <c r="F141" s="1031">
        <v>2280.5</v>
      </c>
      <c r="G141" s="214">
        <v>9</v>
      </c>
      <c r="H141" s="215">
        <f>+G141-F141</f>
        <v>-2271.5</v>
      </c>
      <c r="I141" s="139">
        <f>+F141</f>
        <v>2280.5</v>
      </c>
      <c r="J141" s="139">
        <v>4977</v>
      </c>
      <c r="K141" s="139">
        <v>4500</v>
      </c>
      <c r="L141" s="213">
        <f>+I141+J141-K141</f>
        <v>2757.5</v>
      </c>
      <c r="M141"/>
      <c r="N141"/>
    </row>
    <row r="142" spans="5:14" ht="13.5" thickBot="1">
      <c r="E142" s="194"/>
      <c r="F142" s="194"/>
      <c r="G142" s="194"/>
      <c r="H142" s="194"/>
      <c r="N142"/>
    </row>
    <row r="143" spans="1:19" s="15" customFormat="1" ht="19.5" customHeight="1" thickBot="1">
      <c r="A143" s="638" t="s">
        <v>75</v>
      </c>
      <c r="B143" s="717">
        <v>2004</v>
      </c>
      <c r="C143" s="375">
        <v>2005</v>
      </c>
      <c r="D143" s="375">
        <v>2006</v>
      </c>
      <c r="E143" s="361">
        <v>2007</v>
      </c>
      <c r="F143" s="1288" t="s">
        <v>76</v>
      </c>
      <c r="G143" s="1289"/>
      <c r="H143" s="1289"/>
      <c r="I143" s="360">
        <v>2004</v>
      </c>
      <c r="J143" s="375">
        <v>2005</v>
      </c>
      <c r="K143" s="375">
        <v>2006</v>
      </c>
      <c r="L143" s="361">
        <v>2007</v>
      </c>
      <c r="M143"/>
      <c r="N143"/>
      <c r="O143"/>
      <c r="P143"/>
      <c r="Q143"/>
      <c r="R143"/>
      <c r="S143"/>
    </row>
    <row r="144" spans="1:14" ht="12.75">
      <c r="A144" s="712" t="s">
        <v>77</v>
      </c>
      <c r="B144" s="136">
        <v>284877</v>
      </c>
      <c r="C144" s="378">
        <f>+B161</f>
        <v>291590</v>
      </c>
      <c r="D144" s="108">
        <v>20794</v>
      </c>
      <c r="E144" s="35">
        <f>+D161</f>
        <v>23210</v>
      </c>
      <c r="F144" s="1280" t="s">
        <v>78</v>
      </c>
      <c r="G144" s="1281"/>
      <c r="H144" s="1282"/>
      <c r="I144" s="34">
        <v>3366</v>
      </c>
      <c r="J144" s="378">
        <f>+I161</f>
        <v>2501</v>
      </c>
      <c r="K144" s="108">
        <v>3273</v>
      </c>
      <c r="L144" s="35">
        <f>+K161</f>
        <v>4433</v>
      </c>
      <c r="M144"/>
      <c r="N144"/>
    </row>
    <row r="145" spans="1:14" ht="12.75">
      <c r="A145" s="713" t="s">
        <v>318</v>
      </c>
      <c r="B145" s="137"/>
      <c r="C145" s="379"/>
      <c r="D145" s="204">
        <v>7389</v>
      </c>
      <c r="E145" s="205">
        <v>5625</v>
      </c>
      <c r="F145" s="1251"/>
      <c r="G145" s="1252"/>
      <c r="H145" s="1253"/>
      <c r="I145" s="30"/>
      <c r="J145" s="379"/>
      <c r="K145" s="204"/>
      <c r="L145" s="205"/>
      <c r="M145"/>
      <c r="N145"/>
    </row>
    <row r="146" spans="1:14" ht="12.75">
      <c r="A146" s="714" t="s">
        <v>66</v>
      </c>
      <c r="B146" s="543">
        <v>42898</v>
      </c>
      <c r="C146" s="383">
        <f>SUM(C147:C154)</f>
        <v>50599</v>
      </c>
      <c r="D146" s="383">
        <f>SUM(D147:D155)</f>
        <v>31246</v>
      </c>
      <c r="E146" s="384">
        <f>SUM(E147:E155)</f>
        <v>36500</v>
      </c>
      <c r="F146" s="1274" t="s">
        <v>66</v>
      </c>
      <c r="G146" s="1275"/>
      <c r="H146" s="1276"/>
      <c r="I146" s="382">
        <f>+I147+I149</f>
        <v>2791</v>
      </c>
      <c r="J146" s="383">
        <f>+J147+J149</f>
        <v>3273</v>
      </c>
      <c r="K146" s="383">
        <f>+K147+K149</f>
        <v>9628</v>
      </c>
      <c r="L146" s="384">
        <v>0</v>
      </c>
      <c r="M146"/>
      <c r="N146"/>
    </row>
    <row r="147" spans="1:14" ht="12.75">
      <c r="A147" s="713" t="s">
        <v>79</v>
      </c>
      <c r="B147" s="137">
        <v>6713</v>
      </c>
      <c r="C147" s="379">
        <v>3208</v>
      </c>
      <c r="D147" s="204">
        <v>2187</v>
      </c>
      <c r="E147" s="205">
        <v>3454</v>
      </c>
      <c r="F147" s="1251" t="s">
        <v>216</v>
      </c>
      <c r="G147" s="1252"/>
      <c r="H147" s="1253"/>
      <c r="I147" s="30"/>
      <c r="J147" s="379"/>
      <c r="K147" s="204">
        <v>0</v>
      </c>
      <c r="L147" s="205"/>
      <c r="M147"/>
      <c r="N147"/>
    </row>
    <row r="148" spans="1:14" ht="12" customHeight="1">
      <c r="A148" s="713" t="s">
        <v>319</v>
      </c>
      <c r="B148" s="137"/>
      <c r="C148" s="379"/>
      <c r="D148" s="204">
        <v>2000</v>
      </c>
      <c r="E148" s="205"/>
      <c r="F148" s="1251"/>
      <c r="G148" s="1252"/>
      <c r="H148" s="1253"/>
      <c r="I148" s="30"/>
      <c r="J148" s="379"/>
      <c r="K148" s="204"/>
      <c r="L148" s="205"/>
      <c r="M148"/>
      <c r="N148"/>
    </row>
    <row r="149" spans="1:14" ht="12.75">
      <c r="A149" s="713" t="s">
        <v>209</v>
      </c>
      <c r="B149" s="137">
        <v>15186</v>
      </c>
      <c r="C149" s="379">
        <v>46287</v>
      </c>
      <c r="D149" s="204">
        <v>13600</v>
      </c>
      <c r="E149" s="205">
        <v>17300</v>
      </c>
      <c r="F149" s="1251" t="s">
        <v>81</v>
      </c>
      <c r="G149" s="1252"/>
      <c r="H149" s="1253"/>
      <c r="I149" s="30">
        <v>2791</v>
      </c>
      <c r="J149" s="379">
        <v>3273</v>
      </c>
      <c r="K149" s="204">
        <v>9628</v>
      </c>
      <c r="L149" s="205"/>
      <c r="M149"/>
      <c r="N149"/>
    </row>
    <row r="150" spans="1:14" ht="12" customHeight="1">
      <c r="A150" s="713" t="s">
        <v>210</v>
      </c>
      <c r="B150" s="137"/>
      <c r="C150" s="379"/>
      <c r="D150" s="204">
        <v>0</v>
      </c>
      <c r="E150" s="205"/>
      <c r="F150" s="1251"/>
      <c r="G150" s="1252"/>
      <c r="H150" s="1253"/>
      <c r="I150" s="30"/>
      <c r="J150" s="379"/>
      <c r="K150" s="204"/>
      <c r="L150" s="205"/>
      <c r="M150"/>
      <c r="N150"/>
    </row>
    <row r="151" spans="1:14" ht="12" customHeight="1">
      <c r="A151" s="713" t="s">
        <v>316</v>
      </c>
      <c r="B151" s="137"/>
      <c r="C151" s="379"/>
      <c r="D151" s="204">
        <v>11410</v>
      </c>
      <c r="E151" s="205">
        <v>15746</v>
      </c>
      <c r="F151" s="1251"/>
      <c r="G151" s="1252"/>
      <c r="H151" s="1253"/>
      <c r="I151" s="30"/>
      <c r="J151" s="379"/>
      <c r="K151" s="204"/>
      <c r="L151" s="205"/>
      <c r="M151"/>
      <c r="N151"/>
    </row>
    <row r="152" spans="1:14" ht="12" customHeight="1">
      <c r="A152" s="713" t="s">
        <v>317</v>
      </c>
      <c r="B152" s="137"/>
      <c r="C152" s="379"/>
      <c r="D152" s="204">
        <v>78</v>
      </c>
      <c r="E152" s="205"/>
      <c r="F152" s="1251"/>
      <c r="G152" s="1252"/>
      <c r="H152" s="1253"/>
      <c r="I152" s="30"/>
      <c r="J152" s="379"/>
      <c r="K152" s="204"/>
      <c r="L152" s="205"/>
      <c r="M152"/>
      <c r="N152"/>
    </row>
    <row r="153" spans="1:14" ht="12.75">
      <c r="A153" s="713" t="s">
        <v>82</v>
      </c>
      <c r="B153" s="137">
        <v>18410</v>
      </c>
      <c r="C153" s="379"/>
      <c r="D153" s="204"/>
      <c r="E153" s="205"/>
      <c r="F153" s="1251"/>
      <c r="G153" s="1252"/>
      <c r="H153" s="1253"/>
      <c r="I153" s="30"/>
      <c r="J153" s="379"/>
      <c r="K153" s="204"/>
      <c r="L153" s="205"/>
      <c r="M153"/>
      <c r="N153"/>
    </row>
    <row r="154" spans="1:14" ht="12.75">
      <c r="A154" s="713" t="s">
        <v>81</v>
      </c>
      <c r="B154" s="137"/>
      <c r="C154" s="379">
        <v>1104</v>
      </c>
      <c r="D154" s="204">
        <v>1971</v>
      </c>
      <c r="E154" s="205"/>
      <c r="F154" s="1251"/>
      <c r="G154" s="1252"/>
      <c r="H154" s="1253"/>
      <c r="I154" s="30"/>
      <c r="J154" s="379"/>
      <c r="K154" s="204"/>
      <c r="L154" s="205"/>
      <c r="M154"/>
      <c r="N154"/>
    </row>
    <row r="155" spans="1:14" ht="12.75">
      <c r="A155" s="639" t="s">
        <v>83</v>
      </c>
      <c r="B155" s="137">
        <v>2589</v>
      </c>
      <c r="C155" s="379"/>
      <c r="D155" s="204"/>
      <c r="E155" s="205"/>
      <c r="F155" s="1251"/>
      <c r="G155" s="1252"/>
      <c r="H155" s="1253"/>
      <c r="I155" s="30"/>
      <c r="J155" s="379"/>
      <c r="K155" s="204"/>
      <c r="L155" s="205"/>
      <c r="M155"/>
      <c r="N155"/>
    </row>
    <row r="156" spans="1:14" ht="12.75">
      <c r="A156" s="714" t="s">
        <v>67</v>
      </c>
      <c r="B156" s="543">
        <f>+B157+B158</f>
        <v>36185</v>
      </c>
      <c r="C156" s="383">
        <v>321394</v>
      </c>
      <c r="D156" s="383">
        <f>SUM(D157:D160)</f>
        <v>28830</v>
      </c>
      <c r="E156" s="384">
        <f>SUM(E157:E160)</f>
        <v>38671</v>
      </c>
      <c r="F156" s="1274" t="s">
        <v>67</v>
      </c>
      <c r="G156" s="1275"/>
      <c r="H156" s="1276"/>
      <c r="I156" s="382">
        <f>+I157+I158+I159</f>
        <v>3656</v>
      </c>
      <c r="J156" s="383">
        <f>+J157+J158+J159</f>
        <v>2501</v>
      </c>
      <c r="K156" s="383">
        <f>+K157+K158+K159+K160</f>
        <v>8468</v>
      </c>
      <c r="L156" s="384">
        <v>0</v>
      </c>
      <c r="M156"/>
      <c r="N156"/>
    </row>
    <row r="157" spans="1:14" ht="12.75">
      <c r="A157" s="713" t="s">
        <v>187</v>
      </c>
      <c r="B157" s="137">
        <v>26812</v>
      </c>
      <c r="C157" s="379">
        <v>33462</v>
      </c>
      <c r="D157" s="204">
        <v>22941</v>
      </c>
      <c r="E157" s="205">
        <v>35400</v>
      </c>
      <c r="F157" s="250" t="s">
        <v>84</v>
      </c>
      <c r="G157" s="251"/>
      <c r="H157" s="252"/>
      <c r="I157" s="30">
        <v>1067</v>
      </c>
      <c r="J157" s="379">
        <v>1397</v>
      </c>
      <c r="K157" s="204">
        <v>1050</v>
      </c>
      <c r="L157" s="205"/>
      <c r="M157"/>
      <c r="N157"/>
    </row>
    <row r="158" spans="1:14" ht="12.75">
      <c r="A158" s="713" t="s">
        <v>188</v>
      </c>
      <c r="B158" s="137">
        <v>9373</v>
      </c>
      <c r="C158" s="379">
        <v>6540</v>
      </c>
      <c r="D158" s="204">
        <v>5889</v>
      </c>
      <c r="E158" s="205">
        <v>3271</v>
      </c>
      <c r="F158" s="250" t="s">
        <v>85</v>
      </c>
      <c r="G158" s="251"/>
      <c r="H158" s="252"/>
      <c r="I158" s="30"/>
      <c r="J158" s="379"/>
      <c r="K158" s="204"/>
      <c r="L158" s="205"/>
      <c r="M158"/>
      <c r="N158"/>
    </row>
    <row r="159" spans="1:14" ht="12.75">
      <c r="A159" s="715" t="s">
        <v>214</v>
      </c>
      <c r="B159" s="523"/>
      <c r="C159" s="380">
        <f>+C156-C157-C158</f>
        <v>281392</v>
      </c>
      <c r="D159" s="618"/>
      <c r="E159" s="377"/>
      <c r="F159" s="250" t="s">
        <v>206</v>
      </c>
      <c r="G159" s="251"/>
      <c r="H159" s="252"/>
      <c r="I159" s="30">
        <v>2589</v>
      </c>
      <c r="J159" s="379">
        <v>1104</v>
      </c>
      <c r="K159" s="204">
        <v>1971</v>
      </c>
      <c r="L159" s="205"/>
      <c r="M159"/>
      <c r="N159"/>
    </row>
    <row r="160" spans="1:14" ht="12.75">
      <c r="A160" s="715" t="s">
        <v>215</v>
      </c>
      <c r="B160" s="523"/>
      <c r="C160" s="380"/>
      <c r="D160" s="618"/>
      <c r="E160" s="377"/>
      <c r="F160" s="1251" t="s">
        <v>315</v>
      </c>
      <c r="G160" s="1252"/>
      <c r="H160" s="1253"/>
      <c r="I160" s="376"/>
      <c r="J160" s="380"/>
      <c r="K160" s="618">
        <v>5447</v>
      </c>
      <c r="L160" s="377"/>
      <c r="M160"/>
      <c r="N160"/>
    </row>
    <row r="161" spans="1:14" ht="13.5" thickBot="1">
      <c r="A161" s="716" t="s">
        <v>86</v>
      </c>
      <c r="B161" s="718">
        <f>+B144+B146-B156</f>
        <v>291590</v>
      </c>
      <c r="C161" s="386">
        <v>20794</v>
      </c>
      <c r="D161" s="386">
        <f>+D144-D156+D146</f>
        <v>23210</v>
      </c>
      <c r="E161" s="387">
        <f>+E144+E146-E156</f>
        <v>21039</v>
      </c>
      <c r="F161" s="1277" t="s">
        <v>86</v>
      </c>
      <c r="G161" s="1278"/>
      <c r="H161" s="1279"/>
      <c r="I161" s="62">
        <f>+I144+I146-I156</f>
        <v>2501</v>
      </c>
      <c r="J161" s="386">
        <f>+J144+J146-J156</f>
        <v>3273</v>
      </c>
      <c r="K161" s="386">
        <f>+K144+K146-K156</f>
        <v>4433</v>
      </c>
      <c r="L161" s="387">
        <f>+L144+L146-L156</f>
        <v>4433</v>
      </c>
      <c r="M161"/>
      <c r="N161"/>
    </row>
    <row r="162" spans="5:14" ht="24" customHeight="1">
      <c r="E162" s="194"/>
      <c r="F162" s="194"/>
      <c r="G162" s="194"/>
      <c r="H162" s="194"/>
      <c r="N162"/>
    </row>
    <row r="163" spans="1:14" ht="21" customHeight="1" thickBot="1">
      <c r="A163" s="102" t="s">
        <v>306</v>
      </c>
      <c r="E163" s="194"/>
      <c r="F163" s="194"/>
      <c r="G163" s="194"/>
      <c r="H163" s="194"/>
      <c r="N163"/>
    </row>
    <row r="164" spans="1:14" ht="12.75">
      <c r="A164" s="1258" t="s">
        <v>305</v>
      </c>
      <c r="B164" s="1260" t="s">
        <v>4</v>
      </c>
      <c r="C164" s="1260" t="s">
        <v>186</v>
      </c>
      <c r="D164" s="1262"/>
      <c r="E164" s="1262"/>
      <c r="F164" s="1262"/>
      <c r="G164" s="1262"/>
      <c r="H164" s="1263"/>
      <c r="N164"/>
    </row>
    <row r="165" spans="1:14" ht="13.5" thickBot="1">
      <c r="A165" s="1259"/>
      <c r="B165" s="1261"/>
      <c r="C165" s="64" t="s">
        <v>87</v>
      </c>
      <c r="D165" s="65" t="s">
        <v>88</v>
      </c>
      <c r="E165" s="65" t="s">
        <v>89</v>
      </c>
      <c r="F165" s="65" t="s">
        <v>90</v>
      </c>
      <c r="G165" s="472" t="s">
        <v>91</v>
      </c>
      <c r="H165" s="473" t="s">
        <v>45</v>
      </c>
      <c r="N165"/>
    </row>
    <row r="166" spans="1:14" ht="12.75">
      <c r="A166" s="528" t="s">
        <v>92</v>
      </c>
      <c r="B166" s="108">
        <v>74506</v>
      </c>
      <c r="C166" s="475">
        <v>18064</v>
      </c>
      <c r="D166" s="475">
        <v>80</v>
      </c>
      <c r="E166" s="475">
        <v>26</v>
      </c>
      <c r="F166" s="475">
        <v>105</v>
      </c>
      <c r="G166" s="475">
        <v>8379</v>
      </c>
      <c r="H166" s="531">
        <f>SUM(C166:G166)</f>
        <v>26654</v>
      </c>
      <c r="N166"/>
    </row>
    <row r="167" spans="1:14" ht="13.5" thickBot="1">
      <c r="A167" s="416" t="s">
        <v>137</v>
      </c>
      <c r="B167" s="109">
        <v>119143</v>
      </c>
      <c r="C167" s="220">
        <v>17442</v>
      </c>
      <c r="D167" s="220">
        <v>29914</v>
      </c>
      <c r="E167" s="220">
        <v>19008</v>
      </c>
      <c r="F167" s="220">
        <v>13237</v>
      </c>
      <c r="G167" s="220">
        <v>40</v>
      </c>
      <c r="H167" s="527">
        <f>SUM(C167:G167)</f>
        <v>79641</v>
      </c>
      <c r="N167"/>
    </row>
    <row r="169" ht="13.5" thickBot="1"/>
    <row r="170" spans="1:14" ht="13.5" thickBot="1">
      <c r="A170" s="1268" t="s">
        <v>93</v>
      </c>
      <c r="B170" s="1264" t="s">
        <v>94</v>
      </c>
      <c r="C170" s="1265"/>
      <c r="D170" s="1265"/>
      <c r="E170" s="1265"/>
      <c r="F170" s="1265"/>
      <c r="G170" s="1266" t="s">
        <v>95</v>
      </c>
      <c r="H170" s="1265"/>
      <c r="I170" s="1265"/>
      <c r="J170" s="1265"/>
      <c r="K170" s="1267"/>
      <c r="L170"/>
      <c r="M170"/>
      <c r="N170"/>
    </row>
    <row r="171" spans="1:14" ht="13.5" thickBot="1">
      <c r="A171" s="1269"/>
      <c r="B171" s="923">
        <v>2003</v>
      </c>
      <c r="C171" s="924">
        <v>2004</v>
      </c>
      <c r="D171" s="925">
        <v>2005</v>
      </c>
      <c r="E171" s="924">
        <v>2006</v>
      </c>
      <c r="F171" s="925" t="s">
        <v>7</v>
      </c>
      <c r="G171" s="926">
        <v>2003</v>
      </c>
      <c r="H171" s="924">
        <v>2004</v>
      </c>
      <c r="I171" s="924">
        <v>2005</v>
      </c>
      <c r="J171" s="924">
        <v>2006</v>
      </c>
      <c r="K171" s="927" t="s">
        <v>7</v>
      </c>
      <c r="L171"/>
      <c r="M171"/>
      <c r="N171"/>
    </row>
    <row r="172" spans="1:14" ht="12.75">
      <c r="A172" s="657" t="s">
        <v>96</v>
      </c>
      <c r="B172" s="928">
        <v>114</v>
      </c>
      <c r="C172" s="929">
        <v>114</v>
      </c>
      <c r="D172" s="930">
        <v>114</v>
      </c>
      <c r="E172" s="930">
        <v>114</v>
      </c>
      <c r="F172" s="931">
        <f aca="true" t="shared" si="11" ref="F172:F189">+E172-C172</f>
        <v>0</v>
      </c>
      <c r="G172" s="932">
        <v>85.2</v>
      </c>
      <c r="H172" s="933">
        <v>77.5</v>
      </c>
      <c r="I172" s="933">
        <v>79.4</v>
      </c>
      <c r="J172" s="934">
        <v>78.2167748137467</v>
      </c>
      <c r="K172" s="935">
        <f>+J172-I172</f>
        <v>-1.1832251862533099</v>
      </c>
      <c r="L172"/>
      <c r="M172"/>
      <c r="N172"/>
    </row>
    <row r="173" spans="1:14" ht="12.75">
      <c r="A173" s="597" t="s">
        <v>97</v>
      </c>
      <c r="B173" s="936">
        <v>18</v>
      </c>
      <c r="C173" s="937">
        <v>24</v>
      </c>
      <c r="D173" s="938">
        <v>24</v>
      </c>
      <c r="E173" s="938">
        <v>24</v>
      </c>
      <c r="F173" s="931">
        <f t="shared" si="11"/>
        <v>0</v>
      </c>
      <c r="G173" s="939">
        <v>78.7</v>
      </c>
      <c r="H173" s="940">
        <v>78.7</v>
      </c>
      <c r="I173" s="940">
        <v>78.2</v>
      </c>
      <c r="J173" s="941">
        <v>80.44883522380778</v>
      </c>
      <c r="K173" s="935">
        <f aca="true" t="shared" si="12" ref="K173:K189">+J173-I173</f>
        <v>2.248835223807774</v>
      </c>
      <c r="L173"/>
      <c r="M173"/>
      <c r="N173"/>
    </row>
    <row r="174" spans="1:14" ht="12.75">
      <c r="A174" s="597" t="s">
        <v>98</v>
      </c>
      <c r="B174" s="936">
        <v>24</v>
      </c>
      <c r="C174" s="937">
        <v>24</v>
      </c>
      <c r="D174" s="938">
        <v>24</v>
      </c>
      <c r="E174" s="938">
        <v>24</v>
      </c>
      <c r="F174" s="931">
        <f t="shared" si="11"/>
        <v>0</v>
      </c>
      <c r="G174" s="939">
        <v>77</v>
      </c>
      <c r="H174" s="940">
        <v>79</v>
      </c>
      <c r="I174" s="940">
        <v>86.6</v>
      </c>
      <c r="J174" s="941">
        <v>82.12648945921174</v>
      </c>
      <c r="K174" s="935">
        <f t="shared" si="12"/>
        <v>-4.473510540788254</v>
      </c>
      <c r="L174"/>
      <c r="M174"/>
      <c r="N174"/>
    </row>
    <row r="175" spans="1:14" ht="12.75">
      <c r="A175" s="597" t="s">
        <v>99</v>
      </c>
      <c r="B175" s="936">
        <v>24</v>
      </c>
      <c r="C175" s="937">
        <v>24</v>
      </c>
      <c r="D175" s="938">
        <v>24</v>
      </c>
      <c r="E175" s="938">
        <v>24</v>
      </c>
      <c r="F175" s="931">
        <f t="shared" si="11"/>
        <v>0</v>
      </c>
      <c r="G175" s="939">
        <v>83.2</v>
      </c>
      <c r="H175" s="940">
        <v>89.2</v>
      </c>
      <c r="I175" s="940">
        <v>91</v>
      </c>
      <c r="J175" s="941">
        <v>90.93607305936074</v>
      </c>
      <c r="K175" s="935">
        <f t="shared" si="12"/>
        <v>-0.06392694063926285</v>
      </c>
      <c r="L175"/>
      <c r="M175"/>
      <c r="N175"/>
    </row>
    <row r="176" spans="1:14" ht="12.75">
      <c r="A176" s="597" t="s">
        <v>100</v>
      </c>
      <c r="B176" s="936"/>
      <c r="C176" s="937"/>
      <c r="D176" s="938"/>
      <c r="E176" s="938"/>
      <c r="F176" s="931"/>
      <c r="G176" s="939"/>
      <c r="H176" s="940"/>
      <c r="I176" s="940"/>
      <c r="J176" s="941"/>
      <c r="K176" s="935">
        <f t="shared" si="12"/>
        <v>0</v>
      </c>
      <c r="L176"/>
      <c r="M176"/>
      <c r="N176"/>
    </row>
    <row r="177" spans="1:14" ht="12.75">
      <c r="A177" s="597" t="s">
        <v>101</v>
      </c>
      <c r="B177" s="936">
        <v>70</v>
      </c>
      <c r="C177" s="937">
        <v>70</v>
      </c>
      <c r="D177" s="938">
        <v>68</v>
      </c>
      <c r="E177" s="938">
        <v>68</v>
      </c>
      <c r="F177" s="931">
        <f t="shared" si="11"/>
        <v>-2</v>
      </c>
      <c r="G177" s="939">
        <v>78.4</v>
      </c>
      <c r="H177" s="940">
        <v>83.2</v>
      </c>
      <c r="I177" s="940">
        <v>88.6</v>
      </c>
      <c r="J177" s="941">
        <v>87.94520547945206</v>
      </c>
      <c r="K177" s="935">
        <f t="shared" si="12"/>
        <v>-0.654794520547938</v>
      </c>
      <c r="L177"/>
      <c r="M177"/>
      <c r="N177"/>
    </row>
    <row r="178" spans="1:14" ht="12.75">
      <c r="A178" s="597" t="s">
        <v>102</v>
      </c>
      <c r="B178" s="936">
        <v>53</v>
      </c>
      <c r="C178" s="937">
        <v>53</v>
      </c>
      <c r="D178" s="938">
        <v>53</v>
      </c>
      <c r="E178" s="938">
        <v>53</v>
      </c>
      <c r="F178" s="931">
        <f t="shared" si="11"/>
        <v>0</v>
      </c>
      <c r="G178" s="939">
        <v>76.6</v>
      </c>
      <c r="H178" s="940">
        <v>71.2</v>
      </c>
      <c r="I178" s="940">
        <v>68.3</v>
      </c>
      <c r="J178" s="941">
        <v>66.51331093305764</v>
      </c>
      <c r="K178" s="935">
        <f t="shared" si="12"/>
        <v>-1.7866890669423583</v>
      </c>
      <c r="L178"/>
      <c r="M178"/>
      <c r="N178"/>
    </row>
    <row r="179" spans="1:14" ht="12.75">
      <c r="A179" s="597" t="s">
        <v>103</v>
      </c>
      <c r="B179" s="936">
        <v>71</v>
      </c>
      <c r="C179" s="937">
        <v>70</v>
      </c>
      <c r="D179" s="938">
        <v>70</v>
      </c>
      <c r="E179" s="938">
        <v>70</v>
      </c>
      <c r="F179" s="931">
        <f t="shared" si="11"/>
        <v>0</v>
      </c>
      <c r="G179" s="939">
        <v>88</v>
      </c>
      <c r="H179" s="940">
        <v>82.4</v>
      </c>
      <c r="I179" s="940">
        <v>78.9</v>
      </c>
      <c r="J179" s="941">
        <v>78.4708249496982</v>
      </c>
      <c r="K179" s="935">
        <f t="shared" si="12"/>
        <v>-0.4291750503018079</v>
      </c>
      <c r="L179"/>
      <c r="M179"/>
      <c r="N179"/>
    </row>
    <row r="180" spans="1:14" ht="12.75">
      <c r="A180" s="597" t="s">
        <v>104</v>
      </c>
      <c r="B180" s="936">
        <v>5</v>
      </c>
      <c r="C180" s="937">
        <v>6</v>
      </c>
      <c r="D180" s="938">
        <v>6</v>
      </c>
      <c r="E180" s="938">
        <v>6</v>
      </c>
      <c r="F180" s="931">
        <f t="shared" si="11"/>
        <v>0</v>
      </c>
      <c r="G180" s="939">
        <v>77.7</v>
      </c>
      <c r="H180" s="940">
        <v>77.4</v>
      </c>
      <c r="I180" s="940">
        <v>73.5</v>
      </c>
      <c r="J180" s="941">
        <v>79.52468007312615</v>
      </c>
      <c r="K180" s="935">
        <f t="shared" si="12"/>
        <v>6.024680073126149</v>
      </c>
      <c r="L180"/>
      <c r="M180"/>
      <c r="N180"/>
    </row>
    <row r="181" spans="1:14" ht="12.75">
      <c r="A181" s="597" t="s">
        <v>105</v>
      </c>
      <c r="B181" s="936">
        <v>30</v>
      </c>
      <c r="C181" s="937">
        <v>32</v>
      </c>
      <c r="D181" s="938">
        <v>32</v>
      </c>
      <c r="E181" s="938">
        <v>32</v>
      </c>
      <c r="F181" s="931">
        <f t="shared" si="11"/>
        <v>0</v>
      </c>
      <c r="G181" s="939">
        <v>85.1</v>
      </c>
      <c r="H181" s="940">
        <v>93.6</v>
      </c>
      <c r="I181" s="940">
        <v>86.3</v>
      </c>
      <c r="J181" s="941">
        <v>82.68027094229615</v>
      </c>
      <c r="K181" s="935">
        <f t="shared" si="12"/>
        <v>-3.61972905770385</v>
      </c>
      <c r="L181"/>
      <c r="M181"/>
      <c r="N181"/>
    </row>
    <row r="182" spans="1:14" ht="12.75">
      <c r="A182" s="597" t="s">
        <v>106</v>
      </c>
      <c r="B182" s="936">
        <v>22</v>
      </c>
      <c r="C182" s="937">
        <v>20</v>
      </c>
      <c r="D182" s="938">
        <v>20</v>
      </c>
      <c r="E182" s="938">
        <v>20</v>
      </c>
      <c r="F182" s="931">
        <f t="shared" si="11"/>
        <v>0</v>
      </c>
      <c r="G182" s="939">
        <v>64.1</v>
      </c>
      <c r="H182" s="940">
        <v>75.6</v>
      </c>
      <c r="I182" s="940">
        <v>68.1</v>
      </c>
      <c r="J182" s="941">
        <v>58.945205479452056</v>
      </c>
      <c r="K182" s="935">
        <f t="shared" si="12"/>
        <v>-9.154794520547938</v>
      </c>
      <c r="L182"/>
      <c r="M182"/>
      <c r="N182"/>
    </row>
    <row r="183" spans="1:14" ht="12.75">
      <c r="A183" s="597" t="s">
        <v>107</v>
      </c>
      <c r="B183" s="936">
        <v>23</v>
      </c>
      <c r="C183" s="937">
        <v>20</v>
      </c>
      <c r="D183" s="938">
        <v>15</v>
      </c>
      <c r="E183" s="938">
        <v>15</v>
      </c>
      <c r="F183" s="931">
        <f t="shared" si="11"/>
        <v>-5</v>
      </c>
      <c r="G183" s="939">
        <v>79.3</v>
      </c>
      <c r="H183" s="940">
        <v>79</v>
      </c>
      <c r="I183" s="940">
        <v>55.7</v>
      </c>
      <c r="J183" s="941">
        <v>49.32594644506002</v>
      </c>
      <c r="K183" s="935">
        <f t="shared" si="12"/>
        <v>-6.374053554939984</v>
      </c>
      <c r="L183"/>
      <c r="M183"/>
      <c r="N183"/>
    </row>
    <row r="184" spans="1:14" ht="12.75">
      <c r="A184" s="597" t="s">
        <v>108</v>
      </c>
      <c r="B184" s="936">
        <v>25</v>
      </c>
      <c r="C184" s="937">
        <v>20</v>
      </c>
      <c r="D184" s="938">
        <v>12</v>
      </c>
      <c r="E184" s="938">
        <v>12</v>
      </c>
      <c r="F184" s="931">
        <f t="shared" si="11"/>
        <v>-8</v>
      </c>
      <c r="G184" s="939">
        <v>66.7</v>
      </c>
      <c r="H184" s="940">
        <v>77.9</v>
      </c>
      <c r="I184" s="940">
        <v>84.4</v>
      </c>
      <c r="J184" s="941">
        <v>53.20688794609434</v>
      </c>
      <c r="K184" s="935">
        <f t="shared" si="12"/>
        <v>-31.193112053905665</v>
      </c>
      <c r="L184"/>
      <c r="M184"/>
      <c r="N184"/>
    </row>
    <row r="185" spans="1:14" ht="12.75">
      <c r="A185" s="597" t="s">
        <v>109</v>
      </c>
      <c r="B185" s="936">
        <v>15</v>
      </c>
      <c r="C185" s="937">
        <v>0</v>
      </c>
      <c r="D185" s="938"/>
      <c r="E185" s="938"/>
      <c r="F185" s="931"/>
      <c r="G185" s="939">
        <v>74</v>
      </c>
      <c r="H185" s="940"/>
      <c r="I185" s="940"/>
      <c r="J185" s="941"/>
      <c r="K185" s="935">
        <f t="shared" si="12"/>
        <v>0</v>
      </c>
      <c r="L185"/>
      <c r="M185"/>
      <c r="N185"/>
    </row>
    <row r="186" spans="1:14" ht="12.75">
      <c r="A186" s="597" t="s">
        <v>110</v>
      </c>
      <c r="B186" s="936">
        <v>20</v>
      </c>
      <c r="C186" s="937">
        <v>20</v>
      </c>
      <c r="D186" s="938">
        <v>20</v>
      </c>
      <c r="E186" s="938">
        <v>20</v>
      </c>
      <c r="F186" s="931">
        <f t="shared" si="11"/>
        <v>0</v>
      </c>
      <c r="G186" s="939">
        <v>73.7</v>
      </c>
      <c r="H186" s="940">
        <v>89.7</v>
      </c>
      <c r="I186" s="940">
        <v>85.1</v>
      </c>
      <c r="J186" s="941">
        <v>80.71428571428572</v>
      </c>
      <c r="K186" s="935">
        <f t="shared" si="12"/>
        <v>-4.385714285714272</v>
      </c>
      <c r="L186"/>
      <c r="M186"/>
      <c r="N186"/>
    </row>
    <row r="187" spans="1:14" ht="12.75">
      <c r="A187" s="597" t="s">
        <v>111</v>
      </c>
      <c r="B187" s="936">
        <v>25</v>
      </c>
      <c r="C187" s="937">
        <v>25</v>
      </c>
      <c r="D187" s="938">
        <v>25</v>
      </c>
      <c r="E187" s="938">
        <v>25</v>
      </c>
      <c r="F187" s="931">
        <f t="shared" si="11"/>
        <v>0</v>
      </c>
      <c r="G187" s="939">
        <v>86.7</v>
      </c>
      <c r="H187" s="940">
        <v>84.3</v>
      </c>
      <c r="I187" s="940">
        <v>84.9</v>
      </c>
      <c r="J187" s="941">
        <v>77.50636721463302</v>
      </c>
      <c r="K187" s="935">
        <f t="shared" si="12"/>
        <v>-7.393632785366989</v>
      </c>
      <c r="L187"/>
      <c r="M187"/>
      <c r="N187"/>
    </row>
    <row r="188" spans="1:14" ht="12.75">
      <c r="A188" s="597" t="s">
        <v>112</v>
      </c>
      <c r="B188" s="936">
        <v>26</v>
      </c>
      <c r="C188" s="937">
        <v>44</v>
      </c>
      <c r="D188" s="938">
        <v>44</v>
      </c>
      <c r="E188" s="938">
        <v>44</v>
      </c>
      <c r="F188" s="931">
        <f t="shared" si="11"/>
        <v>0</v>
      </c>
      <c r="G188" s="939">
        <v>97.9</v>
      </c>
      <c r="H188" s="940">
        <v>91.7</v>
      </c>
      <c r="I188" s="940">
        <v>98.3</v>
      </c>
      <c r="J188" s="941">
        <v>93.19</v>
      </c>
      <c r="K188" s="935">
        <f t="shared" si="12"/>
        <v>-5.109999999999999</v>
      </c>
      <c r="L188"/>
      <c r="M188"/>
      <c r="N188"/>
    </row>
    <row r="189" spans="1:14" ht="13.5" thickBot="1">
      <c r="A189" s="595" t="s">
        <v>113</v>
      </c>
      <c r="B189" s="942">
        <v>10</v>
      </c>
      <c r="C189" s="943">
        <v>10</v>
      </c>
      <c r="D189" s="944">
        <v>10</v>
      </c>
      <c r="E189" s="944">
        <v>10</v>
      </c>
      <c r="F189" s="945">
        <f t="shared" si="11"/>
        <v>0</v>
      </c>
      <c r="G189" s="946">
        <v>78.4</v>
      </c>
      <c r="H189" s="947">
        <v>85.8</v>
      </c>
      <c r="I189" s="947">
        <v>86.5</v>
      </c>
      <c r="J189" s="948">
        <v>88.1</v>
      </c>
      <c r="K189" s="935">
        <f t="shared" si="12"/>
        <v>1.5999999999999943</v>
      </c>
      <c r="L189"/>
      <c r="M189"/>
      <c r="N189"/>
    </row>
    <row r="190" spans="1:14" ht="12" customHeight="1" thickBot="1">
      <c r="A190" s="610" t="s">
        <v>4</v>
      </c>
      <c r="B190" s="949">
        <f>SUM(B172:B189)</f>
        <v>575</v>
      </c>
      <c r="C190" s="950">
        <f>SUM(C172:C189)</f>
        <v>576</v>
      </c>
      <c r="D190" s="950">
        <f>SUM(D172:D189)</f>
        <v>561</v>
      </c>
      <c r="E190" s="950">
        <f>SUM(E172:E189)</f>
        <v>561</v>
      </c>
      <c r="F190" s="951">
        <f>+E190-D190</f>
        <v>0</v>
      </c>
      <c r="G190" s="952">
        <v>81.5</v>
      </c>
      <c r="H190" s="953">
        <v>81.3</v>
      </c>
      <c r="I190" s="953">
        <v>81.6</v>
      </c>
      <c r="J190" s="953">
        <v>78.86</v>
      </c>
      <c r="K190" s="954">
        <f>+J190-I190</f>
        <v>-2.739999999999995</v>
      </c>
      <c r="L190"/>
      <c r="M190"/>
      <c r="N190"/>
    </row>
    <row r="191" spans="1:14" ht="11.2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6.5" thickBot="1">
      <c r="A192" s="369" t="s">
        <v>211</v>
      </c>
      <c r="B192"/>
      <c r="C192"/>
      <c r="D192"/>
      <c r="E192"/>
      <c r="F192"/>
      <c r="G192"/>
      <c r="H192"/>
      <c r="I192"/>
      <c r="J192"/>
      <c r="K192" s="370" t="s">
        <v>212</v>
      </c>
      <c r="M192"/>
      <c r="N192"/>
    </row>
    <row r="193" spans="1:14" ht="17.25" customHeight="1">
      <c r="A193" s="1270" t="s">
        <v>213</v>
      </c>
      <c r="B193" s="1271"/>
      <c r="C193" s="1386" t="s">
        <v>115</v>
      </c>
      <c r="D193" s="1384"/>
      <c r="E193" s="1385"/>
      <c r="F193" s="1384" t="s">
        <v>159</v>
      </c>
      <c r="G193" s="1384"/>
      <c r="H193" s="1385"/>
      <c r="I193" s="1384" t="s">
        <v>300</v>
      </c>
      <c r="J193" s="1384"/>
      <c r="K193" s="1385"/>
      <c r="L193"/>
      <c r="M193"/>
      <c r="N193"/>
    </row>
    <row r="194" spans="1:14" ht="33.75" customHeight="1" thickBot="1">
      <c r="A194" s="1272"/>
      <c r="B194" s="1273"/>
      <c r="C194" s="42" t="s">
        <v>116</v>
      </c>
      <c r="D194" s="43" t="s">
        <v>117</v>
      </c>
      <c r="E194" s="29" t="s">
        <v>118</v>
      </c>
      <c r="F194" s="43" t="s">
        <v>116</v>
      </c>
      <c r="G194" s="43" t="s">
        <v>117</v>
      </c>
      <c r="H194" s="29" t="s">
        <v>118</v>
      </c>
      <c r="I194" s="43" t="s">
        <v>116</v>
      </c>
      <c r="J194" s="43" t="s">
        <v>117</v>
      </c>
      <c r="K194" s="29" t="s">
        <v>118</v>
      </c>
      <c r="L194"/>
      <c r="M194"/>
      <c r="N194"/>
    </row>
    <row r="195" spans="1:14" ht="19.5" customHeight="1">
      <c r="A195" s="1256" t="s">
        <v>119</v>
      </c>
      <c r="B195" s="1257"/>
      <c r="C195" s="719">
        <v>115.94</v>
      </c>
      <c r="D195" s="328">
        <v>43345761</v>
      </c>
      <c r="E195" s="256">
        <f aca="true" t="shared" si="13" ref="E195:E205">+IF(C195&gt;0,D195/C195/12,"")</f>
        <v>31155.310936691396</v>
      </c>
      <c r="F195" s="371">
        <v>120.92</v>
      </c>
      <c r="G195" s="328">
        <v>53371146</v>
      </c>
      <c r="H195" s="256">
        <f aca="true" t="shared" si="14" ref="H195:H205">+IF(F195&gt;0,G195/F195/12,"")</f>
        <v>36781.30582203109</v>
      </c>
      <c r="I195" s="371">
        <v>122.64</v>
      </c>
      <c r="J195" s="328">
        <f>50991058+7793928</f>
        <v>58784986</v>
      </c>
      <c r="K195" s="256">
        <f aca="true" t="shared" si="15" ref="K195:K205">+IF(I195&gt;0,J195/I195/12,"")</f>
        <v>39944.13595346815</v>
      </c>
      <c r="L195"/>
      <c r="M195"/>
      <c r="N195"/>
    </row>
    <row r="196" spans="1:14" ht="19.5" customHeight="1">
      <c r="A196" s="1256" t="s">
        <v>120</v>
      </c>
      <c r="B196" s="1257"/>
      <c r="C196" s="720">
        <v>5</v>
      </c>
      <c r="D196" s="327">
        <v>1560438</v>
      </c>
      <c r="E196" s="254">
        <f t="shared" si="13"/>
        <v>26007.3</v>
      </c>
      <c r="F196" s="372">
        <v>3.58</v>
      </c>
      <c r="G196" s="327">
        <v>1440451</v>
      </c>
      <c r="H196" s="254">
        <f t="shared" si="14"/>
        <v>33530.051210428304</v>
      </c>
      <c r="I196" s="372">
        <v>5.69</v>
      </c>
      <c r="J196" s="327">
        <v>2045477</v>
      </c>
      <c r="K196" s="254">
        <f t="shared" si="15"/>
        <v>29957.190978324546</v>
      </c>
      <c r="L196"/>
      <c r="M196"/>
      <c r="N196"/>
    </row>
    <row r="197" spans="1:14" ht="21.75" customHeight="1">
      <c r="A197" s="1256" t="s">
        <v>121</v>
      </c>
      <c r="B197" s="1257"/>
      <c r="C197" s="720">
        <v>433.26</v>
      </c>
      <c r="D197" s="327">
        <v>85590363</v>
      </c>
      <c r="E197" s="254">
        <f t="shared" si="13"/>
        <v>16462.471148963672</v>
      </c>
      <c r="F197" s="372">
        <v>427.15</v>
      </c>
      <c r="G197" s="327">
        <v>88986531</v>
      </c>
      <c r="H197" s="254">
        <f t="shared" si="14"/>
        <v>17360.515626828983</v>
      </c>
      <c r="I197" s="372">
        <v>426.12</v>
      </c>
      <c r="J197" s="327">
        <v>99274538</v>
      </c>
      <c r="K197" s="254">
        <f t="shared" si="15"/>
        <v>19414.43294533621</v>
      </c>
      <c r="L197"/>
      <c r="M197"/>
      <c r="N197"/>
    </row>
    <row r="198" spans="1:14" ht="21.75" customHeight="1">
      <c r="A198" s="1256" t="s">
        <v>122</v>
      </c>
      <c r="B198" s="1257"/>
      <c r="C198" s="720">
        <v>57.57</v>
      </c>
      <c r="D198" s="327">
        <v>12356009</v>
      </c>
      <c r="E198" s="254">
        <f t="shared" si="13"/>
        <v>17885.485785420646</v>
      </c>
      <c r="F198" s="372">
        <v>57.33</v>
      </c>
      <c r="G198" s="327">
        <v>12619106</v>
      </c>
      <c r="H198" s="254">
        <f t="shared" si="14"/>
        <v>18342.790278504563</v>
      </c>
      <c r="I198" s="372">
        <v>56.94</v>
      </c>
      <c r="J198" s="327">
        <v>14023313</v>
      </c>
      <c r="K198" s="254">
        <f t="shared" si="15"/>
        <v>20523.523299379463</v>
      </c>
      <c r="L198"/>
      <c r="M198"/>
      <c r="N198"/>
    </row>
    <row r="199" spans="1:14" ht="21.75" customHeight="1">
      <c r="A199" s="1256" t="s">
        <v>123</v>
      </c>
      <c r="B199" s="1257"/>
      <c r="C199" s="720">
        <v>22.53</v>
      </c>
      <c r="D199" s="327">
        <v>5116320</v>
      </c>
      <c r="E199" s="254">
        <f t="shared" si="13"/>
        <v>18924.101198402128</v>
      </c>
      <c r="F199" s="372">
        <v>22</v>
      </c>
      <c r="G199" s="327">
        <v>5120411</v>
      </c>
      <c r="H199" s="254">
        <f t="shared" si="14"/>
        <v>19395.496212121212</v>
      </c>
      <c r="I199" s="372">
        <v>24.45</v>
      </c>
      <c r="J199" s="327">
        <v>6406962</v>
      </c>
      <c r="K199" s="254">
        <f t="shared" si="15"/>
        <v>21836.952965235174</v>
      </c>
      <c r="L199"/>
      <c r="M199"/>
      <c r="N199"/>
    </row>
    <row r="200" spans="1:14" ht="21.75" customHeight="1">
      <c r="A200" s="1256" t="s">
        <v>124</v>
      </c>
      <c r="B200" s="1257"/>
      <c r="C200" s="720">
        <v>106.49</v>
      </c>
      <c r="D200" s="327">
        <v>16008769</v>
      </c>
      <c r="E200" s="254">
        <f t="shared" si="13"/>
        <v>12527.599618117507</v>
      </c>
      <c r="F200" s="372">
        <v>111.2</v>
      </c>
      <c r="G200" s="327">
        <v>16302819</v>
      </c>
      <c r="H200" s="254">
        <f t="shared" si="14"/>
        <v>12217.340377697843</v>
      </c>
      <c r="I200" s="372">
        <v>115.32</v>
      </c>
      <c r="J200" s="327">
        <v>18085402</v>
      </c>
      <c r="K200" s="254">
        <f t="shared" si="15"/>
        <v>13068.997861024398</v>
      </c>
      <c r="L200"/>
      <c r="M200"/>
      <c r="N200"/>
    </row>
    <row r="201" spans="1:14" ht="21.75" customHeight="1">
      <c r="A201" s="1256" t="s">
        <v>125</v>
      </c>
      <c r="B201" s="1257"/>
      <c r="C201" s="720">
        <v>6.87</v>
      </c>
      <c r="D201" s="327">
        <v>1412433</v>
      </c>
      <c r="E201" s="254">
        <f t="shared" si="13"/>
        <v>17132.860262008733</v>
      </c>
      <c r="F201" s="372">
        <v>4.59</v>
      </c>
      <c r="G201" s="327">
        <v>1253376</v>
      </c>
      <c r="H201" s="254">
        <f t="shared" si="14"/>
        <v>22755.55555555556</v>
      </c>
      <c r="I201" s="372">
        <v>2.69</v>
      </c>
      <c r="J201" s="327">
        <v>693944</v>
      </c>
      <c r="K201" s="254">
        <f t="shared" si="15"/>
        <v>21497.645600991327</v>
      </c>
      <c r="L201"/>
      <c r="M201"/>
      <c r="N201"/>
    </row>
    <row r="202" spans="1:14" ht="21.75" customHeight="1">
      <c r="A202" s="1256" t="s">
        <v>126</v>
      </c>
      <c r="B202" s="1257"/>
      <c r="C202" s="720">
        <v>0</v>
      </c>
      <c r="D202" s="327">
        <v>0</v>
      </c>
      <c r="E202" s="254">
        <f t="shared" si="13"/>
      </c>
      <c r="F202" s="372">
        <v>0</v>
      </c>
      <c r="G202" s="327">
        <v>0</v>
      </c>
      <c r="H202" s="254">
        <f t="shared" si="14"/>
      </c>
      <c r="I202" s="372"/>
      <c r="J202" s="327">
        <v>0</v>
      </c>
      <c r="K202" s="254">
        <f t="shared" si="15"/>
      </c>
      <c r="L202"/>
      <c r="M202"/>
      <c r="N202"/>
    </row>
    <row r="203" spans="1:14" ht="21.75" customHeight="1">
      <c r="A203" s="1256" t="s">
        <v>127</v>
      </c>
      <c r="B203" s="1257"/>
      <c r="C203" s="257">
        <v>50.37</v>
      </c>
      <c r="D203" s="253">
        <v>10413086</v>
      </c>
      <c r="E203" s="254">
        <f t="shared" si="13"/>
        <v>17227.65865925485</v>
      </c>
      <c r="F203" s="373">
        <v>52.72</v>
      </c>
      <c r="G203" s="253">
        <v>11319226</v>
      </c>
      <c r="H203" s="254">
        <f t="shared" si="14"/>
        <v>17892.04919069297</v>
      </c>
      <c r="I203" s="373">
        <v>56.47</v>
      </c>
      <c r="J203" s="253">
        <v>12586211</v>
      </c>
      <c r="K203" s="254">
        <f t="shared" si="15"/>
        <v>18573.595124254767</v>
      </c>
      <c r="L203"/>
      <c r="M203"/>
      <c r="N203"/>
    </row>
    <row r="204" spans="1:14" ht="21.75" customHeight="1" thickBot="1">
      <c r="A204" s="1371" t="s">
        <v>128</v>
      </c>
      <c r="B204" s="1372"/>
      <c r="C204" s="719">
        <v>170.04</v>
      </c>
      <c r="D204" s="328">
        <v>20736803</v>
      </c>
      <c r="E204" s="256">
        <f t="shared" si="13"/>
        <v>10162.708284325257</v>
      </c>
      <c r="F204" s="371">
        <v>172.51</v>
      </c>
      <c r="G204" s="328">
        <v>21947879</v>
      </c>
      <c r="H204" s="254">
        <f t="shared" si="14"/>
        <v>10602.225474851699</v>
      </c>
      <c r="I204" s="371">
        <v>171.87</v>
      </c>
      <c r="J204" s="328">
        <v>22976394</v>
      </c>
      <c r="K204" s="254">
        <f t="shared" si="15"/>
        <v>11140.393902368067</v>
      </c>
      <c r="L204"/>
      <c r="M204"/>
      <c r="N204"/>
    </row>
    <row r="205" spans="1:14" ht="13.5" thickBot="1">
      <c r="A205" s="1288" t="s">
        <v>4</v>
      </c>
      <c r="B205" s="1383"/>
      <c r="C205" s="119">
        <f>SUM(C195:C204)</f>
        <v>968.07</v>
      </c>
      <c r="D205" s="115">
        <f>SUM(D195:D204)</f>
        <v>196539982</v>
      </c>
      <c r="E205" s="116">
        <f t="shared" si="13"/>
        <v>16918.54084243219</v>
      </c>
      <c r="F205" s="374">
        <f>SUM(F195:F204)</f>
        <v>972.0000000000001</v>
      </c>
      <c r="G205" s="115">
        <f>SUM(G195:G204)</f>
        <v>212360945</v>
      </c>
      <c r="H205" s="116">
        <f t="shared" si="14"/>
        <v>18206.528206447187</v>
      </c>
      <c r="I205" s="374">
        <f>SUM(I195:I204)</f>
        <v>982.1900000000002</v>
      </c>
      <c r="J205" s="115">
        <f>SUM(J195:J204)</f>
        <v>234877227</v>
      </c>
      <c r="K205" s="116">
        <f t="shared" si="15"/>
        <v>19928.020291389646</v>
      </c>
      <c r="L205"/>
      <c r="M205"/>
      <c r="N205"/>
    </row>
  </sheetData>
  <mergeCells count="301">
    <mergeCell ref="A205:B205"/>
    <mergeCell ref="I193:K193"/>
    <mergeCell ref="A200:B200"/>
    <mergeCell ref="A201:B201"/>
    <mergeCell ref="A202:B202"/>
    <mergeCell ref="A203:B203"/>
    <mergeCell ref="C193:E193"/>
    <mergeCell ref="F193:H193"/>
    <mergeCell ref="A195:B195"/>
    <mergeCell ref="A197:B197"/>
    <mergeCell ref="L4:M4"/>
    <mergeCell ref="I4:K4"/>
    <mergeCell ref="C4:C6"/>
    <mergeCell ref="A204:B204"/>
    <mergeCell ref="A54:A55"/>
    <mergeCell ref="B54:G54"/>
    <mergeCell ref="H54:K54"/>
    <mergeCell ref="B55:C55"/>
    <mergeCell ref="D55:E55"/>
    <mergeCell ref="F55:G55"/>
    <mergeCell ref="F59:G59"/>
    <mergeCell ref="B56:C56"/>
    <mergeCell ref="D56:E56"/>
    <mergeCell ref="F56:G56"/>
    <mergeCell ref="B57:C57"/>
    <mergeCell ref="D57:E57"/>
    <mergeCell ref="F57:G57"/>
    <mergeCell ref="H72:I72"/>
    <mergeCell ref="B68:C68"/>
    <mergeCell ref="B69:C69"/>
    <mergeCell ref="B58:C58"/>
    <mergeCell ref="D58:E58"/>
    <mergeCell ref="D68:E68"/>
    <mergeCell ref="D69:E69"/>
    <mergeCell ref="F58:G58"/>
    <mergeCell ref="B59:C59"/>
    <mergeCell ref="D59:E59"/>
    <mergeCell ref="H82:I82"/>
    <mergeCell ref="J82:K82"/>
    <mergeCell ref="J74:K74"/>
    <mergeCell ref="J81:K81"/>
    <mergeCell ref="L82:M82"/>
    <mergeCell ref="J68:K68"/>
    <mergeCell ref="F68:I68"/>
    <mergeCell ref="D76:E76"/>
    <mergeCell ref="F76:G76"/>
    <mergeCell ref="H75:I75"/>
    <mergeCell ref="F75:G75"/>
    <mergeCell ref="J78:K78"/>
    <mergeCell ref="H74:I74"/>
    <mergeCell ref="F69:G69"/>
    <mergeCell ref="I36:K36"/>
    <mergeCell ref="F79:G79"/>
    <mergeCell ref="J79:K79"/>
    <mergeCell ref="H76:I76"/>
    <mergeCell ref="H79:I79"/>
    <mergeCell ref="F78:I78"/>
    <mergeCell ref="H70:I70"/>
    <mergeCell ref="J70:K70"/>
    <mergeCell ref="J69:K69"/>
    <mergeCell ref="H69:I69"/>
    <mergeCell ref="B3:M3"/>
    <mergeCell ref="J100:K100"/>
    <mergeCell ref="L100:M100"/>
    <mergeCell ref="B101:C101"/>
    <mergeCell ref="D101:E101"/>
    <mergeCell ref="F101:G101"/>
    <mergeCell ref="J101:K101"/>
    <mergeCell ref="L101:M101"/>
    <mergeCell ref="H100:I100"/>
    <mergeCell ref="H101:I101"/>
    <mergeCell ref="C114:E114"/>
    <mergeCell ref="C115:E115"/>
    <mergeCell ref="C116:E116"/>
    <mergeCell ref="A68:A69"/>
    <mergeCell ref="A78:A79"/>
    <mergeCell ref="B100:C100"/>
    <mergeCell ref="D100:E100"/>
    <mergeCell ref="B79:C79"/>
    <mergeCell ref="D79:E79"/>
    <mergeCell ref="C110:E110"/>
    <mergeCell ref="C111:E111"/>
    <mergeCell ref="C112:E112"/>
    <mergeCell ref="C113:E113"/>
    <mergeCell ref="A3:A6"/>
    <mergeCell ref="D70:E70"/>
    <mergeCell ref="A40:K40"/>
    <mergeCell ref="A41:A42"/>
    <mergeCell ref="B41:F41"/>
    <mergeCell ref="G41:K41"/>
    <mergeCell ref="D72:E72"/>
    <mergeCell ref="G4:H4"/>
    <mergeCell ref="C107:E107"/>
    <mergeCell ref="A128:A130"/>
    <mergeCell ref="B128:B130"/>
    <mergeCell ref="C128:H128"/>
    <mergeCell ref="C129:C130"/>
    <mergeCell ref="D36:F36"/>
    <mergeCell ref="B4:B6"/>
    <mergeCell ref="B104:C104"/>
    <mergeCell ref="B70:C70"/>
    <mergeCell ref="F70:G70"/>
    <mergeCell ref="A134:A135"/>
    <mergeCell ref="B134:B135"/>
    <mergeCell ref="C134:F134"/>
    <mergeCell ref="G134:G135"/>
    <mergeCell ref="D104:E104"/>
    <mergeCell ref="F104:G104"/>
    <mergeCell ref="B102:C102"/>
    <mergeCell ref="D75:E75"/>
    <mergeCell ref="D71:E71"/>
    <mergeCell ref="H134:H135"/>
    <mergeCell ref="I134:L134"/>
    <mergeCell ref="F143:H143"/>
    <mergeCell ref="D37:F37"/>
    <mergeCell ref="D38:F38"/>
    <mergeCell ref="I128:I130"/>
    <mergeCell ref="J102:K102"/>
    <mergeCell ref="L102:M102"/>
    <mergeCell ref="J104:K104"/>
    <mergeCell ref="L104:M104"/>
    <mergeCell ref="F144:H144"/>
    <mergeCell ref="F145:H145"/>
    <mergeCell ref="F146:H146"/>
    <mergeCell ref="F147:H147"/>
    <mergeCell ref="F156:H156"/>
    <mergeCell ref="F160:H160"/>
    <mergeCell ref="F161:H161"/>
    <mergeCell ref="F149:H149"/>
    <mergeCell ref="F150:H150"/>
    <mergeCell ref="F153:H153"/>
    <mergeCell ref="F154:H154"/>
    <mergeCell ref="F151:H151"/>
    <mergeCell ref="F152:H152"/>
    <mergeCell ref="A198:B198"/>
    <mergeCell ref="A199:B199"/>
    <mergeCell ref="A193:B194"/>
    <mergeCell ref="H81:I81"/>
    <mergeCell ref="B84:C84"/>
    <mergeCell ref="D84:E84"/>
    <mergeCell ref="F84:G84"/>
    <mergeCell ref="H84:I84"/>
    <mergeCell ref="F85:G85"/>
    <mergeCell ref="H85:I85"/>
    <mergeCell ref="L81:M81"/>
    <mergeCell ref="A196:B196"/>
    <mergeCell ref="A164:A165"/>
    <mergeCell ref="B164:B165"/>
    <mergeCell ref="C164:H164"/>
    <mergeCell ref="B170:F170"/>
    <mergeCell ref="G170:K170"/>
    <mergeCell ref="F155:H155"/>
    <mergeCell ref="L83:M83"/>
    <mergeCell ref="A170:A171"/>
    <mergeCell ref="L70:M70"/>
    <mergeCell ref="H80:I80"/>
    <mergeCell ref="J80:K80"/>
    <mergeCell ref="L80:M80"/>
    <mergeCell ref="J76:K76"/>
    <mergeCell ref="L76:M76"/>
    <mergeCell ref="J75:K75"/>
    <mergeCell ref="L75:M75"/>
    <mergeCell ref="L74:M74"/>
    <mergeCell ref="J73:K73"/>
    <mergeCell ref="L68:M68"/>
    <mergeCell ref="L69:M69"/>
    <mergeCell ref="B71:C71"/>
    <mergeCell ref="B72:C72"/>
    <mergeCell ref="L71:M71"/>
    <mergeCell ref="J72:K72"/>
    <mergeCell ref="L72:M72"/>
    <mergeCell ref="J71:K71"/>
    <mergeCell ref="F71:G71"/>
    <mergeCell ref="H71:I71"/>
    <mergeCell ref="F148:H148"/>
    <mergeCell ref="H73:I73"/>
    <mergeCell ref="B82:C82"/>
    <mergeCell ref="D82:E82"/>
    <mergeCell ref="F82:G82"/>
    <mergeCell ref="B81:C81"/>
    <mergeCell ref="D81:E81"/>
    <mergeCell ref="F81:G81"/>
    <mergeCell ref="B73:C73"/>
    <mergeCell ref="B75:C75"/>
    <mergeCell ref="L73:M73"/>
    <mergeCell ref="B74:C74"/>
    <mergeCell ref="D73:E73"/>
    <mergeCell ref="F74:G74"/>
    <mergeCell ref="D74:E74"/>
    <mergeCell ref="F73:G73"/>
    <mergeCell ref="B80:C80"/>
    <mergeCell ref="D80:E80"/>
    <mergeCell ref="F80:G80"/>
    <mergeCell ref="F72:G72"/>
    <mergeCell ref="B78:C78"/>
    <mergeCell ref="D78:E78"/>
    <mergeCell ref="B76:C76"/>
    <mergeCell ref="J84:K84"/>
    <mergeCell ref="L84:M84"/>
    <mergeCell ref="B83:C83"/>
    <mergeCell ref="D83:E83"/>
    <mergeCell ref="F83:G83"/>
    <mergeCell ref="H83:I83"/>
    <mergeCell ref="J83:K83"/>
    <mergeCell ref="J85:K85"/>
    <mergeCell ref="L85:M85"/>
    <mergeCell ref="B86:C86"/>
    <mergeCell ref="D86:E86"/>
    <mergeCell ref="F86:G86"/>
    <mergeCell ref="H86:I86"/>
    <mergeCell ref="J86:K86"/>
    <mergeCell ref="L86:M86"/>
    <mergeCell ref="B85:C85"/>
    <mergeCell ref="D85:E85"/>
    <mergeCell ref="B87:C87"/>
    <mergeCell ref="D87:E87"/>
    <mergeCell ref="F87:G87"/>
    <mergeCell ref="H87:I87"/>
    <mergeCell ref="J89:K89"/>
    <mergeCell ref="L89:M89"/>
    <mergeCell ref="B88:C88"/>
    <mergeCell ref="D88:E88"/>
    <mergeCell ref="F88:G88"/>
    <mergeCell ref="H88:I88"/>
    <mergeCell ref="J87:K87"/>
    <mergeCell ref="L87:M87"/>
    <mergeCell ref="J88:K88"/>
    <mergeCell ref="L88:M88"/>
    <mergeCell ref="J90:K90"/>
    <mergeCell ref="L90:M90"/>
    <mergeCell ref="B89:C89"/>
    <mergeCell ref="D89:E89"/>
    <mergeCell ref="B90:C90"/>
    <mergeCell ref="D90:E90"/>
    <mergeCell ref="F90:G90"/>
    <mergeCell ref="H90:I90"/>
    <mergeCell ref="F89:G89"/>
    <mergeCell ref="H89:I89"/>
    <mergeCell ref="B91:C91"/>
    <mergeCell ref="D91:E91"/>
    <mergeCell ref="F91:G91"/>
    <mergeCell ref="H91:I91"/>
    <mergeCell ref="B92:C92"/>
    <mergeCell ref="D92:E92"/>
    <mergeCell ref="F92:G92"/>
    <mergeCell ref="H92:I92"/>
    <mergeCell ref="F93:G93"/>
    <mergeCell ref="H93:I93"/>
    <mergeCell ref="J91:K91"/>
    <mergeCell ref="L91:M91"/>
    <mergeCell ref="J92:K92"/>
    <mergeCell ref="L92:M92"/>
    <mergeCell ref="J93:K93"/>
    <mergeCell ref="L93:M93"/>
    <mergeCell ref="B93:C93"/>
    <mergeCell ref="D93:E93"/>
    <mergeCell ref="B94:C94"/>
    <mergeCell ref="D94:E94"/>
    <mergeCell ref="F95:G95"/>
    <mergeCell ref="H95:I95"/>
    <mergeCell ref="J94:K94"/>
    <mergeCell ref="L94:M94"/>
    <mergeCell ref="F94:G94"/>
    <mergeCell ref="H94:I94"/>
    <mergeCell ref="B95:C95"/>
    <mergeCell ref="D95:E95"/>
    <mergeCell ref="B96:C96"/>
    <mergeCell ref="D96:E96"/>
    <mergeCell ref="F96:G96"/>
    <mergeCell ref="H96:I96"/>
    <mergeCell ref="F97:G97"/>
    <mergeCell ref="H97:I97"/>
    <mergeCell ref="J97:K97"/>
    <mergeCell ref="L97:M97"/>
    <mergeCell ref="B98:C98"/>
    <mergeCell ref="D98:E98"/>
    <mergeCell ref="B97:C97"/>
    <mergeCell ref="D97:E97"/>
    <mergeCell ref="F99:G99"/>
    <mergeCell ref="H99:I99"/>
    <mergeCell ref="F98:G98"/>
    <mergeCell ref="H98:I98"/>
    <mergeCell ref="H102:I102"/>
    <mergeCell ref="H104:I104"/>
    <mergeCell ref="F102:G102"/>
    <mergeCell ref="F100:G100"/>
    <mergeCell ref="C108:E108"/>
    <mergeCell ref="C109:E109"/>
    <mergeCell ref="B99:C99"/>
    <mergeCell ref="D99:E99"/>
    <mergeCell ref="D102:E102"/>
    <mergeCell ref="L78:M78"/>
    <mergeCell ref="L79:M79"/>
    <mergeCell ref="J99:K99"/>
    <mergeCell ref="L99:M99"/>
    <mergeCell ref="J98:K98"/>
    <mergeCell ref="L98:M98"/>
    <mergeCell ref="J95:K95"/>
    <mergeCell ref="L95:M95"/>
    <mergeCell ref="J96:K96"/>
    <mergeCell ref="L96:M96"/>
  </mergeCells>
  <printOptions horizontalCentered="1"/>
  <pageMargins left="0.2362204724409449" right="0.2755905511811024" top="0.45" bottom="0.2362204724409449" header="0.2362204724409449" footer="0.1968503937007874"/>
  <pageSetup horizontalDpi="600" verticalDpi="600" orientation="portrait" paperSize="9" scale="65" r:id="rId1"/>
  <rowBreaks count="1" manualBreakCount="1">
    <brk id="1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7"/>
  <sheetViews>
    <sheetView workbookViewId="0" topLeftCell="A29">
      <selection activeCell="I64" sqref="I64"/>
    </sheetView>
  </sheetViews>
  <sheetFormatPr defaultColWidth="9.00390625" defaultRowHeight="12.75"/>
  <cols>
    <col min="1" max="1" width="32.00390625" style="142" customWidth="1"/>
    <col min="2" max="4" width="9.875" style="194" customWidth="1"/>
    <col min="5" max="5" width="8.75390625" style="142" customWidth="1"/>
    <col min="6" max="6" width="9.25390625" style="142" customWidth="1"/>
    <col min="7" max="7" width="9.625" style="142" customWidth="1"/>
    <col min="8" max="8" width="9.375" style="142" customWidth="1"/>
    <col min="9" max="9" width="9.00390625" style="142" customWidth="1"/>
    <col min="10" max="10" width="9.75390625" style="142" customWidth="1"/>
    <col min="11" max="11" width="9.00390625" style="0" customWidth="1"/>
    <col min="13" max="13" width="8.25390625" style="0" customWidth="1"/>
  </cols>
  <sheetData>
    <row r="1" spans="8:10" ht="15.75">
      <c r="H1" s="163"/>
      <c r="J1" s="164"/>
    </row>
    <row r="2" spans="1:10" ht="19.5" customHeight="1" thickBot="1">
      <c r="A2" s="167" t="s">
        <v>143</v>
      </c>
      <c r="B2" s="270"/>
      <c r="C2" s="270"/>
      <c r="D2" s="270"/>
      <c r="H2" s="163"/>
      <c r="J2" s="164"/>
    </row>
    <row r="3" spans="1:13" ht="34.5" customHeight="1" thickBot="1">
      <c r="A3" s="1325" t="s">
        <v>1</v>
      </c>
      <c r="B3" s="1338" t="s">
        <v>246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40"/>
    </row>
    <row r="4" spans="1:21" ht="12.75" customHeight="1" thickBot="1">
      <c r="A4" s="1326"/>
      <c r="B4" s="1283" t="s">
        <v>207</v>
      </c>
      <c r="C4" s="1283" t="s">
        <v>251</v>
      </c>
      <c r="D4" s="1464" t="s">
        <v>291</v>
      </c>
      <c r="E4" s="1465"/>
      <c r="F4" s="1466"/>
      <c r="G4" s="1303" t="s">
        <v>152</v>
      </c>
      <c r="H4" s="1304"/>
      <c r="I4" s="1365" t="s">
        <v>292</v>
      </c>
      <c r="J4" s="1366"/>
      <c r="K4" s="1367"/>
      <c r="L4" s="1303" t="s">
        <v>293</v>
      </c>
      <c r="M4" s="1304"/>
      <c r="N4" s="142"/>
      <c r="O4" s="142"/>
      <c r="P4" s="142"/>
      <c r="Q4" s="142"/>
      <c r="R4" s="142"/>
      <c r="S4" s="142"/>
      <c r="T4" s="142"/>
      <c r="U4" s="142"/>
    </row>
    <row r="5" spans="1:13" ht="12.75">
      <c r="A5" s="1326"/>
      <c r="B5" s="1321"/>
      <c r="C5" s="1321"/>
      <c r="D5" s="1" t="s">
        <v>2</v>
      </c>
      <c r="E5" s="596" t="s">
        <v>3</v>
      </c>
      <c r="F5" s="1462" t="s">
        <v>4</v>
      </c>
      <c r="G5" s="405" t="s">
        <v>4</v>
      </c>
      <c r="H5" s="2" t="s">
        <v>5</v>
      </c>
      <c r="I5" s="264" t="s">
        <v>2</v>
      </c>
      <c r="J5" s="265" t="s">
        <v>190</v>
      </c>
      <c r="K5" s="266" t="s">
        <v>4</v>
      </c>
      <c r="L5" s="3" t="s">
        <v>4</v>
      </c>
      <c r="M5" s="2" t="s">
        <v>5</v>
      </c>
    </row>
    <row r="6" spans="1:13" ht="13.5" thickBot="1">
      <c r="A6" s="1327"/>
      <c r="B6" s="1322"/>
      <c r="C6" s="1322"/>
      <c r="D6" s="417" t="s">
        <v>6</v>
      </c>
      <c r="E6" s="418" t="s">
        <v>6</v>
      </c>
      <c r="F6" s="1463"/>
      <c r="G6" s="426" t="s">
        <v>7</v>
      </c>
      <c r="H6" s="4" t="s">
        <v>8</v>
      </c>
      <c r="I6" s="267" t="s">
        <v>6</v>
      </c>
      <c r="J6" s="268" t="s">
        <v>6</v>
      </c>
      <c r="K6" s="269"/>
      <c r="L6" s="5" t="s">
        <v>7</v>
      </c>
      <c r="M6" s="4" t="s">
        <v>8</v>
      </c>
    </row>
    <row r="7" spans="1:13" s="15" customFormat="1" ht="17.25" customHeight="1">
      <c r="A7" s="271" t="s">
        <v>9</v>
      </c>
      <c r="B7" s="357">
        <v>0</v>
      </c>
      <c r="C7" s="349">
        <v>0</v>
      </c>
      <c r="D7" s="234"/>
      <c r="E7" s="235"/>
      <c r="F7" s="274">
        <v>0</v>
      </c>
      <c r="G7" s="406"/>
      <c r="H7" s="407"/>
      <c r="I7" s="329"/>
      <c r="J7" s="330"/>
      <c r="K7" s="331"/>
      <c r="L7" s="273"/>
      <c r="M7" s="275"/>
    </row>
    <row r="8" spans="1:13" s="15" customFormat="1" ht="17.25" customHeight="1">
      <c r="A8" s="276" t="s">
        <v>10</v>
      </c>
      <c r="B8" s="427">
        <v>300452.87</v>
      </c>
      <c r="C8" s="272">
        <v>323872</v>
      </c>
      <c r="D8" s="228">
        <v>345852</v>
      </c>
      <c r="E8" s="6">
        <v>1555</v>
      </c>
      <c r="F8" s="419">
        <f aca="true" t="shared" si="0" ref="F8:F13">+D8+E8</f>
        <v>347407</v>
      </c>
      <c r="G8" s="408">
        <f aca="true" t="shared" si="1" ref="G8:G15">+F8-C8</f>
        <v>23535</v>
      </c>
      <c r="H8" s="409">
        <f aca="true" t="shared" si="2" ref="H8:H13">+F8/C8</f>
        <v>1.0726675970753878</v>
      </c>
      <c r="I8" s="226">
        <v>354000</v>
      </c>
      <c r="J8" s="12">
        <v>1600</v>
      </c>
      <c r="K8" s="12">
        <f>+I8+J8</f>
        <v>355600</v>
      </c>
      <c r="L8" s="280">
        <f>+K8-F8</f>
        <v>8193</v>
      </c>
      <c r="M8" s="281">
        <f>+K8/F8</f>
        <v>1.023583289916438</v>
      </c>
    </row>
    <row r="9" spans="1:13" s="15" customFormat="1" ht="17.25" customHeight="1">
      <c r="A9" s="276" t="s">
        <v>11</v>
      </c>
      <c r="B9" s="353">
        <v>43838.78</v>
      </c>
      <c r="C9" s="419">
        <v>47094</v>
      </c>
      <c r="D9" s="228">
        <v>50856</v>
      </c>
      <c r="E9" s="6"/>
      <c r="F9" s="419">
        <f t="shared" si="0"/>
        <v>50856</v>
      </c>
      <c r="G9" s="408">
        <f t="shared" si="1"/>
        <v>3762</v>
      </c>
      <c r="H9" s="409">
        <f t="shared" si="2"/>
        <v>1.079882787616257</v>
      </c>
      <c r="I9" s="236">
        <v>51000</v>
      </c>
      <c r="J9" s="237"/>
      <c r="K9" s="237">
        <f aca="true" t="shared" si="3" ref="K9:K15">+I9+J9</f>
        <v>51000</v>
      </c>
      <c r="L9" s="280">
        <f aca="true" t="shared" si="4" ref="L9:L36">+K9-F9</f>
        <v>144</v>
      </c>
      <c r="M9" s="281">
        <f aca="true" t="shared" si="5" ref="M9:M36">+K9/F9</f>
        <v>1.002831524303917</v>
      </c>
    </row>
    <row r="10" spans="1:13" s="15" customFormat="1" ht="17.25" customHeight="1">
      <c r="A10" s="276" t="s">
        <v>12</v>
      </c>
      <c r="B10" s="353">
        <v>8574.61</v>
      </c>
      <c r="C10" s="419">
        <v>7951</v>
      </c>
      <c r="D10" s="228">
        <v>7176</v>
      </c>
      <c r="E10" s="6"/>
      <c r="F10" s="419">
        <f t="shared" si="0"/>
        <v>7176</v>
      </c>
      <c r="G10" s="408">
        <f t="shared" si="1"/>
        <v>-775</v>
      </c>
      <c r="H10" s="409">
        <f t="shared" si="2"/>
        <v>0.9025279839013961</v>
      </c>
      <c r="I10" s="236">
        <v>7000</v>
      </c>
      <c r="J10" s="237"/>
      <c r="K10" s="237">
        <f t="shared" si="3"/>
        <v>7000</v>
      </c>
      <c r="L10" s="280">
        <f t="shared" si="4"/>
        <v>-176</v>
      </c>
      <c r="M10" s="281">
        <f t="shared" si="5"/>
        <v>0.9754738015607581</v>
      </c>
    </row>
    <row r="11" spans="1:13" s="15" customFormat="1" ht="17.25" customHeight="1">
      <c r="A11" s="276" t="s">
        <v>13</v>
      </c>
      <c r="B11" s="353">
        <v>7941.93</v>
      </c>
      <c r="C11" s="419">
        <v>12163</v>
      </c>
      <c r="D11" s="228">
        <v>6206</v>
      </c>
      <c r="E11" s="6">
        <v>3</v>
      </c>
      <c r="F11" s="419">
        <f t="shared" si="0"/>
        <v>6209</v>
      </c>
      <c r="G11" s="408">
        <f t="shared" si="1"/>
        <v>-5954</v>
      </c>
      <c r="H11" s="409">
        <f t="shared" si="2"/>
        <v>0.5104826111978953</v>
      </c>
      <c r="I11" s="236">
        <v>2500</v>
      </c>
      <c r="J11" s="237"/>
      <c r="K11" s="237">
        <f t="shared" si="3"/>
        <v>2500</v>
      </c>
      <c r="L11" s="280">
        <f t="shared" si="4"/>
        <v>-3709</v>
      </c>
      <c r="M11" s="281">
        <f t="shared" si="5"/>
        <v>0.40264132710581413</v>
      </c>
    </row>
    <row r="12" spans="1:13" s="15" customFormat="1" ht="17.25" customHeight="1">
      <c r="A12" s="282" t="s">
        <v>14</v>
      </c>
      <c r="B12" s="353">
        <v>0</v>
      </c>
      <c r="C12" s="419">
        <v>8819</v>
      </c>
      <c r="D12" s="228">
        <v>1705</v>
      </c>
      <c r="E12" s="6"/>
      <c r="F12" s="419">
        <f t="shared" si="0"/>
        <v>1705</v>
      </c>
      <c r="G12" s="408">
        <f t="shared" si="1"/>
        <v>-7114</v>
      </c>
      <c r="H12" s="409">
        <f t="shared" si="2"/>
        <v>0.19333257738972673</v>
      </c>
      <c r="I12" s="236">
        <v>2000</v>
      </c>
      <c r="J12" s="237"/>
      <c r="K12" s="237">
        <f t="shared" si="3"/>
        <v>2000</v>
      </c>
      <c r="L12" s="280">
        <f t="shared" si="4"/>
        <v>295</v>
      </c>
      <c r="M12" s="281">
        <f t="shared" si="5"/>
        <v>1.1730205278592376</v>
      </c>
    </row>
    <row r="13" spans="1:13" s="15" customFormat="1" ht="17.25" customHeight="1">
      <c r="A13" s="282" t="s">
        <v>15</v>
      </c>
      <c r="B13" s="353">
        <v>1704.38</v>
      </c>
      <c r="C13" s="419">
        <v>1096</v>
      </c>
      <c r="D13" s="228">
        <v>532</v>
      </c>
      <c r="E13" s="6">
        <v>6</v>
      </c>
      <c r="F13" s="419">
        <f t="shared" si="0"/>
        <v>538</v>
      </c>
      <c r="G13" s="408">
        <f t="shared" si="1"/>
        <v>-558</v>
      </c>
      <c r="H13" s="409">
        <f t="shared" si="2"/>
        <v>0.4908759124087591</v>
      </c>
      <c r="I13" s="236">
        <v>500</v>
      </c>
      <c r="J13" s="237"/>
      <c r="K13" s="237">
        <f t="shared" si="3"/>
        <v>500</v>
      </c>
      <c r="L13" s="280">
        <f t="shared" si="4"/>
        <v>-38</v>
      </c>
      <c r="M13" s="281">
        <f t="shared" si="5"/>
        <v>0.929368029739777</v>
      </c>
    </row>
    <row r="14" spans="1:13" s="15" customFormat="1" ht="17.25" customHeight="1">
      <c r="A14" s="282" t="s">
        <v>16</v>
      </c>
      <c r="B14" s="353"/>
      <c r="C14" s="419"/>
      <c r="D14" s="228"/>
      <c r="E14" s="6"/>
      <c r="F14" s="419"/>
      <c r="G14" s="408"/>
      <c r="H14" s="409"/>
      <c r="I14" s="236"/>
      <c r="J14" s="237"/>
      <c r="K14" s="237"/>
      <c r="L14" s="280"/>
      <c r="M14" s="281"/>
    </row>
    <row r="15" spans="1:13" s="15" customFormat="1" ht="17.25" customHeight="1" thickBot="1">
      <c r="A15" s="430" t="s">
        <v>17</v>
      </c>
      <c r="B15" s="354">
        <v>27529.19</v>
      </c>
      <c r="C15" s="428">
        <v>22990</v>
      </c>
      <c r="D15" s="230">
        <v>33943</v>
      </c>
      <c r="E15" s="231"/>
      <c r="F15" s="428">
        <f>+D15</f>
        <v>33943</v>
      </c>
      <c r="G15" s="429">
        <f t="shared" si="1"/>
        <v>10953</v>
      </c>
      <c r="H15" s="425">
        <f>+F15/C15</f>
        <v>1.4764245324053937</v>
      </c>
      <c r="I15" s="230">
        <v>17130</v>
      </c>
      <c r="J15" s="284"/>
      <c r="K15" s="284">
        <f t="shared" si="3"/>
        <v>17130</v>
      </c>
      <c r="L15" s="280">
        <f t="shared" si="4"/>
        <v>-16813</v>
      </c>
      <c r="M15" s="281">
        <f t="shared" si="5"/>
        <v>0.504669593141443</v>
      </c>
    </row>
    <row r="16" spans="1:13" s="15" customFormat="1" ht="17.25" customHeight="1" thickBot="1">
      <c r="A16" s="7" t="s">
        <v>18</v>
      </c>
      <c r="B16" s="129">
        <v>390041.76</v>
      </c>
      <c r="C16" s="10">
        <v>415166</v>
      </c>
      <c r="D16" s="8">
        <f>SUM(D7+D8+D9+D10+D11+D13+D15)</f>
        <v>444565</v>
      </c>
      <c r="E16" s="24">
        <f>SUM(E7+E8+E9+E10+E11+E13+E15)</f>
        <v>1564</v>
      </c>
      <c r="F16" s="10">
        <f>SUM(F7+F8+F9+F10+F11+F13+F15)</f>
        <v>446129</v>
      </c>
      <c r="G16" s="285">
        <f>+F16-B16</f>
        <v>56087.23999999999</v>
      </c>
      <c r="H16" s="422">
        <f>+F16/C16</f>
        <v>1.0745798066315642</v>
      </c>
      <c r="I16" s="8">
        <f>SUM(I7+I8+I9+I10+I11+I13+I15)</f>
        <v>432130</v>
      </c>
      <c r="J16" s="24">
        <f>SUM(J7+J8+J9+J10+J11+J13+J15)</f>
        <v>1600</v>
      </c>
      <c r="K16" s="44">
        <f>SUM(K7+K8+K9+K10+K11+K13+K15)</f>
        <v>433730</v>
      </c>
      <c r="L16" s="723">
        <f t="shared" si="4"/>
        <v>-12399</v>
      </c>
      <c r="M16" s="724">
        <f t="shared" si="5"/>
        <v>0.9722075901813153</v>
      </c>
    </row>
    <row r="17" spans="1:10" ht="6.75" customHeight="1" thickBot="1">
      <c r="A17"/>
      <c r="B17"/>
      <c r="C17"/>
      <c r="D17"/>
      <c r="E17"/>
      <c r="F17"/>
      <c r="G17"/>
      <c r="H17"/>
      <c r="I17"/>
      <c r="J17"/>
    </row>
    <row r="18" spans="1:13" ht="19.5" customHeight="1">
      <c r="A18" s="431" t="s">
        <v>19</v>
      </c>
      <c r="B18" s="351">
        <v>101349.23</v>
      </c>
      <c r="C18" s="351">
        <v>98012</v>
      </c>
      <c r="D18" s="410">
        <v>101861</v>
      </c>
      <c r="E18" s="330"/>
      <c r="F18" s="349">
        <f>+D18+E18</f>
        <v>101861</v>
      </c>
      <c r="G18" s="626">
        <f aca="true" t="shared" si="6" ref="G18:G36">+F18-C18</f>
        <v>3849</v>
      </c>
      <c r="H18" s="423">
        <f>+F18/C18</f>
        <v>1.0392707015467493</v>
      </c>
      <c r="I18" s="278">
        <v>103000</v>
      </c>
      <c r="J18" s="279"/>
      <c r="K18" s="287">
        <f>+I18+J18</f>
        <v>103000</v>
      </c>
      <c r="L18" s="725">
        <f t="shared" si="4"/>
        <v>1139</v>
      </c>
      <c r="M18" s="726">
        <f t="shared" si="5"/>
        <v>1.011181904752555</v>
      </c>
    </row>
    <row r="19" spans="1:13" ht="19.5" customHeight="1">
      <c r="A19" s="174" t="s">
        <v>20</v>
      </c>
      <c r="B19" s="357">
        <v>0</v>
      </c>
      <c r="C19" s="357">
        <v>2778</v>
      </c>
      <c r="D19" s="234">
        <v>1626</v>
      </c>
      <c r="E19" s="235"/>
      <c r="F19" s="630">
        <f aca="true" t="shared" si="7" ref="F19:F35">+D19+E19</f>
        <v>1626</v>
      </c>
      <c r="G19" s="627">
        <f t="shared" si="6"/>
        <v>-1152</v>
      </c>
      <c r="H19" s="409">
        <f>+F19/C19</f>
        <v>0.5853131749460043</v>
      </c>
      <c r="I19" s="236">
        <v>2500</v>
      </c>
      <c r="J19" s="237"/>
      <c r="K19" s="227">
        <f aca="true" t="shared" si="8" ref="K19:K35">+I19+J19</f>
        <v>2500</v>
      </c>
      <c r="L19" s="280">
        <f t="shared" si="4"/>
        <v>874</v>
      </c>
      <c r="M19" s="281">
        <f t="shared" si="5"/>
        <v>1.5375153751537516</v>
      </c>
    </row>
    <row r="20" spans="1:13" ht="19.5" customHeight="1">
      <c r="A20" s="432" t="s">
        <v>21</v>
      </c>
      <c r="B20" s="357">
        <v>14780.65</v>
      </c>
      <c r="C20" s="357">
        <v>16208</v>
      </c>
      <c r="D20" s="228">
        <v>18701</v>
      </c>
      <c r="E20" s="6"/>
      <c r="F20" s="630">
        <f t="shared" si="7"/>
        <v>18701</v>
      </c>
      <c r="G20" s="627">
        <f t="shared" si="6"/>
        <v>2493</v>
      </c>
      <c r="H20" s="409">
        <f>+F20/C20</f>
        <v>1.1538129318854886</v>
      </c>
      <c r="I20" s="236">
        <v>20000</v>
      </c>
      <c r="J20" s="237"/>
      <c r="K20" s="227">
        <f t="shared" si="8"/>
        <v>20000</v>
      </c>
      <c r="L20" s="280">
        <f t="shared" si="4"/>
        <v>1299</v>
      </c>
      <c r="M20" s="281">
        <f t="shared" si="5"/>
        <v>1.0694615261215978</v>
      </c>
    </row>
    <row r="21" spans="1:13" ht="19.5" customHeight="1">
      <c r="A21" s="174" t="s">
        <v>22</v>
      </c>
      <c r="B21" s="357"/>
      <c r="C21" s="357"/>
      <c r="D21" s="228"/>
      <c r="E21" s="6"/>
      <c r="F21" s="630"/>
      <c r="G21" s="627"/>
      <c r="H21" s="409"/>
      <c r="I21" s="236"/>
      <c r="J21" s="237"/>
      <c r="K21" s="227"/>
      <c r="L21" s="280"/>
      <c r="M21" s="281"/>
    </row>
    <row r="22" spans="1:13" ht="19.5" customHeight="1">
      <c r="A22" s="432" t="s">
        <v>23</v>
      </c>
      <c r="B22" s="357">
        <v>36717.16</v>
      </c>
      <c r="C22" s="357">
        <v>39711</v>
      </c>
      <c r="D22" s="228">
        <v>43138</v>
      </c>
      <c r="E22" s="6"/>
      <c r="F22" s="630">
        <f t="shared" si="7"/>
        <v>43138</v>
      </c>
      <c r="G22" s="627">
        <f t="shared" si="6"/>
        <v>3427</v>
      </c>
      <c r="H22" s="409">
        <f aca="true" t="shared" si="9" ref="H22:H36">+F22/C22</f>
        <v>1.086298506710987</v>
      </c>
      <c r="I22" s="236">
        <v>43000</v>
      </c>
      <c r="J22" s="237"/>
      <c r="K22" s="227">
        <f t="shared" si="8"/>
        <v>43000</v>
      </c>
      <c r="L22" s="280">
        <f t="shared" si="4"/>
        <v>-138</v>
      </c>
      <c r="M22" s="281">
        <f t="shared" si="5"/>
        <v>0.9968009643469795</v>
      </c>
    </row>
    <row r="23" spans="1:13" ht="19.5" customHeight="1">
      <c r="A23" s="432" t="s">
        <v>24</v>
      </c>
      <c r="B23" s="357">
        <v>43307.61</v>
      </c>
      <c r="C23" s="357">
        <v>57814</v>
      </c>
      <c r="D23" s="228">
        <v>56466</v>
      </c>
      <c r="E23" s="6"/>
      <c r="F23" s="630">
        <f t="shared" si="7"/>
        <v>56466</v>
      </c>
      <c r="G23" s="627">
        <f t="shared" si="6"/>
        <v>-1348</v>
      </c>
      <c r="H23" s="409">
        <f t="shared" si="9"/>
        <v>0.9766838482028575</v>
      </c>
      <c r="I23" s="236">
        <v>56400</v>
      </c>
      <c r="J23" s="237"/>
      <c r="K23" s="227">
        <f t="shared" si="8"/>
        <v>56400</v>
      </c>
      <c r="L23" s="280">
        <f t="shared" si="4"/>
        <v>-66</v>
      </c>
      <c r="M23" s="281">
        <f t="shared" si="5"/>
        <v>0.9988311550313463</v>
      </c>
    </row>
    <row r="24" spans="1:13" ht="19.5" customHeight="1">
      <c r="A24" s="174" t="s">
        <v>25</v>
      </c>
      <c r="B24" s="357">
        <v>6262.21</v>
      </c>
      <c r="C24" s="357">
        <v>7978</v>
      </c>
      <c r="D24" s="228">
        <v>6889</v>
      </c>
      <c r="E24" s="6"/>
      <c r="F24" s="630">
        <f t="shared" si="7"/>
        <v>6889</v>
      </c>
      <c r="G24" s="627">
        <f t="shared" si="6"/>
        <v>-1089</v>
      </c>
      <c r="H24" s="409">
        <f t="shared" si="9"/>
        <v>0.8634996239659063</v>
      </c>
      <c r="I24" s="236">
        <v>7000</v>
      </c>
      <c r="J24" s="237"/>
      <c r="K24" s="227">
        <f t="shared" si="8"/>
        <v>7000</v>
      </c>
      <c r="L24" s="280">
        <f t="shared" si="4"/>
        <v>111</v>
      </c>
      <c r="M24" s="281">
        <f t="shared" si="5"/>
        <v>1.0161126433444623</v>
      </c>
    </row>
    <row r="25" spans="1:13" ht="19.5" customHeight="1">
      <c r="A25" s="432" t="s">
        <v>26</v>
      </c>
      <c r="B25" s="357">
        <v>36432.91</v>
      </c>
      <c r="C25" s="357">
        <v>48455</v>
      </c>
      <c r="D25" s="228">
        <v>49246</v>
      </c>
      <c r="E25" s="6"/>
      <c r="F25" s="630">
        <f t="shared" si="7"/>
        <v>49246</v>
      </c>
      <c r="G25" s="627">
        <f t="shared" si="6"/>
        <v>791</v>
      </c>
      <c r="H25" s="409">
        <f t="shared" si="9"/>
        <v>1.0163244247239707</v>
      </c>
      <c r="I25" s="236">
        <v>49000</v>
      </c>
      <c r="J25" s="237"/>
      <c r="K25" s="227">
        <f t="shared" si="8"/>
        <v>49000</v>
      </c>
      <c r="L25" s="280">
        <f t="shared" si="4"/>
        <v>-246</v>
      </c>
      <c r="M25" s="281">
        <f t="shared" si="5"/>
        <v>0.9950046704300857</v>
      </c>
    </row>
    <row r="26" spans="1:13" ht="19.5" customHeight="1">
      <c r="A26" s="433" t="s">
        <v>27</v>
      </c>
      <c r="B26" s="357">
        <v>189351.83</v>
      </c>
      <c r="C26" s="357">
        <v>200118</v>
      </c>
      <c r="D26" s="228">
        <v>220563</v>
      </c>
      <c r="E26" s="6"/>
      <c r="F26" s="630">
        <f t="shared" si="7"/>
        <v>220563</v>
      </c>
      <c r="G26" s="627">
        <f t="shared" si="6"/>
        <v>20445</v>
      </c>
      <c r="H26" s="409">
        <f t="shared" si="9"/>
        <v>1.10216472281354</v>
      </c>
      <c r="I26" s="236">
        <v>236000.31</v>
      </c>
      <c r="J26" s="237"/>
      <c r="K26" s="227">
        <f t="shared" si="8"/>
        <v>236000.31</v>
      </c>
      <c r="L26" s="280">
        <f t="shared" si="4"/>
        <v>15437.309999999998</v>
      </c>
      <c r="M26" s="281">
        <f t="shared" si="5"/>
        <v>1.0699904789107875</v>
      </c>
    </row>
    <row r="27" spans="1:13" ht="19.5" customHeight="1">
      <c r="A27" s="174" t="s">
        <v>28</v>
      </c>
      <c r="B27" s="357">
        <v>137980.82</v>
      </c>
      <c r="C27" s="357">
        <v>146037</v>
      </c>
      <c r="D27" s="228">
        <v>160988</v>
      </c>
      <c r="E27" s="237"/>
      <c r="F27" s="630">
        <f t="shared" si="7"/>
        <v>160988</v>
      </c>
      <c r="G27" s="627">
        <f t="shared" si="6"/>
        <v>14951</v>
      </c>
      <c r="H27" s="409">
        <f t="shared" si="9"/>
        <v>1.1023781644377795</v>
      </c>
      <c r="I27" s="277">
        <v>172263</v>
      </c>
      <c r="J27" s="6"/>
      <c r="K27" s="227">
        <f t="shared" si="8"/>
        <v>172263</v>
      </c>
      <c r="L27" s="280">
        <f t="shared" si="4"/>
        <v>11275</v>
      </c>
      <c r="M27" s="281">
        <f t="shared" si="5"/>
        <v>1.0700362759957265</v>
      </c>
    </row>
    <row r="28" spans="1:13" ht="19.5" customHeight="1">
      <c r="A28" s="433" t="s">
        <v>29</v>
      </c>
      <c r="B28" s="357">
        <v>137853.44</v>
      </c>
      <c r="C28" s="357">
        <v>146000</v>
      </c>
      <c r="D28" s="228">
        <v>160874</v>
      </c>
      <c r="E28" s="6"/>
      <c r="F28" s="630">
        <f t="shared" si="7"/>
        <v>160874</v>
      </c>
      <c r="G28" s="627">
        <f t="shared" si="6"/>
        <v>14874</v>
      </c>
      <c r="H28" s="409">
        <f t="shared" si="9"/>
        <v>1.1018767123287672</v>
      </c>
      <c r="I28" s="277">
        <v>172163</v>
      </c>
      <c r="J28" s="6"/>
      <c r="K28" s="227">
        <f t="shared" si="8"/>
        <v>172163</v>
      </c>
      <c r="L28" s="280">
        <f t="shared" si="4"/>
        <v>11289</v>
      </c>
      <c r="M28" s="281">
        <f t="shared" si="5"/>
        <v>1.0701729303678655</v>
      </c>
    </row>
    <row r="29" spans="1:13" ht="19.5" customHeight="1">
      <c r="A29" s="174" t="s">
        <v>30</v>
      </c>
      <c r="B29" s="357">
        <v>127.82000000000698</v>
      </c>
      <c r="C29" s="357">
        <v>37</v>
      </c>
      <c r="D29" s="228">
        <v>114</v>
      </c>
      <c r="E29" s="6"/>
      <c r="F29" s="630">
        <f t="shared" si="7"/>
        <v>114</v>
      </c>
      <c r="G29" s="627">
        <f t="shared" si="6"/>
        <v>77</v>
      </c>
      <c r="H29" s="409">
        <f t="shared" si="9"/>
        <v>3.081081081081081</v>
      </c>
      <c r="I29" s="236">
        <v>100</v>
      </c>
      <c r="J29" s="237"/>
      <c r="K29" s="227">
        <f t="shared" si="8"/>
        <v>100</v>
      </c>
      <c r="L29" s="280">
        <f t="shared" si="4"/>
        <v>-14</v>
      </c>
      <c r="M29" s="281">
        <f t="shared" si="5"/>
        <v>0.8771929824561403</v>
      </c>
    </row>
    <row r="30" spans="1:13" ht="19.5" customHeight="1">
      <c r="A30" s="174" t="s">
        <v>31</v>
      </c>
      <c r="B30" s="357">
        <v>51371.01</v>
      </c>
      <c r="C30" s="357">
        <v>54081</v>
      </c>
      <c r="D30" s="228">
        <v>59575</v>
      </c>
      <c r="E30" s="6"/>
      <c r="F30" s="630">
        <f t="shared" si="7"/>
        <v>59575</v>
      </c>
      <c r="G30" s="627">
        <f t="shared" si="6"/>
        <v>5494</v>
      </c>
      <c r="H30" s="409">
        <f t="shared" si="9"/>
        <v>1.1015883582034356</v>
      </c>
      <c r="I30" s="236">
        <v>63737.31</v>
      </c>
      <c r="J30" s="237"/>
      <c r="K30" s="227">
        <f t="shared" si="8"/>
        <v>63737.31</v>
      </c>
      <c r="L30" s="280">
        <f t="shared" si="4"/>
        <v>4162.309999999998</v>
      </c>
      <c r="M30" s="281">
        <f t="shared" si="5"/>
        <v>1.069866722618548</v>
      </c>
    </row>
    <row r="31" spans="1:13" ht="19.5" customHeight="1">
      <c r="A31" s="433" t="s">
        <v>32</v>
      </c>
      <c r="B31" s="357">
        <v>16.91</v>
      </c>
      <c r="C31" s="357">
        <v>17</v>
      </c>
      <c r="D31" s="228">
        <v>43</v>
      </c>
      <c r="E31" s="6"/>
      <c r="F31" s="630">
        <f t="shared" si="7"/>
        <v>43</v>
      </c>
      <c r="G31" s="627">
        <f t="shared" si="6"/>
        <v>26</v>
      </c>
      <c r="H31" s="409">
        <f t="shared" si="9"/>
        <v>2.5294117647058822</v>
      </c>
      <c r="I31" s="236">
        <v>20</v>
      </c>
      <c r="J31" s="237"/>
      <c r="K31" s="227">
        <f t="shared" si="8"/>
        <v>20</v>
      </c>
      <c r="L31" s="280">
        <f t="shared" si="4"/>
        <v>-23</v>
      </c>
      <c r="M31" s="281">
        <f t="shared" si="5"/>
        <v>0.46511627906976744</v>
      </c>
    </row>
    <row r="32" spans="1:13" ht="19.5" customHeight="1">
      <c r="A32" s="433" t="s">
        <v>33</v>
      </c>
      <c r="B32" s="357">
        <v>1769.24</v>
      </c>
      <c r="C32" s="357">
        <v>1794</v>
      </c>
      <c r="D32" s="228">
        <v>2298</v>
      </c>
      <c r="E32" s="6"/>
      <c r="F32" s="630">
        <f t="shared" si="7"/>
        <v>2298</v>
      </c>
      <c r="G32" s="627">
        <f t="shared" si="6"/>
        <v>504</v>
      </c>
      <c r="H32" s="409">
        <f t="shared" si="9"/>
        <v>1.2809364548494984</v>
      </c>
      <c r="I32" s="236">
        <v>2200</v>
      </c>
      <c r="J32" s="237"/>
      <c r="K32" s="227">
        <f t="shared" si="8"/>
        <v>2200</v>
      </c>
      <c r="L32" s="280">
        <f t="shared" si="4"/>
        <v>-98</v>
      </c>
      <c r="M32" s="281">
        <f t="shared" si="5"/>
        <v>0.9573542210617929</v>
      </c>
    </row>
    <row r="33" spans="1:13" ht="19.5" customHeight="1">
      <c r="A33" s="174" t="s">
        <v>34</v>
      </c>
      <c r="B33" s="357">
        <v>2589.3</v>
      </c>
      <c r="C33" s="357">
        <v>1325</v>
      </c>
      <c r="D33" s="228">
        <v>2879</v>
      </c>
      <c r="E33" s="6"/>
      <c r="F33" s="630">
        <f t="shared" si="7"/>
        <v>2879</v>
      </c>
      <c r="G33" s="627">
        <f t="shared" si="6"/>
        <v>1554</v>
      </c>
      <c r="H33" s="409">
        <f t="shared" si="9"/>
        <v>2.1728301886792454</v>
      </c>
      <c r="I33" s="236">
        <v>3500</v>
      </c>
      <c r="J33" s="237"/>
      <c r="K33" s="227">
        <f t="shared" si="8"/>
        <v>3500</v>
      </c>
      <c r="L33" s="280">
        <f t="shared" si="4"/>
        <v>621</v>
      </c>
      <c r="M33" s="281">
        <f t="shared" si="5"/>
        <v>1.2156998957971519</v>
      </c>
    </row>
    <row r="34" spans="1:13" ht="19.5" customHeight="1">
      <c r="A34" s="174" t="s">
        <v>35</v>
      </c>
      <c r="B34" s="357">
        <v>639.92</v>
      </c>
      <c r="C34" s="357">
        <v>968</v>
      </c>
      <c r="D34" s="228">
        <v>2346</v>
      </c>
      <c r="E34" s="6"/>
      <c r="F34" s="630">
        <f t="shared" si="7"/>
        <v>2346</v>
      </c>
      <c r="G34" s="627">
        <f t="shared" si="6"/>
        <v>1378</v>
      </c>
      <c r="H34" s="409">
        <f t="shared" si="9"/>
        <v>2.4235537190082646</v>
      </c>
      <c r="I34" s="230">
        <v>3000</v>
      </c>
      <c r="J34" s="284"/>
      <c r="K34" s="227">
        <f>+I34+J34</f>
        <v>3000</v>
      </c>
      <c r="L34" s="280">
        <f t="shared" si="4"/>
        <v>654</v>
      </c>
      <c r="M34" s="281">
        <f t="shared" si="5"/>
        <v>1.278772378516624</v>
      </c>
    </row>
    <row r="35" spans="1:13" ht="19.5" customHeight="1" thickBot="1">
      <c r="A35" s="434" t="s">
        <v>36</v>
      </c>
      <c r="B35" s="424">
        <v>88.84</v>
      </c>
      <c r="C35" s="424">
        <v>22</v>
      </c>
      <c r="D35" s="238">
        <v>0</v>
      </c>
      <c r="E35" s="231"/>
      <c r="F35" s="631">
        <f t="shared" si="7"/>
        <v>0</v>
      </c>
      <c r="G35" s="628">
        <f t="shared" si="6"/>
        <v>-22</v>
      </c>
      <c r="H35" s="425">
        <f t="shared" si="9"/>
        <v>0</v>
      </c>
      <c r="I35" s="238">
        <v>0</v>
      </c>
      <c r="J35" s="231"/>
      <c r="K35" s="227">
        <f t="shared" si="8"/>
        <v>0</v>
      </c>
      <c r="L35" s="280">
        <f t="shared" si="4"/>
        <v>0</v>
      </c>
      <c r="M35" s="281"/>
    </row>
    <row r="36" spans="1:13" s="15" customFormat="1" ht="19.5" customHeight="1" thickBot="1">
      <c r="A36" s="435" t="s">
        <v>37</v>
      </c>
      <c r="B36" s="129">
        <v>389970.77</v>
      </c>
      <c r="C36" s="129">
        <v>415021</v>
      </c>
      <c r="D36" s="11">
        <f>SUM(D18+D20+D21+D22+D23+D26+D31+D32+D33+D35)</f>
        <v>445949</v>
      </c>
      <c r="E36" s="24">
        <v>0</v>
      </c>
      <c r="F36" s="233">
        <f>SUM(F18+F20+F21+F22+F23+F26+F31+F32+F33+F35)</f>
        <v>445949</v>
      </c>
      <c r="G36" s="629">
        <f t="shared" si="6"/>
        <v>30928</v>
      </c>
      <c r="H36" s="422">
        <f t="shared" si="9"/>
        <v>1.0745215302358193</v>
      </c>
      <c r="I36" s="11">
        <f>SUM(I18+I20+I21+I22+I23+I26+I31+I32+I33+I35)</f>
        <v>464120.31</v>
      </c>
      <c r="J36" s="24">
        <v>0</v>
      </c>
      <c r="K36" s="233">
        <f>SUM(K18+K20+K21+K22+K23+K26+K31+K32+K33+K35)</f>
        <v>464120.31</v>
      </c>
      <c r="L36" s="723">
        <f t="shared" si="4"/>
        <v>18171.309999999998</v>
      </c>
      <c r="M36" s="724">
        <f t="shared" si="5"/>
        <v>1.0407475070019216</v>
      </c>
    </row>
    <row r="37" spans="1:10" ht="5.25" customHeight="1" thickBot="1">
      <c r="A37"/>
      <c r="B37"/>
      <c r="C37"/>
      <c r="D37"/>
      <c r="E37"/>
      <c r="F37"/>
      <c r="G37"/>
      <c r="H37"/>
      <c r="I37"/>
      <c r="J37"/>
    </row>
    <row r="38" spans="1:11" ht="15" customHeight="1" thickBot="1">
      <c r="A38" s="7" t="s">
        <v>38</v>
      </c>
      <c r="B38" s="130">
        <v>70.9900000000489</v>
      </c>
      <c r="C38" s="130">
        <v>145</v>
      </c>
      <c r="D38" s="420">
        <f>SUM(D16-D36)</f>
        <v>-1384</v>
      </c>
      <c r="E38" s="115">
        <f>SUM(E16-E36)</f>
        <v>1564</v>
      </c>
      <c r="F38" s="421">
        <f>+F16-F36</f>
        <v>180</v>
      </c>
      <c r="G38"/>
      <c r="H38"/>
      <c r="I38" s="420">
        <f>SUM(I16-I36)</f>
        <v>-31990.309999999998</v>
      </c>
      <c r="J38" s="115">
        <f>SUM(J16-J36)</f>
        <v>1600</v>
      </c>
      <c r="K38" s="421">
        <f>+K16-K36</f>
        <v>-30390.309999999998</v>
      </c>
    </row>
    <row r="39" spans="1:10" ht="20.25" customHeight="1" thickBot="1">
      <c r="A39" s="13" t="s">
        <v>39</v>
      </c>
      <c r="B39" s="130">
        <v>0</v>
      </c>
      <c r="C39" s="130">
        <v>0</v>
      </c>
      <c r="D39" s="1458">
        <v>0</v>
      </c>
      <c r="E39" s="1459"/>
      <c r="F39" s="1460"/>
      <c r="G39"/>
      <c r="H39"/>
      <c r="I39"/>
      <c r="J39"/>
    </row>
    <row r="40" spans="1:10" ht="19.5" customHeight="1" thickBot="1">
      <c r="A40" s="14" t="s">
        <v>40</v>
      </c>
      <c r="B40" s="130">
        <v>0</v>
      </c>
      <c r="C40" s="130">
        <v>145</v>
      </c>
      <c r="D40" s="1458">
        <f>+F38+D39</f>
        <v>180</v>
      </c>
      <c r="E40" s="1459"/>
      <c r="F40" s="1460"/>
      <c r="G40"/>
      <c r="H40"/>
      <c r="I40"/>
      <c r="J40"/>
    </row>
    <row r="41" ht="12.75" customHeight="1">
      <c r="A41" s="194"/>
    </row>
    <row r="42" ht="13.5" thickBot="1"/>
    <row r="43" spans="1:29" ht="17.25" customHeight="1">
      <c r="A43" s="1183" t="s">
        <v>427</v>
      </c>
      <c r="B43" s="1328"/>
      <c r="C43" s="1328"/>
      <c r="D43" s="1328"/>
      <c r="E43" s="1328"/>
      <c r="F43" s="1328"/>
      <c r="G43" s="1328"/>
      <c r="H43" s="1328"/>
      <c r="I43" s="1328"/>
      <c r="J43" s="1328"/>
      <c r="K43" s="1329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</row>
    <row r="44" spans="1:29" s="15" customFormat="1" ht="20.25" customHeight="1">
      <c r="A44" s="1330" t="s">
        <v>42</v>
      </c>
      <c r="B44" s="1331" t="s">
        <v>145</v>
      </c>
      <c r="C44" s="1332"/>
      <c r="D44" s="1332"/>
      <c r="E44" s="1332"/>
      <c r="F44" s="1333"/>
      <c r="G44" s="1331" t="s">
        <v>146</v>
      </c>
      <c r="H44" s="1332"/>
      <c r="I44" s="1332"/>
      <c r="J44" s="1332"/>
      <c r="K44" s="1333"/>
      <c r="L44"/>
      <c r="M44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</row>
    <row r="45" spans="1:25" ht="19.5" customHeight="1" thickBot="1">
      <c r="A45" s="1269"/>
      <c r="B45" s="291">
        <v>2004</v>
      </c>
      <c r="C45" s="16">
        <v>2005</v>
      </c>
      <c r="D45" s="16">
        <v>2006</v>
      </c>
      <c r="E45" s="17">
        <v>2007</v>
      </c>
      <c r="F45" s="632" t="s">
        <v>7</v>
      </c>
      <c r="G45" s="18">
        <v>2004</v>
      </c>
      <c r="H45" s="16">
        <v>2005</v>
      </c>
      <c r="I45" s="16">
        <v>2006</v>
      </c>
      <c r="J45" s="17">
        <v>2007</v>
      </c>
      <c r="K45" s="632" t="s">
        <v>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</row>
    <row r="46" spans="1:25" s="15" customFormat="1" ht="21" customHeight="1">
      <c r="A46" s="292" t="s">
        <v>139</v>
      </c>
      <c r="B46" s="293">
        <v>8546000</v>
      </c>
      <c r="C46" s="19">
        <v>993000</v>
      </c>
      <c r="D46" s="19">
        <f>1570996-267000</f>
        <v>1303996</v>
      </c>
      <c r="E46" s="656">
        <v>880000</v>
      </c>
      <c r="F46" s="634">
        <f>+E46-D46</f>
        <v>-423996</v>
      </c>
      <c r="G46" s="20"/>
      <c r="H46" s="21"/>
      <c r="I46" s="21"/>
      <c r="J46" s="656"/>
      <c r="K46" s="227">
        <f>+J46-I46</f>
        <v>0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</row>
    <row r="47" spans="1:25" s="15" customFormat="1" ht="21" customHeight="1">
      <c r="A47" s="241" t="s">
        <v>140</v>
      </c>
      <c r="B47" s="294">
        <v>5341000</v>
      </c>
      <c r="C47" s="19">
        <v>20604397</v>
      </c>
      <c r="D47" s="19">
        <v>27662820</v>
      </c>
      <c r="E47" s="656">
        <f>+B61-J47</f>
        <v>16250000</v>
      </c>
      <c r="F47" s="634">
        <f aca="true" t="shared" si="10" ref="F47:F53">+E47-D47</f>
        <v>-11412820</v>
      </c>
      <c r="G47" s="20">
        <v>12259000</v>
      </c>
      <c r="H47" s="21">
        <v>11895603</v>
      </c>
      <c r="I47" s="21">
        <v>4837180</v>
      </c>
      <c r="J47" s="656">
        <f>+B113</f>
        <v>16250000</v>
      </c>
      <c r="K47" s="227">
        <f aca="true" t="shared" si="11" ref="K47:K53">+J47-I47</f>
        <v>11412820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</row>
    <row r="48" spans="1:25" s="15" customFormat="1" ht="21" customHeight="1">
      <c r="A48" s="295" t="s">
        <v>141</v>
      </c>
      <c r="B48" s="294">
        <v>326231.12</v>
      </c>
      <c r="C48" s="19">
        <v>380345.83</v>
      </c>
      <c r="D48" s="19">
        <v>344574</v>
      </c>
      <c r="E48" s="656"/>
      <c r="F48" s="634">
        <f t="shared" si="10"/>
        <v>-344574</v>
      </c>
      <c r="G48" s="20"/>
      <c r="H48" s="21"/>
      <c r="I48" s="21"/>
      <c r="J48" s="656"/>
      <c r="K48" s="227">
        <f t="shared" si="11"/>
        <v>0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</row>
    <row r="49" spans="1:25" s="15" customFormat="1" ht="21" customHeight="1">
      <c r="A49" s="295" t="s">
        <v>142</v>
      </c>
      <c r="B49" s="294">
        <v>45000</v>
      </c>
      <c r="C49" s="19">
        <v>55776.62</v>
      </c>
      <c r="D49" s="19">
        <v>9800</v>
      </c>
      <c r="E49" s="656"/>
      <c r="F49" s="634">
        <f t="shared" si="10"/>
        <v>-9800</v>
      </c>
      <c r="G49" s="20"/>
      <c r="H49" s="21"/>
      <c r="I49" s="21"/>
      <c r="J49" s="656"/>
      <c r="K49" s="227">
        <f t="shared" si="11"/>
        <v>0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</row>
    <row r="50" spans="1:25" s="15" customFormat="1" ht="19.5" customHeight="1">
      <c r="A50" s="295" t="s">
        <v>49</v>
      </c>
      <c r="B50" s="296">
        <v>12700000</v>
      </c>
      <c r="C50" s="19"/>
      <c r="D50" s="19"/>
      <c r="E50" s="656"/>
      <c r="F50" s="634">
        <f t="shared" si="10"/>
        <v>0</v>
      </c>
      <c r="G50" s="22">
        <v>10743000</v>
      </c>
      <c r="H50" s="243"/>
      <c r="I50" s="243"/>
      <c r="J50" s="656"/>
      <c r="K50" s="227">
        <f t="shared" si="11"/>
        <v>0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</row>
    <row r="51" spans="1:25" s="15" customFormat="1" ht="17.25" customHeight="1">
      <c r="A51" s="295" t="s">
        <v>208</v>
      </c>
      <c r="B51" s="294">
        <v>570962</v>
      </c>
      <c r="C51" s="19">
        <v>942992</v>
      </c>
      <c r="D51" s="19">
        <v>607237</v>
      </c>
      <c r="E51" s="656"/>
      <c r="F51" s="634">
        <f t="shared" si="10"/>
        <v>-607237</v>
      </c>
      <c r="G51" s="20"/>
      <c r="H51" s="21"/>
      <c r="I51" s="21"/>
      <c r="J51" s="656"/>
      <c r="K51" s="227">
        <f t="shared" si="11"/>
        <v>0</v>
      </c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</row>
    <row r="52" spans="1:25" s="15" customFormat="1" ht="24" customHeight="1">
      <c r="A52" s="242" t="s">
        <v>539</v>
      </c>
      <c r="B52" s="294"/>
      <c r="C52" s="19"/>
      <c r="D52" s="19">
        <v>3700000</v>
      </c>
      <c r="E52" s="656"/>
      <c r="F52" s="634">
        <f t="shared" si="10"/>
        <v>-3700000</v>
      </c>
      <c r="G52" s="20"/>
      <c r="H52" s="21">
        <v>20000000</v>
      </c>
      <c r="I52" s="21">
        <v>7152000</v>
      </c>
      <c r="J52" s="656">
        <f>+H113</f>
        <v>10420000</v>
      </c>
      <c r="K52" s="227">
        <f t="shared" si="11"/>
        <v>3268000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</row>
    <row r="53" spans="1:25" s="15" customFormat="1" ht="23.25" customHeight="1" thickBot="1">
      <c r="A53" s="242" t="s">
        <v>288</v>
      </c>
      <c r="B53" s="294"/>
      <c r="C53" s="19"/>
      <c r="D53" s="19">
        <v>267000</v>
      </c>
      <c r="E53" s="656"/>
      <c r="F53" s="634">
        <f t="shared" si="10"/>
        <v>-267000</v>
      </c>
      <c r="G53" s="20"/>
      <c r="H53" s="298"/>
      <c r="I53" s="298"/>
      <c r="J53" s="656"/>
      <c r="K53" s="227">
        <f t="shared" si="11"/>
        <v>0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</row>
    <row r="54" spans="1:25" s="15" customFormat="1" ht="18.75" customHeight="1" thickBot="1">
      <c r="A54" s="299" t="s">
        <v>54</v>
      </c>
      <c r="B54" s="23">
        <f>SUM(B46:B53)</f>
        <v>27529193.119999997</v>
      </c>
      <c r="C54" s="24">
        <f>SUM(C46:C53)</f>
        <v>22976511.45</v>
      </c>
      <c r="D54" s="24">
        <f>SUM(D46:D53)</f>
        <v>33895427</v>
      </c>
      <c r="E54" s="24">
        <f>SUM(E46:E53)</f>
        <v>17130000</v>
      </c>
      <c r="F54" s="10">
        <f>+E54-D54</f>
        <v>-16765427</v>
      </c>
      <c r="G54" s="11">
        <f>SUM(G46:G53)</f>
        <v>23002000</v>
      </c>
      <c r="H54" s="24">
        <f>SUM(H46:H53)</f>
        <v>31895603</v>
      </c>
      <c r="I54" s="24">
        <f>SUM(I46:I53)</f>
        <v>11989180</v>
      </c>
      <c r="J54" s="24">
        <f>SUM(J46:J53)</f>
        <v>26670000</v>
      </c>
      <c r="K54" s="633">
        <f>+J54-I54</f>
        <v>14680820</v>
      </c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</row>
    <row r="55" spans="1:10" ht="8.25" customHeight="1" thickBot="1">
      <c r="A55"/>
      <c r="B55"/>
      <c r="C55"/>
      <c r="D55"/>
      <c r="E55"/>
      <c r="F55"/>
      <c r="G55"/>
      <c r="H55"/>
      <c r="I55"/>
      <c r="J55"/>
    </row>
    <row r="56" spans="1:11" ht="12.75" customHeight="1">
      <c r="A56" s="1454" t="s">
        <v>41</v>
      </c>
      <c r="B56" s="1456" t="s">
        <v>178</v>
      </c>
      <c r="C56" s="1375"/>
      <c r="D56" s="1375"/>
      <c r="E56" s="1375"/>
      <c r="F56" s="1375"/>
      <c r="G56" s="1375"/>
      <c r="H56" s="1374" t="s">
        <v>144</v>
      </c>
      <c r="I56" s="1377"/>
      <c r="J56" s="1377"/>
      <c r="K56" s="1378"/>
    </row>
    <row r="57" spans="1:11" ht="27.75" customHeight="1" thickBot="1">
      <c r="A57" s="1455" t="s">
        <v>44</v>
      </c>
      <c r="B57" s="1381" t="s">
        <v>45</v>
      </c>
      <c r="C57" s="1380"/>
      <c r="D57" s="1381" t="s">
        <v>46</v>
      </c>
      <c r="E57" s="1380"/>
      <c r="F57" s="1381" t="s">
        <v>47</v>
      </c>
      <c r="G57" s="1457"/>
      <c r="H57" s="158" t="s">
        <v>50</v>
      </c>
      <c r="I57" s="156" t="s">
        <v>52</v>
      </c>
      <c r="J57" s="157" t="s">
        <v>51</v>
      </c>
      <c r="K57" s="114" t="s">
        <v>53</v>
      </c>
    </row>
    <row r="58" spans="1:11" ht="15" customHeight="1">
      <c r="A58" s="393" t="s">
        <v>286</v>
      </c>
      <c r="B58" s="1451">
        <f>+D58+F58</f>
        <v>17200000</v>
      </c>
      <c r="C58" s="1452"/>
      <c r="D58" s="1451">
        <v>14100000</v>
      </c>
      <c r="E58" s="1452"/>
      <c r="F58" s="1451">
        <v>3100000</v>
      </c>
      <c r="G58" s="1453"/>
      <c r="H58" s="437">
        <f>+G47/B58</f>
        <v>0.7127325581395348</v>
      </c>
      <c r="I58" s="343">
        <v>0.2722</v>
      </c>
      <c r="J58" s="343">
        <v>0.4405</v>
      </c>
      <c r="K58" s="394">
        <f>+B47/B58</f>
        <v>0.3105232558139535</v>
      </c>
    </row>
    <row r="59" spans="1:11" ht="15" customHeight="1">
      <c r="A59" s="345">
        <v>2005</v>
      </c>
      <c r="B59" s="1446">
        <v>32500000</v>
      </c>
      <c r="C59" s="1447"/>
      <c r="D59" s="1446">
        <v>27100000</v>
      </c>
      <c r="E59" s="1447"/>
      <c r="F59" s="1446">
        <v>5400000</v>
      </c>
      <c r="G59" s="1448"/>
      <c r="H59" s="436">
        <f>+H47/B59</f>
        <v>0.36601855384615384</v>
      </c>
      <c r="I59" s="344">
        <f>6970630.4/B59</f>
        <v>0.2144809353846154</v>
      </c>
      <c r="J59" s="344">
        <f>4924972.6/B59</f>
        <v>0.15153761846153846</v>
      </c>
      <c r="K59" s="346">
        <f>+C47/B59</f>
        <v>0.6339814461538461</v>
      </c>
    </row>
    <row r="60" spans="1:11" ht="15" customHeight="1">
      <c r="A60" s="345">
        <v>2006</v>
      </c>
      <c r="B60" s="1446">
        <f>+B59</f>
        <v>32500000</v>
      </c>
      <c r="C60" s="1447"/>
      <c r="D60" s="1446">
        <f>+D59</f>
        <v>27100000</v>
      </c>
      <c r="E60" s="1447"/>
      <c r="F60" s="1446">
        <f>+F59</f>
        <v>5400000</v>
      </c>
      <c r="G60" s="1448"/>
      <c r="H60" s="436">
        <f>+I47/B60</f>
        <v>0.14883630769230768</v>
      </c>
      <c r="I60" s="344">
        <v>0</v>
      </c>
      <c r="J60" s="344">
        <f>+H60</f>
        <v>0.14883630769230768</v>
      </c>
      <c r="K60" s="346">
        <f>+D47/B60</f>
        <v>0.8511636923076923</v>
      </c>
    </row>
    <row r="61" spans="1:11" ht="15" customHeight="1" thickBot="1">
      <c r="A61" s="347">
        <v>2007</v>
      </c>
      <c r="B61" s="1467">
        <f>+B60</f>
        <v>32500000</v>
      </c>
      <c r="C61" s="1468"/>
      <c r="D61" s="1467">
        <f>+D60</f>
        <v>27100000</v>
      </c>
      <c r="E61" s="1468"/>
      <c r="F61" s="1467">
        <f>+F60</f>
        <v>5400000</v>
      </c>
      <c r="G61" s="1469"/>
      <c r="H61" s="411">
        <f>+B113/B61</f>
        <v>0.5</v>
      </c>
      <c r="I61" s="297">
        <f>+B75/B61</f>
        <v>0.26461538461538464</v>
      </c>
      <c r="J61" s="297">
        <f>+B111/B61</f>
        <v>0.2353846153846154</v>
      </c>
      <c r="K61" s="348">
        <f>+E47/B61</f>
        <v>0.5</v>
      </c>
    </row>
    <row r="62" spans="1:10" ht="10.5" customHeight="1">
      <c r="A62"/>
      <c r="B62"/>
      <c r="C62"/>
      <c r="D62"/>
      <c r="E62"/>
      <c r="F62"/>
      <c r="G62"/>
      <c r="H62"/>
      <c r="I62"/>
      <c r="J62"/>
    </row>
    <row r="63" spans="1:10" ht="15.75" customHeight="1" thickBot="1">
      <c r="A63" s="102" t="s">
        <v>179</v>
      </c>
      <c r="B63" s="79"/>
      <c r="C63" s="79"/>
      <c r="D63"/>
      <c r="E63"/>
      <c r="F63"/>
      <c r="G63"/>
      <c r="H63"/>
      <c r="I63"/>
      <c r="J63"/>
    </row>
    <row r="64" spans="1:10" ht="15.75" customHeight="1" thickBot="1">
      <c r="A64" s="66" t="s">
        <v>428</v>
      </c>
      <c r="B64" s="60"/>
      <c r="C64" s="61"/>
      <c r="D64"/>
      <c r="E64"/>
      <c r="F64"/>
      <c r="G64"/>
      <c r="H64"/>
      <c r="I64"/>
      <c r="J64"/>
    </row>
    <row r="65" spans="1:10" ht="15.75" customHeight="1">
      <c r="A65" s="1449" t="s">
        <v>129</v>
      </c>
      <c r="B65" s="1450"/>
      <c r="C65" s="391">
        <f>+I15</f>
        <v>17130</v>
      </c>
      <c r="D65"/>
      <c r="E65"/>
      <c r="F65"/>
      <c r="G65"/>
      <c r="H65"/>
      <c r="I65"/>
      <c r="J65"/>
    </row>
    <row r="66" spans="1:10" ht="15.75" customHeight="1">
      <c r="A66" s="1419" t="s">
        <v>43</v>
      </c>
      <c r="B66" s="1420"/>
      <c r="C66" s="392">
        <f>+J54/1000</f>
        <v>26670</v>
      </c>
      <c r="D66"/>
      <c r="E66"/>
      <c r="F66"/>
      <c r="G66"/>
      <c r="H66"/>
      <c r="I66"/>
      <c r="J66"/>
    </row>
    <row r="67" spans="1:10" ht="15.75" customHeight="1" thickBot="1">
      <c r="A67" s="1421" t="s">
        <v>130</v>
      </c>
      <c r="B67" s="1422"/>
      <c r="C67" s="701">
        <f>+I28</f>
        <v>172163</v>
      </c>
      <c r="D67"/>
      <c r="E67"/>
      <c r="F67"/>
      <c r="G67"/>
      <c r="H67"/>
      <c r="I67"/>
      <c r="J67"/>
    </row>
    <row r="68" spans="1:10" ht="15.75" customHeight="1">
      <c r="A68"/>
      <c r="B68"/>
      <c r="C68"/>
      <c r="D68"/>
      <c r="E68"/>
      <c r="F68"/>
      <c r="G68"/>
      <c r="H68"/>
      <c r="I68"/>
      <c r="J68"/>
    </row>
    <row r="69" spans="1:14" ht="20.25" customHeight="1" thickBot="1">
      <c r="A69" s="102" t="s">
        <v>217</v>
      </c>
      <c r="E69" s="194"/>
      <c r="F69" s="194"/>
      <c r="G69" s="194"/>
      <c r="H69" s="194"/>
      <c r="K69" s="142"/>
      <c r="L69" s="142"/>
      <c r="M69" s="142"/>
      <c r="N69" s="142"/>
    </row>
    <row r="70" spans="1:30" ht="37.5" customHeight="1">
      <c r="A70" s="1423" t="s">
        <v>193</v>
      </c>
      <c r="B70" s="1247" t="s">
        <v>55</v>
      </c>
      <c r="C70" s="1248"/>
      <c r="D70" s="1249" t="s">
        <v>56</v>
      </c>
      <c r="E70" s="1425"/>
      <c r="F70" s="1208"/>
      <c r="G70" s="1426"/>
      <c r="H70" s="1248" t="s">
        <v>422</v>
      </c>
      <c r="I70" s="1249"/>
      <c r="J70" s="1247" t="s">
        <v>57</v>
      </c>
      <c r="K70" s="1181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</row>
    <row r="71" spans="1:30" ht="17.25" customHeight="1" thickBot="1">
      <c r="A71" s="1335"/>
      <c r="B71" s="1335" t="s">
        <v>58</v>
      </c>
      <c r="C71" s="1336"/>
      <c r="D71" s="1336" t="s">
        <v>59</v>
      </c>
      <c r="E71" s="1336"/>
      <c r="F71" s="1336" t="s">
        <v>196</v>
      </c>
      <c r="G71" s="1336"/>
      <c r="H71" s="1336" t="s">
        <v>325</v>
      </c>
      <c r="I71" s="1337"/>
      <c r="J71" s="1335" t="s">
        <v>60</v>
      </c>
      <c r="K71" s="117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</row>
    <row r="72" spans="1:11" s="398" customFormat="1" ht="21.75" customHeight="1">
      <c r="A72" s="134" t="s">
        <v>313</v>
      </c>
      <c r="B72" s="1391">
        <v>7100000</v>
      </c>
      <c r="C72" s="1389"/>
      <c r="D72" s="1443"/>
      <c r="E72" s="1445"/>
      <c r="F72" s="1443"/>
      <c r="G72" s="1445"/>
      <c r="H72" s="1443"/>
      <c r="I72" s="1444"/>
      <c r="J72" s="1441">
        <f>SUM(B72:I72)</f>
        <v>7100000</v>
      </c>
      <c r="K72" s="1442"/>
    </row>
    <row r="73" spans="1:11" s="398" customFormat="1" ht="21.75" customHeight="1">
      <c r="A73" s="134" t="s">
        <v>314</v>
      </c>
      <c r="B73" s="1391">
        <v>1500000</v>
      </c>
      <c r="C73" s="1389"/>
      <c r="D73" s="1435"/>
      <c r="E73" s="1439"/>
      <c r="F73" s="1435"/>
      <c r="G73" s="1439"/>
      <c r="H73" s="1435"/>
      <c r="I73" s="1440"/>
      <c r="J73" s="1437">
        <f>SUM(B73:I73)</f>
        <v>1500000</v>
      </c>
      <c r="K73" s="1438"/>
    </row>
    <row r="74" spans="1:11" s="398" customFormat="1" ht="21.75" customHeight="1" thickBot="1">
      <c r="A74" s="134" t="s">
        <v>421</v>
      </c>
      <c r="B74" s="1391"/>
      <c r="C74" s="1389"/>
      <c r="D74" s="1435"/>
      <c r="E74" s="1439"/>
      <c r="F74" s="1435"/>
      <c r="G74" s="1439"/>
      <c r="H74" s="1435">
        <v>2808000</v>
      </c>
      <c r="I74" s="1440"/>
      <c r="J74" s="1437">
        <f>SUM(B74:I74)</f>
        <v>2808000</v>
      </c>
      <c r="K74" s="1438"/>
    </row>
    <row r="75" spans="1:11" ht="23.25" customHeight="1" thickBot="1">
      <c r="A75" s="438" t="s">
        <v>247</v>
      </c>
      <c r="B75" s="1427">
        <f>SUM(B72:C74)</f>
        <v>8600000</v>
      </c>
      <c r="C75" s="1418"/>
      <c r="D75" s="1396">
        <f>SUM(D72:E74)</f>
        <v>0</v>
      </c>
      <c r="E75" s="1396"/>
      <c r="F75" s="1424">
        <f>SUM(F72:G74)</f>
        <v>0</v>
      </c>
      <c r="G75" s="1396"/>
      <c r="H75" s="1396">
        <f>SUM(H72:I74)</f>
        <v>2808000</v>
      </c>
      <c r="I75" s="1418"/>
      <c r="J75" s="1427">
        <f>SUM(J72:K74)</f>
        <v>11408000</v>
      </c>
      <c r="K75" s="1397"/>
    </row>
    <row r="76" spans="1:10" ht="3.75" customHeight="1" thickBot="1">
      <c r="A76"/>
      <c r="B76"/>
      <c r="C76"/>
      <c r="D76"/>
      <c r="E76"/>
      <c r="F76"/>
      <c r="G76"/>
      <c r="H76"/>
      <c r="I76"/>
      <c r="J76"/>
    </row>
    <row r="77" spans="1:30" ht="40.5" customHeight="1">
      <c r="A77" s="1423" t="s">
        <v>198</v>
      </c>
      <c r="B77" s="1247" t="s">
        <v>55</v>
      </c>
      <c r="C77" s="1248"/>
      <c r="D77" s="1249" t="s">
        <v>56</v>
      </c>
      <c r="E77" s="1425"/>
      <c r="F77" s="1208" t="s">
        <v>192</v>
      </c>
      <c r="G77" s="1426"/>
      <c r="H77" s="1248" t="s">
        <v>422</v>
      </c>
      <c r="I77" s="1249"/>
      <c r="J77" s="1248" t="s">
        <v>57</v>
      </c>
      <c r="K77" s="1181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</row>
    <row r="78" spans="1:30" ht="20.25" customHeight="1" thickBot="1">
      <c r="A78" s="1335" t="s">
        <v>199</v>
      </c>
      <c r="B78" s="1335" t="s">
        <v>58</v>
      </c>
      <c r="C78" s="1336"/>
      <c r="D78" s="1336" t="s">
        <v>59</v>
      </c>
      <c r="E78" s="1336"/>
      <c r="F78" s="1336" t="s">
        <v>196</v>
      </c>
      <c r="G78" s="1336"/>
      <c r="H78" s="1336" t="s">
        <v>325</v>
      </c>
      <c r="I78" s="1336"/>
      <c r="J78" s="1336" t="s">
        <v>60</v>
      </c>
      <c r="K78" s="117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</row>
    <row r="79" spans="1:11" s="398" customFormat="1" ht="21.75" customHeight="1">
      <c r="A79" s="134" t="s">
        <v>307</v>
      </c>
      <c r="B79" s="1391">
        <v>2000000</v>
      </c>
      <c r="C79" s="1389"/>
      <c r="D79" s="1389"/>
      <c r="E79" s="1389"/>
      <c r="F79" s="1389"/>
      <c r="G79" s="1389"/>
      <c r="H79" s="1389"/>
      <c r="I79" s="1390"/>
      <c r="J79" s="1389">
        <f aca="true" t="shared" si="12" ref="J79:J86">SUM(B79:I79)</f>
        <v>2000000</v>
      </c>
      <c r="K79" s="1434"/>
    </row>
    <row r="80" spans="1:11" s="398" customFormat="1" ht="21.75" customHeight="1">
      <c r="A80" s="134" t="s">
        <v>308</v>
      </c>
      <c r="B80" s="1391">
        <v>850000</v>
      </c>
      <c r="C80" s="1389"/>
      <c r="D80" s="1389"/>
      <c r="E80" s="1389"/>
      <c r="F80" s="1389"/>
      <c r="G80" s="1389"/>
      <c r="H80" s="1389"/>
      <c r="I80" s="1390"/>
      <c r="J80" s="1389">
        <f t="shared" si="12"/>
        <v>850000</v>
      </c>
      <c r="K80" s="1434"/>
    </row>
    <row r="81" spans="1:11" s="398" customFormat="1" ht="17.25" customHeight="1">
      <c r="A81" s="134" t="s">
        <v>309</v>
      </c>
      <c r="B81" s="1391">
        <v>750000</v>
      </c>
      <c r="C81" s="1389"/>
      <c r="D81" s="1389"/>
      <c r="E81" s="1389"/>
      <c r="F81" s="1389"/>
      <c r="G81" s="1389"/>
      <c r="H81" s="1389"/>
      <c r="I81" s="1390"/>
      <c r="J81" s="1389">
        <f t="shared" si="12"/>
        <v>750000</v>
      </c>
      <c r="K81" s="1434"/>
    </row>
    <row r="82" spans="1:11" s="398" customFormat="1" ht="17.25" customHeight="1">
      <c r="A82" s="134" t="s">
        <v>310</v>
      </c>
      <c r="B82" s="1436">
        <v>1000000</v>
      </c>
      <c r="C82" s="1387"/>
      <c r="D82" s="1387"/>
      <c r="E82" s="1387"/>
      <c r="F82" s="1387"/>
      <c r="G82" s="1387"/>
      <c r="H82" s="1387"/>
      <c r="I82" s="1435"/>
      <c r="J82" s="1389">
        <f t="shared" si="12"/>
        <v>1000000</v>
      </c>
      <c r="K82" s="1434"/>
    </row>
    <row r="83" spans="1:11" s="398" customFormat="1" ht="18.75" customHeight="1">
      <c r="A83" s="134" t="s">
        <v>311</v>
      </c>
      <c r="B83" s="1391">
        <v>500000</v>
      </c>
      <c r="C83" s="1389"/>
      <c r="D83" s="1389"/>
      <c r="E83" s="1389"/>
      <c r="F83" s="1389"/>
      <c r="G83" s="1389"/>
      <c r="H83" s="1389"/>
      <c r="I83" s="1390"/>
      <c r="J83" s="1389">
        <f t="shared" si="12"/>
        <v>500000</v>
      </c>
      <c r="K83" s="1434"/>
    </row>
    <row r="84" spans="1:11" s="398" customFormat="1" ht="17.25" customHeight="1">
      <c r="A84" s="134" t="s">
        <v>312</v>
      </c>
      <c r="B84" s="1391">
        <v>600000</v>
      </c>
      <c r="C84" s="1389"/>
      <c r="D84" s="1389"/>
      <c r="E84" s="1389"/>
      <c r="F84" s="1389"/>
      <c r="G84" s="1389"/>
      <c r="H84" s="1389"/>
      <c r="I84" s="1390"/>
      <c r="J84" s="1389">
        <f t="shared" si="12"/>
        <v>600000</v>
      </c>
      <c r="K84" s="1434"/>
    </row>
    <row r="85" spans="1:11" s="398" customFormat="1" ht="17.25" customHeight="1">
      <c r="A85" s="134" t="s">
        <v>254</v>
      </c>
      <c r="B85" s="1391">
        <v>1950000</v>
      </c>
      <c r="C85" s="1389"/>
      <c r="D85" s="1389"/>
      <c r="E85" s="1389"/>
      <c r="F85" s="1389"/>
      <c r="G85" s="1389"/>
      <c r="H85" s="1389"/>
      <c r="I85" s="1390"/>
      <c r="J85" s="1389">
        <f t="shared" si="12"/>
        <v>1950000</v>
      </c>
      <c r="K85" s="1434"/>
    </row>
    <row r="86" spans="1:11" s="398" customFormat="1" ht="17.25" customHeight="1">
      <c r="A86" s="134" t="s">
        <v>396</v>
      </c>
      <c r="B86" s="1391"/>
      <c r="C86" s="1389"/>
      <c r="D86" s="1389"/>
      <c r="E86" s="1389"/>
      <c r="F86" s="1389"/>
      <c r="G86" s="1389"/>
      <c r="H86" s="1389">
        <v>850000</v>
      </c>
      <c r="I86" s="1390"/>
      <c r="J86" s="1387">
        <f t="shared" si="12"/>
        <v>850000</v>
      </c>
      <c r="K86" s="1388"/>
    </row>
    <row r="87" spans="1:11" s="398" customFormat="1" ht="17.25" customHeight="1">
      <c r="A87" s="134" t="s">
        <v>397</v>
      </c>
      <c r="B87" s="1391"/>
      <c r="C87" s="1389"/>
      <c r="D87" s="1389"/>
      <c r="E87" s="1389"/>
      <c r="F87" s="1389"/>
      <c r="G87" s="1389"/>
      <c r="H87" s="1389">
        <v>500000</v>
      </c>
      <c r="I87" s="1390"/>
      <c r="J87" s="1387">
        <f aca="true" t="shared" si="13" ref="J87:J110">SUM(B87:I87)</f>
        <v>500000</v>
      </c>
      <c r="K87" s="1388"/>
    </row>
    <row r="88" spans="1:11" s="398" customFormat="1" ht="17.25" customHeight="1">
      <c r="A88" s="134" t="s">
        <v>398</v>
      </c>
      <c r="B88" s="1391"/>
      <c r="C88" s="1389"/>
      <c r="D88" s="1389"/>
      <c r="E88" s="1389"/>
      <c r="F88" s="1389"/>
      <c r="G88" s="1389"/>
      <c r="H88" s="1389">
        <v>1000000</v>
      </c>
      <c r="I88" s="1390"/>
      <c r="J88" s="1387">
        <f t="shared" si="13"/>
        <v>1000000</v>
      </c>
      <c r="K88" s="1388"/>
    </row>
    <row r="89" spans="1:11" s="398" customFormat="1" ht="17.25" customHeight="1">
      <c r="A89" s="134" t="s">
        <v>399</v>
      </c>
      <c r="B89" s="1391"/>
      <c r="C89" s="1389"/>
      <c r="D89" s="1389"/>
      <c r="E89" s="1389"/>
      <c r="F89" s="1389"/>
      <c r="G89" s="1389"/>
      <c r="H89" s="1389">
        <v>500000</v>
      </c>
      <c r="I89" s="1390"/>
      <c r="J89" s="1387">
        <f t="shared" si="13"/>
        <v>500000</v>
      </c>
      <c r="K89" s="1388"/>
    </row>
    <row r="90" spans="1:11" s="398" customFormat="1" ht="17.25" customHeight="1">
      <c r="A90" s="134" t="s">
        <v>400</v>
      </c>
      <c r="B90" s="1391"/>
      <c r="C90" s="1389"/>
      <c r="D90" s="1389"/>
      <c r="E90" s="1389"/>
      <c r="F90" s="1389"/>
      <c r="G90" s="1389"/>
      <c r="H90" s="1389">
        <v>231000</v>
      </c>
      <c r="I90" s="1390"/>
      <c r="J90" s="1387">
        <f t="shared" si="13"/>
        <v>231000</v>
      </c>
      <c r="K90" s="1388"/>
    </row>
    <row r="91" spans="1:11" s="398" customFormat="1" ht="17.25" customHeight="1">
      <c r="A91" s="134" t="s">
        <v>401</v>
      </c>
      <c r="B91" s="1391"/>
      <c r="C91" s="1389"/>
      <c r="D91" s="1389"/>
      <c r="E91" s="1389"/>
      <c r="F91" s="1389"/>
      <c r="G91" s="1389"/>
      <c r="H91" s="1389">
        <v>140000</v>
      </c>
      <c r="I91" s="1390"/>
      <c r="J91" s="1387">
        <f t="shared" si="13"/>
        <v>140000</v>
      </c>
      <c r="K91" s="1388"/>
    </row>
    <row r="92" spans="1:11" s="398" customFormat="1" ht="17.25" customHeight="1">
      <c r="A92" s="134" t="s">
        <v>402</v>
      </c>
      <c r="B92" s="1391"/>
      <c r="C92" s="1389"/>
      <c r="D92" s="1389"/>
      <c r="E92" s="1389"/>
      <c r="F92" s="1389"/>
      <c r="G92" s="1389"/>
      <c r="H92" s="1389">
        <v>120000</v>
      </c>
      <c r="I92" s="1390"/>
      <c r="J92" s="1387">
        <f t="shared" si="13"/>
        <v>120000</v>
      </c>
      <c r="K92" s="1388"/>
    </row>
    <row r="93" spans="1:11" s="398" customFormat="1" ht="17.25" customHeight="1">
      <c r="A93" s="134" t="s">
        <v>403</v>
      </c>
      <c r="B93" s="1391"/>
      <c r="C93" s="1389"/>
      <c r="D93" s="1389"/>
      <c r="E93" s="1389"/>
      <c r="F93" s="1389"/>
      <c r="G93" s="1389"/>
      <c r="H93" s="1389">
        <v>120000</v>
      </c>
      <c r="I93" s="1390"/>
      <c r="J93" s="1387">
        <f t="shared" si="13"/>
        <v>120000</v>
      </c>
      <c r="K93" s="1388"/>
    </row>
    <row r="94" spans="1:11" s="398" customFormat="1" ht="17.25" customHeight="1">
      <c r="A94" s="134" t="s">
        <v>404</v>
      </c>
      <c r="B94" s="1391"/>
      <c r="C94" s="1389"/>
      <c r="D94" s="1389"/>
      <c r="E94" s="1389"/>
      <c r="F94" s="1389"/>
      <c r="G94" s="1389"/>
      <c r="H94" s="1389">
        <v>100000</v>
      </c>
      <c r="I94" s="1390"/>
      <c r="J94" s="1387">
        <f t="shared" si="13"/>
        <v>100000</v>
      </c>
      <c r="K94" s="1388"/>
    </row>
    <row r="95" spans="1:11" s="398" customFormat="1" ht="17.25" customHeight="1">
      <c r="A95" s="134" t="s">
        <v>405</v>
      </c>
      <c r="B95" s="1391"/>
      <c r="C95" s="1389"/>
      <c r="D95" s="1389"/>
      <c r="E95" s="1389"/>
      <c r="F95" s="1389"/>
      <c r="G95" s="1389"/>
      <c r="H95" s="1389">
        <v>240000</v>
      </c>
      <c r="I95" s="1390"/>
      <c r="J95" s="1387">
        <f t="shared" si="13"/>
        <v>240000</v>
      </c>
      <c r="K95" s="1388"/>
    </row>
    <row r="96" spans="1:11" s="398" customFormat="1" ht="17.25" customHeight="1">
      <c r="A96" s="134" t="s">
        <v>406</v>
      </c>
      <c r="B96" s="1391"/>
      <c r="C96" s="1389"/>
      <c r="D96" s="1389"/>
      <c r="E96" s="1389"/>
      <c r="F96" s="1389"/>
      <c r="G96" s="1389"/>
      <c r="H96" s="1389">
        <v>200000</v>
      </c>
      <c r="I96" s="1390"/>
      <c r="J96" s="1387">
        <f t="shared" si="13"/>
        <v>200000</v>
      </c>
      <c r="K96" s="1388"/>
    </row>
    <row r="97" spans="1:11" s="398" customFormat="1" ht="17.25" customHeight="1">
      <c r="A97" s="134" t="s">
        <v>407</v>
      </c>
      <c r="B97" s="1391"/>
      <c r="C97" s="1389"/>
      <c r="D97" s="1389"/>
      <c r="E97" s="1389"/>
      <c r="F97" s="1389"/>
      <c r="G97" s="1389"/>
      <c r="H97" s="1389">
        <v>160000</v>
      </c>
      <c r="I97" s="1390"/>
      <c r="J97" s="1387">
        <f t="shared" si="13"/>
        <v>160000</v>
      </c>
      <c r="K97" s="1388"/>
    </row>
    <row r="98" spans="1:11" s="398" customFormat="1" ht="17.25" customHeight="1">
      <c r="A98" s="134" t="s">
        <v>408</v>
      </c>
      <c r="B98" s="1391"/>
      <c r="C98" s="1389"/>
      <c r="D98" s="1389"/>
      <c r="E98" s="1389"/>
      <c r="F98" s="1389"/>
      <c r="G98" s="1389"/>
      <c r="H98" s="1389">
        <v>80000</v>
      </c>
      <c r="I98" s="1390"/>
      <c r="J98" s="1387">
        <f t="shared" si="13"/>
        <v>80000</v>
      </c>
      <c r="K98" s="1388"/>
    </row>
    <row r="99" spans="1:11" s="398" customFormat="1" ht="17.25" customHeight="1">
      <c r="A99" s="134" t="s">
        <v>409</v>
      </c>
      <c r="B99" s="1391"/>
      <c r="C99" s="1389"/>
      <c r="D99" s="1389"/>
      <c r="E99" s="1389"/>
      <c r="F99" s="1389"/>
      <c r="G99" s="1389"/>
      <c r="H99" s="1389">
        <v>200000</v>
      </c>
      <c r="I99" s="1390"/>
      <c r="J99" s="1387">
        <f t="shared" si="13"/>
        <v>200000</v>
      </c>
      <c r="K99" s="1388"/>
    </row>
    <row r="100" spans="1:11" s="398" customFormat="1" ht="17.25" customHeight="1">
      <c r="A100" s="134" t="s">
        <v>410</v>
      </c>
      <c r="B100" s="1391"/>
      <c r="C100" s="1389"/>
      <c r="D100" s="1389"/>
      <c r="E100" s="1389"/>
      <c r="F100" s="1389"/>
      <c r="G100" s="1389"/>
      <c r="H100" s="1389">
        <v>160000</v>
      </c>
      <c r="I100" s="1390"/>
      <c r="J100" s="1387">
        <f t="shared" si="13"/>
        <v>160000</v>
      </c>
      <c r="K100" s="1388"/>
    </row>
    <row r="101" spans="1:11" s="398" customFormat="1" ht="17.25" customHeight="1">
      <c r="A101" s="134" t="s">
        <v>411</v>
      </c>
      <c r="B101" s="1391"/>
      <c r="C101" s="1389"/>
      <c r="D101" s="1389"/>
      <c r="E101" s="1389"/>
      <c r="F101" s="1389"/>
      <c r="G101" s="1389"/>
      <c r="H101" s="1389">
        <v>45000</v>
      </c>
      <c r="I101" s="1390"/>
      <c r="J101" s="1387">
        <f t="shared" si="13"/>
        <v>45000</v>
      </c>
      <c r="K101" s="1388"/>
    </row>
    <row r="102" spans="1:11" s="398" customFormat="1" ht="17.25" customHeight="1">
      <c r="A102" s="134" t="s">
        <v>412</v>
      </c>
      <c r="B102" s="1391"/>
      <c r="C102" s="1389"/>
      <c r="D102" s="1389"/>
      <c r="E102" s="1389"/>
      <c r="F102" s="1389"/>
      <c r="G102" s="1389"/>
      <c r="H102" s="1389">
        <v>150000</v>
      </c>
      <c r="I102" s="1390"/>
      <c r="J102" s="1387">
        <f t="shared" si="13"/>
        <v>150000</v>
      </c>
      <c r="K102" s="1388"/>
    </row>
    <row r="103" spans="1:11" s="398" customFormat="1" ht="17.25" customHeight="1">
      <c r="A103" s="134" t="s">
        <v>413</v>
      </c>
      <c r="B103" s="1391"/>
      <c r="C103" s="1389"/>
      <c r="D103" s="1389"/>
      <c r="E103" s="1389"/>
      <c r="F103" s="1389"/>
      <c r="G103" s="1389"/>
      <c r="H103" s="1389">
        <v>65000</v>
      </c>
      <c r="I103" s="1390"/>
      <c r="J103" s="1387">
        <f t="shared" si="13"/>
        <v>65000</v>
      </c>
      <c r="K103" s="1388"/>
    </row>
    <row r="104" spans="1:11" s="398" customFormat="1" ht="17.25" customHeight="1">
      <c r="A104" s="134" t="s">
        <v>414</v>
      </c>
      <c r="B104" s="1391"/>
      <c r="C104" s="1389"/>
      <c r="D104" s="1389"/>
      <c r="E104" s="1389"/>
      <c r="F104" s="1389"/>
      <c r="G104" s="1389"/>
      <c r="H104" s="1389">
        <v>1400000</v>
      </c>
      <c r="I104" s="1390"/>
      <c r="J104" s="1387">
        <f t="shared" si="13"/>
        <v>1400000</v>
      </c>
      <c r="K104" s="1388"/>
    </row>
    <row r="105" spans="1:11" s="398" customFormat="1" ht="17.25" customHeight="1">
      <c r="A105" s="134" t="s">
        <v>415</v>
      </c>
      <c r="B105" s="1391"/>
      <c r="C105" s="1389"/>
      <c r="D105" s="1389"/>
      <c r="E105" s="1389"/>
      <c r="F105" s="1389"/>
      <c r="G105" s="1389"/>
      <c r="H105" s="1389">
        <v>140000</v>
      </c>
      <c r="I105" s="1390"/>
      <c r="J105" s="1387">
        <f t="shared" si="13"/>
        <v>140000</v>
      </c>
      <c r="K105" s="1388"/>
    </row>
    <row r="106" spans="1:11" s="398" customFormat="1" ht="17.25" customHeight="1">
      <c r="A106" s="134" t="s">
        <v>416</v>
      </c>
      <c r="B106" s="1391"/>
      <c r="C106" s="1389"/>
      <c r="D106" s="1389"/>
      <c r="E106" s="1389"/>
      <c r="F106" s="1389"/>
      <c r="G106" s="1389"/>
      <c r="H106" s="1389">
        <v>80000</v>
      </c>
      <c r="I106" s="1390"/>
      <c r="J106" s="1387">
        <f t="shared" si="13"/>
        <v>80000</v>
      </c>
      <c r="K106" s="1388"/>
    </row>
    <row r="107" spans="1:11" s="398" customFormat="1" ht="17.25" customHeight="1">
      <c r="A107" s="134" t="s">
        <v>417</v>
      </c>
      <c r="B107" s="1391"/>
      <c r="C107" s="1389"/>
      <c r="D107" s="1389"/>
      <c r="E107" s="1389"/>
      <c r="F107" s="1389"/>
      <c r="G107" s="1389"/>
      <c r="H107" s="1389">
        <v>130000</v>
      </c>
      <c r="I107" s="1390"/>
      <c r="J107" s="1387">
        <f t="shared" si="13"/>
        <v>130000</v>
      </c>
      <c r="K107" s="1388"/>
    </row>
    <row r="108" spans="1:11" s="398" customFormat="1" ht="17.25" customHeight="1">
      <c r="A108" s="134" t="s">
        <v>418</v>
      </c>
      <c r="B108" s="1391"/>
      <c r="C108" s="1389"/>
      <c r="D108" s="1389"/>
      <c r="E108" s="1389"/>
      <c r="F108" s="1389"/>
      <c r="G108" s="1389"/>
      <c r="H108" s="1389">
        <v>70000</v>
      </c>
      <c r="I108" s="1390"/>
      <c r="J108" s="1387">
        <f t="shared" si="13"/>
        <v>70000</v>
      </c>
      <c r="K108" s="1388"/>
    </row>
    <row r="109" spans="1:11" s="398" customFormat="1" ht="17.25" customHeight="1">
      <c r="A109" s="134" t="s">
        <v>419</v>
      </c>
      <c r="B109" s="1391"/>
      <c r="C109" s="1389"/>
      <c r="D109" s="1389"/>
      <c r="E109" s="1389"/>
      <c r="F109" s="1389"/>
      <c r="G109" s="1389"/>
      <c r="H109" s="1389">
        <v>135000</v>
      </c>
      <c r="I109" s="1390"/>
      <c r="J109" s="1387">
        <f t="shared" si="13"/>
        <v>135000</v>
      </c>
      <c r="K109" s="1388"/>
    </row>
    <row r="110" spans="1:11" s="398" customFormat="1" ht="17.25" customHeight="1" thickBot="1">
      <c r="A110" s="134" t="s">
        <v>420</v>
      </c>
      <c r="B110" s="1391"/>
      <c r="C110" s="1389"/>
      <c r="D110" s="1389"/>
      <c r="E110" s="1389"/>
      <c r="F110" s="1389"/>
      <c r="G110" s="1389"/>
      <c r="H110" s="1389">
        <v>796000</v>
      </c>
      <c r="I110" s="1390"/>
      <c r="J110" s="1387">
        <f t="shared" si="13"/>
        <v>796000</v>
      </c>
      <c r="K110" s="1388"/>
    </row>
    <row r="111" spans="1:11" s="246" customFormat="1" ht="16.5" customHeight="1" thickBot="1">
      <c r="A111" s="438" t="s">
        <v>248</v>
      </c>
      <c r="B111" s="1427">
        <f>SUM(B79:C110)</f>
        <v>7650000</v>
      </c>
      <c r="C111" s="1396"/>
      <c r="D111" s="1396">
        <f>SUM(D78:D110)</f>
        <v>0</v>
      </c>
      <c r="E111" s="1396"/>
      <c r="F111" s="1396">
        <f>SUM(F78:F110)</f>
        <v>0</v>
      </c>
      <c r="G111" s="1396"/>
      <c r="H111" s="1424">
        <f>SUM(H79:I110)</f>
        <v>7612000</v>
      </c>
      <c r="I111" s="1418"/>
      <c r="J111" s="1396">
        <f>SUM(J79:K110)</f>
        <v>15262000</v>
      </c>
      <c r="K111" s="1397"/>
    </row>
    <row r="112" spans="1:10" ht="4.5" customHeight="1" thickBot="1">
      <c r="A112"/>
      <c r="B112"/>
      <c r="C112"/>
      <c r="D112"/>
      <c r="E112"/>
      <c r="F112"/>
      <c r="G112"/>
      <c r="H112"/>
      <c r="I112"/>
      <c r="J112"/>
    </row>
    <row r="113" spans="1:11" s="246" customFormat="1" ht="16.5" customHeight="1" thickBot="1">
      <c r="A113" s="260" t="s">
        <v>61</v>
      </c>
      <c r="B113" s="1396">
        <f>+B111+B75</f>
        <v>16250000</v>
      </c>
      <c r="C113" s="1396"/>
      <c r="D113" s="1396">
        <f>+D111+D75</f>
        <v>0</v>
      </c>
      <c r="E113" s="1396"/>
      <c r="F113" s="1396">
        <f>+F111+F75</f>
        <v>0</v>
      </c>
      <c r="G113" s="1396"/>
      <c r="H113" s="1396">
        <f>+H111+H75</f>
        <v>10420000</v>
      </c>
      <c r="I113" s="1396"/>
      <c r="J113" s="1396">
        <f>+J111+J75</f>
        <v>26670000</v>
      </c>
      <c r="K113" s="1397"/>
    </row>
    <row r="114" spans="1:10" ht="5.25" customHeight="1" thickBot="1">
      <c r="A114"/>
      <c r="B114"/>
      <c r="C114"/>
      <c r="D114"/>
      <c r="E114"/>
      <c r="F114"/>
      <c r="G114"/>
      <c r="H114"/>
      <c r="I114"/>
      <c r="J114"/>
    </row>
    <row r="115" spans="1:10" ht="17.25" customHeight="1" thickBot="1">
      <c r="A115" s="1414" t="s">
        <v>638</v>
      </c>
      <c r="B115" s="1415"/>
      <c r="C115" s="1340"/>
      <c r="D115"/>
      <c r="E115"/>
      <c r="F115"/>
      <c r="G115"/>
      <c r="H115"/>
      <c r="I115"/>
      <c r="J115"/>
    </row>
    <row r="116" spans="1:10" ht="24.75" customHeight="1">
      <c r="A116" s="442" t="s">
        <v>639</v>
      </c>
      <c r="B116" s="1416">
        <v>3000</v>
      </c>
      <c r="C116" s="1417"/>
      <c r="D116"/>
      <c r="E116"/>
      <c r="F116"/>
      <c r="G116"/>
      <c r="H116"/>
      <c r="I116"/>
      <c r="J116"/>
    </row>
    <row r="117" spans="1:10" ht="17.25" customHeight="1">
      <c r="A117" s="439" t="s">
        <v>640</v>
      </c>
      <c r="B117" s="1387">
        <v>1600</v>
      </c>
      <c r="C117" s="1388"/>
      <c r="D117"/>
      <c r="E117"/>
      <c r="F117"/>
      <c r="G117"/>
      <c r="H117"/>
      <c r="I117"/>
      <c r="J117"/>
    </row>
    <row r="118" spans="1:10" ht="17.25" customHeight="1">
      <c r="A118" s="439" t="s">
        <v>641</v>
      </c>
      <c r="B118" s="1387">
        <v>900</v>
      </c>
      <c r="C118" s="1388"/>
      <c r="D118"/>
      <c r="E118"/>
      <c r="F118"/>
      <c r="G118"/>
      <c r="H118"/>
      <c r="I118"/>
      <c r="J118"/>
    </row>
    <row r="119" spans="1:10" ht="17.25" customHeight="1">
      <c r="A119" s="439" t="s">
        <v>642</v>
      </c>
      <c r="B119" s="1387">
        <v>700</v>
      </c>
      <c r="C119" s="1388"/>
      <c r="D119"/>
      <c r="E119"/>
      <c r="F119"/>
      <c r="G119"/>
      <c r="H119"/>
      <c r="I119"/>
      <c r="J119"/>
    </row>
    <row r="120" spans="1:10" ht="17.25" customHeight="1" thickBot="1">
      <c r="A120" s="440" t="s">
        <v>643</v>
      </c>
      <c r="B120" s="1412">
        <v>800</v>
      </c>
      <c r="C120" s="1413"/>
      <c r="D120"/>
      <c r="E120"/>
      <c r="F120"/>
      <c r="G120"/>
      <c r="H120"/>
      <c r="I120"/>
      <c r="J120"/>
    </row>
    <row r="121" spans="1:10" ht="17.25" customHeight="1" thickBot="1">
      <c r="A121" s="441" t="s">
        <v>4</v>
      </c>
      <c r="B121" s="1396">
        <f>SUM(B116:B120)</f>
        <v>7000</v>
      </c>
      <c r="C121" s="1397"/>
      <c r="D121"/>
      <c r="E121"/>
      <c r="F121"/>
      <c r="G121"/>
      <c r="H121"/>
      <c r="I121"/>
      <c r="J121"/>
    </row>
    <row r="122" spans="1:10" ht="13.5" customHeight="1" thickBot="1">
      <c r="A122"/>
      <c r="B122"/>
      <c r="C122"/>
      <c r="D122"/>
      <c r="E122"/>
      <c r="F122"/>
      <c r="G122"/>
      <c r="H122"/>
      <c r="I122"/>
      <c r="J122"/>
    </row>
    <row r="123" spans="1:14" ht="12.75">
      <c r="A123" s="1308" t="s">
        <v>62</v>
      </c>
      <c r="B123" s="1311" t="s">
        <v>302</v>
      </c>
      <c r="C123" s="1314" t="s">
        <v>301</v>
      </c>
      <c r="D123" s="1410"/>
      <c r="E123" s="1410"/>
      <c r="F123" s="1410"/>
      <c r="G123" s="1410"/>
      <c r="H123" s="1411"/>
      <c r="I123" s="1405" t="s">
        <v>304</v>
      </c>
      <c r="K123" s="142"/>
      <c r="L123" s="142"/>
      <c r="M123" s="142"/>
      <c r="N123" s="142"/>
    </row>
    <row r="124" spans="1:14" ht="12.75">
      <c r="A124" s="1309"/>
      <c r="B124" s="1408"/>
      <c r="C124" s="1316" t="s">
        <v>45</v>
      </c>
      <c r="D124" s="1398" t="s">
        <v>63</v>
      </c>
      <c r="E124" s="1399"/>
      <c r="F124" s="1399"/>
      <c r="G124" s="1399"/>
      <c r="H124" s="1399"/>
      <c r="I124" s="1406"/>
      <c r="K124" s="142"/>
      <c r="L124" s="142"/>
      <c r="M124" s="142"/>
      <c r="N124" s="142"/>
    </row>
    <row r="125" spans="1:14" ht="13.5" thickBot="1">
      <c r="A125" s="1310"/>
      <c r="B125" s="1409"/>
      <c r="C125" s="1317"/>
      <c r="D125" s="315">
        <v>1</v>
      </c>
      <c r="E125" s="315">
        <v>2</v>
      </c>
      <c r="F125" s="315">
        <v>3</v>
      </c>
      <c r="G125" s="315">
        <v>4</v>
      </c>
      <c r="H125" s="412">
        <v>5</v>
      </c>
      <c r="I125" s="1407"/>
      <c r="K125" s="142"/>
      <c r="L125" s="142"/>
      <c r="M125" s="142"/>
      <c r="N125" s="142"/>
    </row>
    <row r="126" spans="1:14" ht="13.5" thickBot="1">
      <c r="A126" s="316">
        <v>36852</v>
      </c>
      <c r="B126" s="244">
        <v>5189</v>
      </c>
      <c r="C126" s="317">
        <f>SUM(D126:H126)</f>
        <v>3000</v>
      </c>
      <c r="D126" s="244">
        <v>994</v>
      </c>
      <c r="E126" s="244">
        <v>1944</v>
      </c>
      <c r="F126" s="244">
        <v>6</v>
      </c>
      <c r="G126" s="244">
        <v>9</v>
      </c>
      <c r="H126" s="413">
        <v>47</v>
      </c>
      <c r="I126" s="245">
        <f>SUM(A126-B126-C126)</f>
        <v>28663</v>
      </c>
      <c r="K126" s="142"/>
      <c r="L126" s="142"/>
      <c r="M126" s="142"/>
      <c r="N126" s="142"/>
    </row>
    <row r="127" spans="1:14" ht="12.75">
      <c r="A127" s="388"/>
      <c r="B127" s="389"/>
      <c r="C127" s="389"/>
      <c r="D127" s="389"/>
      <c r="E127" s="389"/>
      <c r="F127" s="389"/>
      <c r="G127" s="389"/>
      <c r="H127" s="389"/>
      <c r="I127" s="389"/>
      <c r="K127" s="142"/>
      <c r="L127" s="142"/>
      <c r="M127" s="142"/>
      <c r="N127" s="142"/>
    </row>
    <row r="128" spans="1:14" ht="17.25" customHeight="1" thickBot="1">
      <c r="A128" s="102" t="s">
        <v>218</v>
      </c>
      <c r="E128" s="194"/>
      <c r="F128" s="194"/>
      <c r="G128" s="194"/>
      <c r="H128" s="194"/>
      <c r="K128" s="142"/>
      <c r="L128" s="142"/>
      <c r="M128" s="142"/>
      <c r="N128" s="142"/>
    </row>
    <row r="129" spans="1:12" ht="17.25" customHeight="1">
      <c r="A129" s="1296" t="s">
        <v>64</v>
      </c>
      <c r="B129" s="1298" t="s">
        <v>296</v>
      </c>
      <c r="C129" s="1285" t="s">
        <v>294</v>
      </c>
      <c r="D129" s="1286"/>
      <c r="E129" s="1286"/>
      <c r="F129" s="1287"/>
      <c r="G129" s="1300" t="s">
        <v>295</v>
      </c>
      <c r="H129" s="1283" t="s">
        <v>65</v>
      </c>
      <c r="I129" s="1285" t="s">
        <v>299</v>
      </c>
      <c r="J129" s="1286"/>
      <c r="K129" s="1286"/>
      <c r="L129" s="1287"/>
    </row>
    <row r="130" spans="1:12" ht="20.25" customHeight="1" thickBot="1">
      <c r="A130" s="1297"/>
      <c r="B130" s="1299"/>
      <c r="C130" s="26" t="s">
        <v>150</v>
      </c>
      <c r="D130" s="27" t="s">
        <v>66</v>
      </c>
      <c r="E130" s="27" t="s">
        <v>67</v>
      </c>
      <c r="F130" s="28" t="s">
        <v>151</v>
      </c>
      <c r="G130" s="1284"/>
      <c r="H130" s="1284"/>
      <c r="I130" s="49" t="s">
        <v>297</v>
      </c>
      <c r="J130" s="27" t="s">
        <v>66</v>
      </c>
      <c r="K130" s="27" t="s">
        <v>67</v>
      </c>
      <c r="L130" s="28" t="s">
        <v>298</v>
      </c>
    </row>
    <row r="131" spans="1:14" ht="12.75">
      <c r="A131" s="198" t="s">
        <v>68</v>
      </c>
      <c r="B131" s="201">
        <v>20984.8</v>
      </c>
      <c r="C131" s="520" t="s">
        <v>69</v>
      </c>
      <c r="D131" s="471" t="s">
        <v>69</v>
      </c>
      <c r="E131" s="471" t="s">
        <v>69</v>
      </c>
      <c r="F131" s="321" t="s">
        <v>69</v>
      </c>
      <c r="G131" s="201">
        <v>39741.67</v>
      </c>
      <c r="H131" s="1076" t="s">
        <v>69</v>
      </c>
      <c r="I131" s="199" t="s">
        <v>69</v>
      </c>
      <c r="J131" s="199" t="s">
        <v>69</v>
      </c>
      <c r="K131" s="199" t="s">
        <v>69</v>
      </c>
      <c r="L131" s="200" t="s">
        <v>69</v>
      </c>
      <c r="M131" s="142"/>
      <c r="N131" s="142"/>
    </row>
    <row r="132" spans="1:14" ht="12.75">
      <c r="A132" s="203" t="s">
        <v>70</v>
      </c>
      <c r="B132" s="206">
        <v>1197.56</v>
      </c>
      <c r="C132" s="521">
        <v>1198</v>
      </c>
      <c r="D132" s="30"/>
      <c r="E132" s="30">
        <v>510</v>
      </c>
      <c r="F132" s="205">
        <f>+C132+D132-E132</f>
        <v>688</v>
      </c>
      <c r="G132" s="206">
        <v>6680.01</v>
      </c>
      <c r="H132" s="206">
        <f>+G132-F132</f>
        <v>5992.01</v>
      </c>
      <c r="I132" s="30">
        <f>+F132</f>
        <v>688</v>
      </c>
      <c r="J132" s="30"/>
      <c r="K132" s="30">
        <v>500</v>
      </c>
      <c r="L132" s="205">
        <f>+I132+J132-K132</f>
        <v>188</v>
      </c>
      <c r="M132" s="142"/>
      <c r="N132" s="142"/>
    </row>
    <row r="133" spans="1:14" ht="12.75">
      <c r="A133" s="203" t="s">
        <v>71</v>
      </c>
      <c r="B133" s="206">
        <v>1850.57</v>
      </c>
      <c r="C133" s="521">
        <f>+K139</f>
        <v>2713</v>
      </c>
      <c r="D133" s="30">
        <f>+K141</f>
        <v>939</v>
      </c>
      <c r="E133" s="30">
        <f>+K148</f>
        <v>566</v>
      </c>
      <c r="F133" s="205">
        <f>+C133+D133-E133</f>
        <v>3086</v>
      </c>
      <c r="G133" s="206">
        <v>1996.15</v>
      </c>
      <c r="H133" s="1077">
        <f>+G133-F133</f>
        <v>-1089.85</v>
      </c>
      <c r="I133" s="30">
        <f>+L139</f>
        <v>3086</v>
      </c>
      <c r="J133" s="30">
        <f>+L141</f>
        <v>680</v>
      </c>
      <c r="K133" s="30">
        <f>+L148</f>
        <v>2000</v>
      </c>
      <c r="L133" s="205">
        <f>+I133+J133-K133</f>
        <v>1766</v>
      </c>
      <c r="M133" s="142"/>
      <c r="N133" s="142"/>
    </row>
    <row r="134" spans="1:14" ht="12.75">
      <c r="A134" s="203" t="s">
        <v>72</v>
      </c>
      <c r="B134" s="206">
        <v>-22010.78</v>
      </c>
      <c r="C134" s="520" t="s">
        <v>69</v>
      </c>
      <c r="D134" s="319" t="s">
        <v>69</v>
      </c>
      <c r="E134" s="319" t="s">
        <v>69</v>
      </c>
      <c r="F134" s="321" t="s">
        <v>69</v>
      </c>
      <c r="G134" s="206">
        <f>+G131-G132-G133-G135</f>
        <v>-6826.300000000003</v>
      </c>
      <c r="H134" s="1075" t="s">
        <v>69</v>
      </c>
      <c r="I134" s="519" t="s">
        <v>69</v>
      </c>
      <c r="J134" s="319" t="s">
        <v>69</v>
      </c>
      <c r="K134" s="319" t="s">
        <v>69</v>
      </c>
      <c r="L134" s="321" t="s">
        <v>69</v>
      </c>
      <c r="M134" s="142"/>
      <c r="N134" s="142"/>
    </row>
    <row r="135" spans="1:14" ht="12.75">
      <c r="A135" s="203" t="s">
        <v>73</v>
      </c>
      <c r="B135" s="206">
        <v>39947.45</v>
      </c>
      <c r="C135" s="521">
        <f>+D139</f>
        <v>40118.2954</v>
      </c>
      <c r="D135" s="30">
        <f>+D141</f>
        <v>16436</v>
      </c>
      <c r="E135" s="30">
        <f>+D148</f>
        <v>18662</v>
      </c>
      <c r="F135" s="205">
        <f>+D157</f>
        <v>37892.2954</v>
      </c>
      <c r="G135" s="206">
        <v>37891.81</v>
      </c>
      <c r="H135" s="206">
        <f>+G135-F135</f>
        <v>-0.48540000000502914</v>
      </c>
      <c r="I135" s="210">
        <f>+F135</f>
        <v>37892.2954</v>
      </c>
      <c r="J135" s="210">
        <f>+E141</f>
        <v>29670</v>
      </c>
      <c r="K135" s="210">
        <f>+E148</f>
        <v>26670</v>
      </c>
      <c r="L135" s="205">
        <f>+I135+J135-K135</f>
        <v>40892.2954</v>
      </c>
      <c r="M135" s="142"/>
      <c r="N135" s="142"/>
    </row>
    <row r="136" spans="1:14" ht="14.25" customHeight="1" thickBot="1">
      <c r="A136" s="211" t="s">
        <v>74</v>
      </c>
      <c r="B136" s="214">
        <v>884.28</v>
      </c>
      <c r="C136" s="522">
        <v>687</v>
      </c>
      <c r="D136" s="139">
        <v>3220</v>
      </c>
      <c r="E136" s="139">
        <v>2518</v>
      </c>
      <c r="F136" s="213">
        <f>+C136+D136-E136</f>
        <v>1389</v>
      </c>
      <c r="G136" s="214">
        <v>1554.89</v>
      </c>
      <c r="H136" s="214">
        <f>+G136-F136</f>
        <v>165.8900000000001</v>
      </c>
      <c r="I136" s="139">
        <f>+F136</f>
        <v>1389</v>
      </c>
      <c r="J136" s="139">
        <v>3443</v>
      </c>
      <c r="K136" s="139">
        <v>3000</v>
      </c>
      <c r="L136" s="213">
        <f>+I136+J136-K136</f>
        <v>1832</v>
      </c>
      <c r="M136" s="142"/>
      <c r="N136" s="142"/>
    </row>
    <row r="137" spans="1:14" ht="7.5" customHeight="1" thickBot="1">
      <c r="A137" s="21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142"/>
      <c r="N137" s="142"/>
    </row>
    <row r="138" spans="1:12" s="15" customFormat="1" ht="20.25" customHeight="1" thickBot="1">
      <c r="A138" s="247" t="s">
        <v>75</v>
      </c>
      <c r="B138" s="248">
        <v>2004</v>
      </c>
      <c r="C138" s="401">
        <v>2005</v>
      </c>
      <c r="D138" s="401">
        <v>2006</v>
      </c>
      <c r="E138" s="249">
        <v>2007</v>
      </c>
      <c r="F138" s="1431" t="s">
        <v>76</v>
      </c>
      <c r="G138" s="1432"/>
      <c r="H138" s="1433"/>
      <c r="I138" s="248">
        <v>2004</v>
      </c>
      <c r="J138" s="401">
        <v>2005</v>
      </c>
      <c r="K138" s="401">
        <v>2006</v>
      </c>
      <c r="L138" s="249">
        <v>2007</v>
      </c>
    </row>
    <row r="139" spans="1:12" ht="12.75">
      <c r="A139" s="33" t="s">
        <v>77</v>
      </c>
      <c r="B139" s="34">
        <v>49540</v>
      </c>
      <c r="C139" s="108">
        <f>+B157</f>
        <v>49953</v>
      </c>
      <c r="D139" s="108">
        <f>+C157</f>
        <v>40118.2954</v>
      </c>
      <c r="E139" s="35">
        <f>+D157</f>
        <v>37892.2954</v>
      </c>
      <c r="F139" s="1400" t="s">
        <v>78</v>
      </c>
      <c r="G139" s="1193"/>
      <c r="H139" s="1401"/>
      <c r="I139" s="34">
        <v>2451</v>
      </c>
      <c r="J139" s="108">
        <f>+I157</f>
        <v>2608</v>
      </c>
      <c r="K139" s="108">
        <f>+J157</f>
        <v>2713</v>
      </c>
      <c r="L139" s="35">
        <f>+K157</f>
        <v>3086</v>
      </c>
    </row>
    <row r="140" spans="1:12" ht="12.75">
      <c r="A140" s="33"/>
      <c r="B140" s="34"/>
      <c r="C140" s="108"/>
      <c r="D140" s="108"/>
      <c r="E140" s="35"/>
      <c r="F140" s="1280"/>
      <c r="G140" s="1394"/>
      <c r="H140" s="1395"/>
      <c r="I140" s="34"/>
      <c r="J140" s="108"/>
      <c r="K140" s="108"/>
      <c r="L140" s="35"/>
    </row>
    <row r="141" spans="1:12" ht="12.75">
      <c r="A141" s="381" t="s">
        <v>66</v>
      </c>
      <c r="B141" s="382">
        <f>+B142+B143+B145+B146+B147</f>
        <v>24826</v>
      </c>
      <c r="C141" s="383">
        <f>+C142+C143+C146</f>
        <v>33163</v>
      </c>
      <c r="D141" s="383">
        <f>SUM(D142:D147)</f>
        <v>16436</v>
      </c>
      <c r="E141" s="383">
        <f>SUM(E142:E147)</f>
        <v>29670</v>
      </c>
      <c r="F141" s="1274" t="s">
        <v>66</v>
      </c>
      <c r="G141" s="1392"/>
      <c r="H141" s="1393"/>
      <c r="I141" s="382">
        <f>+I142+I143</f>
        <v>1140</v>
      </c>
      <c r="J141" s="383">
        <f>+J142+J143</f>
        <v>644</v>
      </c>
      <c r="K141" s="383">
        <f>SUM(K142:K147)</f>
        <v>939</v>
      </c>
      <c r="L141" s="384">
        <f>SUM(L142:L147)</f>
        <v>680</v>
      </c>
    </row>
    <row r="142" spans="1:12" ht="12.75">
      <c r="A142" s="36" t="s">
        <v>79</v>
      </c>
      <c r="B142" s="30">
        <v>1840</v>
      </c>
      <c r="C142" s="204">
        <v>968</v>
      </c>
      <c r="D142" s="204">
        <v>2346</v>
      </c>
      <c r="E142" s="205">
        <v>3000</v>
      </c>
      <c r="F142" s="635" t="s">
        <v>80</v>
      </c>
      <c r="G142" s="636"/>
      <c r="H142" s="636"/>
      <c r="I142" s="30">
        <v>402</v>
      </c>
      <c r="J142" s="204">
        <v>71</v>
      </c>
      <c r="K142" s="204">
        <v>146</v>
      </c>
      <c r="L142" s="205">
        <v>180</v>
      </c>
    </row>
    <row r="143" spans="1:12" ht="12.75">
      <c r="A143" s="36" t="s">
        <v>240</v>
      </c>
      <c r="B143" s="30">
        <v>22786</v>
      </c>
      <c r="C143" s="204">
        <v>31895</v>
      </c>
      <c r="D143" s="204">
        <v>11989</v>
      </c>
      <c r="E143" s="205">
        <v>16250</v>
      </c>
      <c r="F143" s="1251" t="s">
        <v>81</v>
      </c>
      <c r="G143" s="1392"/>
      <c r="H143" s="1393"/>
      <c r="I143" s="30">
        <v>738</v>
      </c>
      <c r="J143" s="204">
        <v>573</v>
      </c>
      <c r="K143" s="204">
        <v>793</v>
      </c>
      <c r="L143" s="205">
        <v>500</v>
      </c>
    </row>
    <row r="144" spans="1:12" ht="12.75">
      <c r="A144" s="36" t="s">
        <v>425</v>
      </c>
      <c r="B144" s="30"/>
      <c r="C144" s="204"/>
      <c r="D144" s="204">
        <v>0</v>
      </c>
      <c r="E144" s="205">
        <f>+H113/1000</f>
        <v>10420</v>
      </c>
      <c r="F144" s="1402"/>
      <c r="G144" s="1403"/>
      <c r="H144" s="1404"/>
      <c r="I144" s="30"/>
      <c r="J144" s="204"/>
      <c r="K144" s="204"/>
      <c r="L144" s="205"/>
    </row>
    <row r="145" spans="1:12" ht="12.75">
      <c r="A145" s="36" t="s">
        <v>82</v>
      </c>
      <c r="B145" s="30"/>
      <c r="C145" s="204"/>
      <c r="D145" s="204"/>
      <c r="E145" s="205"/>
      <c r="F145" s="1251"/>
      <c r="G145" s="1392"/>
      <c r="H145" s="1393"/>
      <c r="I145" s="30"/>
      <c r="J145" s="204"/>
      <c r="K145" s="204"/>
      <c r="L145" s="205"/>
    </row>
    <row r="146" spans="1:12" ht="12.75">
      <c r="A146" s="36" t="s">
        <v>81</v>
      </c>
      <c r="B146" s="30">
        <v>200</v>
      </c>
      <c r="C146" s="204">
        <v>300</v>
      </c>
      <c r="D146" s="204">
        <v>2101</v>
      </c>
      <c r="E146" s="205"/>
      <c r="F146" s="1251"/>
      <c r="G146" s="1392"/>
      <c r="H146" s="1393"/>
      <c r="I146" s="30"/>
      <c r="J146" s="204"/>
      <c r="K146" s="204"/>
      <c r="L146" s="205"/>
    </row>
    <row r="147" spans="1:12" ht="12.75">
      <c r="A147" s="37" t="s">
        <v>83</v>
      </c>
      <c r="B147" s="30"/>
      <c r="C147" s="204"/>
      <c r="D147" s="204"/>
      <c r="E147" s="205"/>
      <c r="F147" s="1280"/>
      <c r="G147" s="1394"/>
      <c r="H147" s="1395"/>
      <c r="I147" s="30"/>
      <c r="J147" s="204"/>
      <c r="K147" s="204"/>
      <c r="L147" s="205"/>
    </row>
    <row r="148" spans="1:12" ht="12.75">
      <c r="A148" s="381" t="s">
        <v>67</v>
      </c>
      <c r="B148" s="382">
        <f>SUM(B150:B156)</f>
        <v>24413</v>
      </c>
      <c r="C148" s="383">
        <f>SUM(C149:C156)</f>
        <v>42997.7046</v>
      </c>
      <c r="D148" s="383">
        <f>SUM(D149:D156)</f>
        <v>18662</v>
      </c>
      <c r="E148" s="383">
        <f>SUM(E149:E156)</f>
        <v>26670</v>
      </c>
      <c r="F148" s="1274" t="s">
        <v>67</v>
      </c>
      <c r="G148" s="1392"/>
      <c r="H148" s="1393"/>
      <c r="I148" s="382">
        <f>+I150+I151+I154+I155+I156</f>
        <v>983</v>
      </c>
      <c r="J148" s="382">
        <f>+J150+J151+J154+J155+J156</f>
        <v>539</v>
      </c>
      <c r="K148" s="383">
        <f>+K150+K151+K154+K155+K156</f>
        <v>566</v>
      </c>
      <c r="L148" s="384">
        <f>SUM(L149:L156)</f>
        <v>2000</v>
      </c>
    </row>
    <row r="149" spans="1:12" ht="12.75">
      <c r="A149" s="36" t="s">
        <v>169</v>
      </c>
      <c r="B149" s="30"/>
      <c r="C149" s="204">
        <v>2645</v>
      </c>
      <c r="D149" s="204"/>
      <c r="E149" s="205"/>
      <c r="F149" s="1251"/>
      <c r="G149" s="1392"/>
      <c r="H149" s="1393"/>
      <c r="I149" s="30"/>
      <c r="J149" s="204"/>
      <c r="K149" s="204"/>
      <c r="L149" s="205"/>
    </row>
    <row r="150" spans="1:12" ht="12.75">
      <c r="A150" s="36" t="s">
        <v>244</v>
      </c>
      <c r="B150" s="30">
        <v>18464</v>
      </c>
      <c r="C150" s="204">
        <f>4924.9726-169.898</f>
        <v>4755.0746</v>
      </c>
      <c r="D150" s="204">
        <v>14260</v>
      </c>
      <c r="E150" s="205">
        <v>7650</v>
      </c>
      <c r="F150" s="1251" t="s">
        <v>84</v>
      </c>
      <c r="G150" s="1392"/>
      <c r="H150" s="1393"/>
      <c r="I150" s="30">
        <v>983</v>
      </c>
      <c r="J150" s="204">
        <v>539</v>
      </c>
      <c r="K150" s="204">
        <v>566</v>
      </c>
      <c r="L150" s="205">
        <v>500</v>
      </c>
    </row>
    <row r="151" spans="1:12" ht="12.75">
      <c r="A151" s="36" t="s">
        <v>241</v>
      </c>
      <c r="B151" s="30">
        <v>3843</v>
      </c>
      <c r="C151" s="204">
        <v>6970.63</v>
      </c>
      <c r="D151" s="204" t="s">
        <v>426</v>
      </c>
      <c r="E151" s="205">
        <v>8600</v>
      </c>
      <c r="F151" s="1251"/>
      <c r="G151" s="1392"/>
      <c r="H151" s="1393"/>
      <c r="I151" s="30"/>
      <c r="J151" s="204"/>
      <c r="K151" s="204"/>
      <c r="L151" s="205"/>
    </row>
    <row r="152" spans="1:12" ht="12.75">
      <c r="A152" s="36" t="s">
        <v>423</v>
      </c>
      <c r="B152" s="30"/>
      <c r="C152" s="204"/>
      <c r="D152" s="204"/>
      <c r="E152" s="205">
        <v>7612</v>
      </c>
      <c r="F152" s="1251"/>
      <c r="G152" s="1392"/>
      <c r="H152" s="1393"/>
      <c r="I152" s="30"/>
      <c r="J152" s="204"/>
      <c r="K152" s="204"/>
      <c r="L152" s="205"/>
    </row>
    <row r="153" spans="1:12" ht="12.75">
      <c r="A153" s="36" t="s">
        <v>424</v>
      </c>
      <c r="B153" s="30"/>
      <c r="C153" s="204"/>
      <c r="D153" s="204"/>
      <c r="E153" s="205">
        <v>2808</v>
      </c>
      <c r="F153" s="1251"/>
      <c r="G153" s="1392"/>
      <c r="H153" s="1393"/>
      <c r="I153" s="30"/>
      <c r="J153" s="204"/>
      <c r="K153" s="204"/>
      <c r="L153" s="205"/>
    </row>
    <row r="154" spans="1:12" ht="12.75">
      <c r="A154" s="36" t="s">
        <v>249</v>
      </c>
      <c r="B154" s="30">
        <v>906</v>
      </c>
      <c r="C154" s="204">
        <v>1121</v>
      </c>
      <c r="D154" s="204">
        <v>702</v>
      </c>
      <c r="E154" s="205"/>
      <c r="F154" s="1251"/>
      <c r="G154" s="1392"/>
      <c r="H154" s="1393"/>
      <c r="I154" s="30"/>
      <c r="J154" s="204"/>
      <c r="K154" s="204"/>
      <c r="L154" s="205"/>
    </row>
    <row r="155" spans="1:12" ht="12.75">
      <c r="A155" s="36" t="s">
        <v>253</v>
      </c>
      <c r="B155" s="30">
        <v>1200</v>
      </c>
      <c r="C155" s="204">
        <v>7506</v>
      </c>
      <c r="D155" s="204"/>
      <c r="E155" s="205"/>
      <c r="F155" s="1251" t="s">
        <v>85</v>
      </c>
      <c r="G155" s="1392"/>
      <c r="H155" s="1393"/>
      <c r="I155" s="30"/>
      <c r="J155" s="204"/>
      <c r="K155" s="204"/>
      <c r="L155" s="205"/>
    </row>
    <row r="156" spans="1:12" ht="12.75">
      <c r="A156" s="36" t="s">
        <v>250</v>
      </c>
      <c r="B156" s="30"/>
      <c r="C156" s="204">
        <v>20000</v>
      </c>
      <c r="D156" s="204">
        <v>3700</v>
      </c>
      <c r="E156" s="205"/>
      <c r="F156" s="1251"/>
      <c r="G156" s="1392"/>
      <c r="H156" s="1393"/>
      <c r="I156" s="30"/>
      <c r="J156" s="204"/>
      <c r="K156" s="204"/>
      <c r="L156" s="205">
        <v>1500</v>
      </c>
    </row>
    <row r="157" spans="1:12" ht="13.5" thickBot="1">
      <c r="A157" s="385" t="s">
        <v>86</v>
      </c>
      <c r="B157" s="62">
        <f>+B139+B141-B148</f>
        <v>49953</v>
      </c>
      <c r="C157" s="386">
        <f>+C139+C141-C148</f>
        <v>40118.2954</v>
      </c>
      <c r="D157" s="386">
        <f>+D139+D141-D148</f>
        <v>37892.2954</v>
      </c>
      <c r="E157" s="386">
        <f>+E139+E141-E148</f>
        <v>40892.2954</v>
      </c>
      <c r="F157" s="1277" t="s">
        <v>86</v>
      </c>
      <c r="G157" s="1461"/>
      <c r="H157" s="1345"/>
      <c r="I157" s="62">
        <f>+I139+I141-I148</f>
        <v>2608</v>
      </c>
      <c r="J157" s="386">
        <f>+J139+J141-J148</f>
        <v>2713</v>
      </c>
      <c r="K157" s="386">
        <f>+K139+K141-K148</f>
        <v>3086</v>
      </c>
      <c r="L157" s="387">
        <f>+L139+L141-L148</f>
        <v>1766</v>
      </c>
    </row>
    <row r="158" spans="1:14" ht="12.75">
      <c r="A158" s="216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142"/>
      <c r="N158" s="142"/>
    </row>
    <row r="159" spans="1:14" ht="12.75">
      <c r="A159" s="216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142"/>
      <c r="N159" s="142"/>
    </row>
    <row r="160" spans="1:14" ht="16.5" thickBot="1">
      <c r="A160" s="102" t="s">
        <v>306</v>
      </c>
      <c r="E160" s="194"/>
      <c r="F160" s="194"/>
      <c r="G160" s="194"/>
      <c r="H160" s="194"/>
      <c r="K160" s="142"/>
      <c r="L160" s="142"/>
      <c r="M160" s="142"/>
      <c r="N160" s="142"/>
    </row>
    <row r="161" spans="1:14" ht="12.75">
      <c r="A161" s="1258" t="s">
        <v>305</v>
      </c>
      <c r="B161" s="1260" t="s">
        <v>4</v>
      </c>
      <c r="C161" s="1260" t="s">
        <v>186</v>
      </c>
      <c r="D161" s="1262"/>
      <c r="E161" s="1262"/>
      <c r="F161" s="1262"/>
      <c r="G161" s="1262"/>
      <c r="H161" s="1263"/>
      <c r="I161" s="38"/>
      <c r="J161"/>
      <c r="M161" s="142"/>
      <c r="N161" s="142"/>
    </row>
    <row r="162" spans="1:14" ht="13.5" thickBot="1">
      <c r="A162" s="1259"/>
      <c r="B162" s="1261"/>
      <c r="C162" s="64" t="s">
        <v>87</v>
      </c>
      <c r="D162" s="65" t="s">
        <v>88</v>
      </c>
      <c r="E162" s="65" t="s">
        <v>89</v>
      </c>
      <c r="F162" s="65" t="s">
        <v>90</v>
      </c>
      <c r="G162" s="472" t="s">
        <v>91</v>
      </c>
      <c r="H162" s="473" t="s">
        <v>45</v>
      </c>
      <c r="I162" s="38"/>
      <c r="J162"/>
      <c r="M162" s="142"/>
      <c r="N162" s="142"/>
    </row>
    <row r="163" spans="1:14" ht="12.75">
      <c r="A163" s="528" t="s">
        <v>92</v>
      </c>
      <c r="B163" s="108">
        <v>44677</v>
      </c>
      <c r="C163" s="529">
        <v>26</v>
      </c>
      <c r="D163" s="530">
        <v>48</v>
      </c>
      <c r="E163" s="530">
        <v>2</v>
      </c>
      <c r="F163" s="530">
        <v>93</v>
      </c>
      <c r="G163" s="530">
        <v>80</v>
      </c>
      <c r="H163" s="531">
        <v>249</v>
      </c>
      <c r="I163" s="38"/>
      <c r="J163"/>
      <c r="M163" s="142"/>
      <c r="N163" s="142"/>
    </row>
    <row r="164" spans="1:14" ht="13.5" thickBot="1">
      <c r="A164" s="416" t="s">
        <v>137</v>
      </c>
      <c r="B164" s="109">
        <v>32603</v>
      </c>
      <c r="C164" s="526">
        <v>10096</v>
      </c>
      <c r="D164" s="220">
        <v>13698</v>
      </c>
      <c r="E164" s="220">
        <v>385</v>
      </c>
      <c r="F164" s="220">
        <v>1</v>
      </c>
      <c r="G164" s="220"/>
      <c r="H164" s="527">
        <f>SUM(C164:G164)</f>
        <v>24180</v>
      </c>
      <c r="I164" s="38"/>
      <c r="J164"/>
      <c r="M164" s="142"/>
      <c r="N164" s="142"/>
    </row>
    <row r="165" spans="1:14" ht="12.75">
      <c r="A165" s="453"/>
      <c r="B165" s="38"/>
      <c r="C165" s="454"/>
      <c r="D165" s="454"/>
      <c r="E165" s="454"/>
      <c r="F165" s="454"/>
      <c r="G165" s="454"/>
      <c r="H165" s="455"/>
      <c r="I165" s="38"/>
      <c r="J165"/>
      <c r="M165" s="142"/>
      <c r="N165" s="142"/>
    </row>
    <row r="166" spans="1:10" ht="16.5" thickBot="1">
      <c r="A166" s="102" t="s">
        <v>255</v>
      </c>
      <c r="B166" s="444"/>
      <c r="C166"/>
      <c r="D166"/>
      <c r="E166"/>
      <c r="F166"/>
      <c r="G166"/>
      <c r="H166"/>
      <c r="I166"/>
      <c r="J166"/>
    </row>
    <row r="167" spans="1:13" ht="13.5" thickBot="1">
      <c r="A167" s="1268" t="s">
        <v>93</v>
      </c>
      <c r="B167" s="1429" t="s">
        <v>94</v>
      </c>
      <c r="C167" s="1339"/>
      <c r="D167" s="1339"/>
      <c r="E167" s="1339"/>
      <c r="F167" s="1339"/>
      <c r="G167" s="1430" t="s">
        <v>95</v>
      </c>
      <c r="H167" s="1339"/>
      <c r="I167" s="1339"/>
      <c r="J167" s="1339"/>
      <c r="K167" s="1340"/>
      <c r="L167" s="142"/>
      <c r="M167" s="142"/>
    </row>
    <row r="168" spans="1:13" ht="13.5" thickBot="1">
      <c r="A168" s="1428"/>
      <c r="B168" s="637">
        <v>2003</v>
      </c>
      <c r="C168" s="25">
        <v>2004</v>
      </c>
      <c r="D168" s="56">
        <v>2005</v>
      </c>
      <c r="E168" s="445">
        <v>2006</v>
      </c>
      <c r="F168" s="446" t="s">
        <v>7</v>
      </c>
      <c r="G168" s="111">
        <v>2003</v>
      </c>
      <c r="H168" s="25">
        <v>2004</v>
      </c>
      <c r="I168" s="56">
        <v>2005</v>
      </c>
      <c r="J168" s="39">
        <v>2006</v>
      </c>
      <c r="K168" s="40" t="s">
        <v>7</v>
      </c>
      <c r="L168" s="142"/>
      <c r="M168" s="142"/>
    </row>
    <row r="169" spans="1:13" ht="12.75">
      <c r="A169" s="730" t="s">
        <v>96</v>
      </c>
      <c r="B169" s="727">
        <v>80</v>
      </c>
      <c r="C169" s="221">
        <v>80</v>
      </c>
      <c r="D169" s="619">
        <v>80</v>
      </c>
      <c r="E169" s="559">
        <v>80</v>
      </c>
      <c r="F169" s="448">
        <f aca="true" t="shared" si="14" ref="F169:F187">+E169-D169</f>
        <v>0</v>
      </c>
      <c r="G169" s="323">
        <v>82.2</v>
      </c>
      <c r="H169" s="566">
        <f>0.871960382513661*100</f>
        <v>87.19603825136612</v>
      </c>
      <c r="I169" s="106">
        <f>((6*78.63)+(74*88.03))/80</f>
        <v>87.325</v>
      </c>
      <c r="J169" s="623">
        <v>84.63</v>
      </c>
      <c r="K169" s="222">
        <f aca="true" t="shared" si="15" ref="K169:K187">+J169-I169</f>
        <v>-2.6950000000000074</v>
      </c>
      <c r="L169" s="142"/>
      <c r="M169" s="142"/>
    </row>
    <row r="170" spans="1:13" ht="12.75">
      <c r="A170" s="730" t="s">
        <v>97</v>
      </c>
      <c r="B170" s="728"/>
      <c r="C170" s="223"/>
      <c r="D170" s="620"/>
      <c r="E170" s="560"/>
      <c r="F170" s="448">
        <f t="shared" si="14"/>
        <v>0</v>
      </c>
      <c r="G170" s="324"/>
      <c r="H170" s="569"/>
      <c r="I170" s="107"/>
      <c r="J170" s="624"/>
      <c r="K170" s="222">
        <f t="shared" si="15"/>
        <v>0</v>
      </c>
      <c r="L170" s="142"/>
      <c r="M170" s="142"/>
    </row>
    <row r="171" spans="1:13" ht="12.75">
      <c r="A171" s="730" t="s">
        <v>98</v>
      </c>
      <c r="B171" s="728"/>
      <c r="C171" s="223"/>
      <c r="D171" s="620"/>
      <c r="E171" s="560"/>
      <c r="F171" s="448">
        <f t="shared" si="14"/>
        <v>0</v>
      </c>
      <c r="G171" s="324"/>
      <c r="H171" s="569"/>
      <c r="I171" s="107"/>
      <c r="J171" s="624"/>
      <c r="K171" s="222">
        <f t="shared" si="15"/>
        <v>0</v>
      </c>
      <c r="L171" s="142"/>
      <c r="M171" s="142"/>
    </row>
    <row r="172" spans="1:13" ht="12.75">
      <c r="A172" s="730" t="s">
        <v>99</v>
      </c>
      <c r="B172" s="728">
        <v>24</v>
      </c>
      <c r="C172" s="223">
        <v>24</v>
      </c>
      <c r="D172" s="620">
        <v>24</v>
      </c>
      <c r="E172" s="560">
        <v>24</v>
      </c>
      <c r="F172" s="448">
        <f t="shared" si="14"/>
        <v>0</v>
      </c>
      <c r="G172" s="324">
        <v>80</v>
      </c>
      <c r="H172" s="569">
        <f>0.784153005464481*100</f>
        <v>78.41530054644808</v>
      </c>
      <c r="I172" s="107">
        <f>((4*61.64)+(20*80.23))/24</f>
        <v>77.13166666666667</v>
      </c>
      <c r="J172" s="624">
        <v>75.35</v>
      </c>
      <c r="K172" s="222">
        <f t="shared" si="15"/>
        <v>-1.7816666666666805</v>
      </c>
      <c r="L172" s="142"/>
      <c r="M172" s="142"/>
    </row>
    <row r="173" spans="1:13" ht="12.75">
      <c r="A173" s="730" t="s">
        <v>100</v>
      </c>
      <c r="B173" s="728"/>
      <c r="C173" s="223"/>
      <c r="D173" s="620"/>
      <c r="E173" s="560"/>
      <c r="F173" s="448">
        <f t="shared" si="14"/>
        <v>0</v>
      </c>
      <c r="G173" s="324"/>
      <c r="H173" s="569"/>
      <c r="I173" s="107"/>
      <c r="J173" s="624"/>
      <c r="K173" s="222">
        <f t="shared" si="15"/>
        <v>0</v>
      </c>
      <c r="L173" s="142"/>
      <c r="M173" s="142"/>
    </row>
    <row r="174" spans="1:13" ht="12.75">
      <c r="A174" s="730" t="s">
        <v>101</v>
      </c>
      <c r="B174" s="728">
        <v>44</v>
      </c>
      <c r="C174" s="223">
        <v>44</v>
      </c>
      <c r="D174" s="620">
        <v>44</v>
      </c>
      <c r="E174" s="560">
        <v>54</v>
      </c>
      <c r="F174" s="448">
        <f t="shared" si="14"/>
        <v>10</v>
      </c>
      <c r="G174" s="324">
        <v>71.5</v>
      </c>
      <c r="H174" s="569">
        <f>0.532662692498758*100</f>
        <v>53.266269249875805</v>
      </c>
      <c r="I174" s="107">
        <f>((5*66.3)+(39*54.32))/44</f>
        <v>55.681363636363635</v>
      </c>
      <c r="J174" s="624">
        <v>61.37</v>
      </c>
      <c r="K174" s="222">
        <f t="shared" si="15"/>
        <v>5.688636363636363</v>
      </c>
      <c r="L174" s="142"/>
      <c r="M174" s="142"/>
    </row>
    <row r="175" spans="1:13" ht="12.75">
      <c r="A175" s="730" t="s">
        <v>102</v>
      </c>
      <c r="B175" s="728">
        <v>41</v>
      </c>
      <c r="C175" s="223">
        <v>41</v>
      </c>
      <c r="D175" s="620">
        <v>41</v>
      </c>
      <c r="E175" s="560">
        <v>31</v>
      </c>
      <c r="F175" s="448">
        <f t="shared" si="14"/>
        <v>-10</v>
      </c>
      <c r="G175" s="324">
        <v>71.8</v>
      </c>
      <c r="H175" s="569">
        <f>0.718979075036652*100</f>
        <v>71.89790750366521</v>
      </c>
      <c r="I175" s="107">
        <f>((14*72.58)+(17*58.52)+(10*81.89))/41</f>
        <v>69.0209756097561</v>
      </c>
      <c r="J175" s="624">
        <v>63.4</v>
      </c>
      <c r="K175" s="222">
        <f t="shared" si="15"/>
        <v>-5.620975609756108</v>
      </c>
      <c r="L175" s="142"/>
      <c r="M175" s="142"/>
    </row>
    <row r="176" spans="1:13" ht="12.75">
      <c r="A176" s="730" t="s">
        <v>103</v>
      </c>
      <c r="B176" s="728">
        <v>67</v>
      </c>
      <c r="C176" s="223">
        <v>66</v>
      </c>
      <c r="D176" s="620">
        <v>66</v>
      </c>
      <c r="E176" s="560">
        <v>66</v>
      </c>
      <c r="F176" s="448">
        <f t="shared" si="14"/>
        <v>0</v>
      </c>
      <c r="G176" s="324">
        <v>72.9</v>
      </c>
      <c r="H176" s="569">
        <f>0.715308825964564*100</f>
        <v>71.53088259645637</v>
      </c>
      <c r="I176" s="107">
        <f>((9*74.67)+(57*69.08))/66</f>
        <v>69.84227272727273</v>
      </c>
      <c r="J176" s="624">
        <v>67.37</v>
      </c>
      <c r="K176" s="222">
        <f t="shared" si="15"/>
        <v>-2.472272727272724</v>
      </c>
      <c r="L176" s="142"/>
      <c r="M176" s="142"/>
    </row>
    <row r="177" spans="1:13" ht="12.75">
      <c r="A177" s="730" t="s">
        <v>104</v>
      </c>
      <c r="B177" s="728">
        <v>5</v>
      </c>
      <c r="C177" s="223">
        <v>5</v>
      </c>
      <c r="D177" s="620">
        <v>5</v>
      </c>
      <c r="E177" s="560">
        <v>5</v>
      </c>
      <c r="F177" s="448">
        <f t="shared" si="14"/>
        <v>0</v>
      </c>
      <c r="G177" s="324">
        <v>58</v>
      </c>
      <c r="H177" s="569">
        <f>0.734972677595628*100</f>
        <v>73.49726775956285</v>
      </c>
      <c r="I177" s="107">
        <v>74.19</v>
      </c>
      <c r="J177" s="624">
        <v>73.37</v>
      </c>
      <c r="K177" s="222">
        <f t="shared" si="15"/>
        <v>-0.8199999999999932</v>
      </c>
      <c r="L177" s="142"/>
      <c r="M177" s="142"/>
    </row>
    <row r="178" spans="1:13" ht="12.75">
      <c r="A178" s="730" t="s">
        <v>105</v>
      </c>
      <c r="B178" s="728">
        <v>24</v>
      </c>
      <c r="C178" s="223">
        <v>24</v>
      </c>
      <c r="D178" s="620">
        <v>24</v>
      </c>
      <c r="E178" s="560">
        <v>24</v>
      </c>
      <c r="F178" s="448">
        <f t="shared" si="14"/>
        <v>0</v>
      </c>
      <c r="G178" s="324">
        <v>76.8</v>
      </c>
      <c r="H178" s="569">
        <f>0.766962659380692*100</f>
        <v>76.69626593806922</v>
      </c>
      <c r="I178" s="107">
        <v>77.08</v>
      </c>
      <c r="J178" s="624">
        <v>75.02</v>
      </c>
      <c r="K178" s="222">
        <f t="shared" si="15"/>
        <v>-2.0600000000000023</v>
      </c>
      <c r="L178" s="142"/>
      <c r="M178" s="142"/>
    </row>
    <row r="179" spans="1:13" ht="12.75">
      <c r="A179" s="730" t="s">
        <v>106</v>
      </c>
      <c r="B179" s="728">
        <v>20</v>
      </c>
      <c r="C179" s="223">
        <v>20</v>
      </c>
      <c r="D179" s="620">
        <v>20</v>
      </c>
      <c r="E179" s="560">
        <v>20</v>
      </c>
      <c r="F179" s="448">
        <f t="shared" si="14"/>
        <v>0</v>
      </c>
      <c r="G179" s="324">
        <v>63.2</v>
      </c>
      <c r="H179" s="569">
        <f>0.615983606557377*100</f>
        <v>61.59836065573771</v>
      </c>
      <c r="I179" s="107">
        <v>57.04</v>
      </c>
      <c r="J179" s="624">
        <v>55.67</v>
      </c>
      <c r="K179" s="222">
        <f t="shared" si="15"/>
        <v>-1.3699999999999974</v>
      </c>
      <c r="L179" s="142"/>
      <c r="M179" s="142"/>
    </row>
    <row r="180" spans="1:13" ht="12.75">
      <c r="A180" s="730" t="s">
        <v>107</v>
      </c>
      <c r="B180" s="728"/>
      <c r="C180" s="223"/>
      <c r="D180" s="620"/>
      <c r="E180" s="560"/>
      <c r="F180" s="448">
        <f t="shared" si="14"/>
        <v>0</v>
      </c>
      <c r="G180" s="324"/>
      <c r="H180" s="569"/>
      <c r="I180" s="107"/>
      <c r="J180" s="624"/>
      <c r="K180" s="222">
        <f t="shared" si="15"/>
        <v>0</v>
      </c>
      <c r="L180" s="142"/>
      <c r="M180" s="142"/>
    </row>
    <row r="181" spans="1:13" ht="12.75">
      <c r="A181" s="730" t="s">
        <v>108</v>
      </c>
      <c r="B181" s="728"/>
      <c r="C181" s="223"/>
      <c r="D181" s="620"/>
      <c r="E181" s="560"/>
      <c r="F181" s="448">
        <f t="shared" si="14"/>
        <v>0</v>
      </c>
      <c r="G181" s="324"/>
      <c r="H181" s="569"/>
      <c r="I181" s="107"/>
      <c r="J181" s="624"/>
      <c r="K181" s="222">
        <f t="shared" si="15"/>
        <v>0</v>
      </c>
      <c r="L181" s="142"/>
      <c r="M181" s="142"/>
    </row>
    <row r="182" spans="1:13" ht="12.75">
      <c r="A182" s="730" t="s">
        <v>109</v>
      </c>
      <c r="B182" s="728"/>
      <c r="C182" s="223"/>
      <c r="D182" s="620"/>
      <c r="E182" s="560"/>
      <c r="F182" s="448">
        <f t="shared" si="14"/>
        <v>0</v>
      </c>
      <c r="G182" s="324"/>
      <c r="H182" s="569"/>
      <c r="I182" s="107"/>
      <c r="J182" s="624"/>
      <c r="K182" s="222">
        <f t="shared" si="15"/>
        <v>0</v>
      </c>
      <c r="L182" s="142"/>
      <c r="M182" s="142"/>
    </row>
    <row r="183" spans="1:13" ht="12.75">
      <c r="A183" s="730" t="s">
        <v>110</v>
      </c>
      <c r="B183" s="728"/>
      <c r="C183" s="223"/>
      <c r="D183" s="620"/>
      <c r="E183" s="560"/>
      <c r="F183" s="448">
        <f t="shared" si="14"/>
        <v>0</v>
      </c>
      <c r="G183" s="324"/>
      <c r="H183" s="569"/>
      <c r="I183" s="107"/>
      <c r="J183" s="624"/>
      <c r="K183" s="222">
        <f t="shared" si="15"/>
        <v>0</v>
      </c>
      <c r="L183" s="142"/>
      <c r="M183" s="142"/>
    </row>
    <row r="184" spans="1:13" ht="12.75">
      <c r="A184" s="730" t="s">
        <v>111</v>
      </c>
      <c r="B184" s="728"/>
      <c r="C184" s="223"/>
      <c r="D184" s="620"/>
      <c r="E184" s="560"/>
      <c r="F184" s="448">
        <f t="shared" si="14"/>
        <v>0</v>
      </c>
      <c r="G184" s="324"/>
      <c r="H184" s="569"/>
      <c r="I184" s="107"/>
      <c r="J184" s="624"/>
      <c r="K184" s="222">
        <f t="shared" si="15"/>
        <v>0</v>
      </c>
      <c r="L184" s="142"/>
      <c r="M184" s="142"/>
    </row>
    <row r="185" spans="1:13" ht="12.75">
      <c r="A185" s="730" t="s">
        <v>112</v>
      </c>
      <c r="B185" s="728">
        <v>46</v>
      </c>
      <c r="C185" s="223">
        <v>46</v>
      </c>
      <c r="D185" s="620">
        <v>46</v>
      </c>
      <c r="E185" s="560">
        <v>46</v>
      </c>
      <c r="F185" s="448">
        <f t="shared" si="14"/>
        <v>0</v>
      </c>
      <c r="G185" s="324">
        <v>97.3</v>
      </c>
      <c r="H185" s="569">
        <f>0.973271560940841*100</f>
        <v>97.32715609408412</v>
      </c>
      <c r="I185" s="107">
        <v>96.35</v>
      </c>
      <c r="J185" s="624">
        <v>95.09</v>
      </c>
      <c r="K185" s="222">
        <f t="shared" si="15"/>
        <v>-1.259999999999991</v>
      </c>
      <c r="L185" s="142"/>
      <c r="M185" s="142"/>
    </row>
    <row r="186" spans="1:13" ht="13.5" thickBot="1">
      <c r="A186" s="731" t="s">
        <v>113</v>
      </c>
      <c r="B186" s="450"/>
      <c r="C186" s="325"/>
      <c r="D186" s="449"/>
      <c r="E186" s="450"/>
      <c r="F186" s="448">
        <f t="shared" si="14"/>
        <v>0</v>
      </c>
      <c r="G186" s="326"/>
      <c r="H186" s="622"/>
      <c r="I186" s="366"/>
      <c r="J186" s="625"/>
      <c r="K186" s="222">
        <f t="shared" si="15"/>
        <v>0</v>
      </c>
      <c r="L186" s="142"/>
      <c r="M186" s="142"/>
    </row>
    <row r="187" spans="1:13" ht="13.5" thickBot="1">
      <c r="A187" s="732" t="s">
        <v>4</v>
      </c>
      <c r="B187" s="729">
        <f>SUM(B169:B186)</f>
        <v>351</v>
      </c>
      <c r="C187" s="41">
        <f>SUM(C169:C186)</f>
        <v>350</v>
      </c>
      <c r="D187" s="621">
        <f>SUM(D169:D186)</f>
        <v>350</v>
      </c>
      <c r="E187" s="451">
        <f>SUM(E169:E186)</f>
        <v>350</v>
      </c>
      <c r="F187" s="445">
        <f t="shared" si="14"/>
        <v>0</v>
      </c>
      <c r="G187" s="452">
        <v>77.9</v>
      </c>
      <c r="H187" s="582">
        <f>98042/128100*100</f>
        <v>76.53551912568307</v>
      </c>
      <c r="I187" s="368">
        <v>75.8</v>
      </c>
      <c r="J187" s="367">
        <v>74.17</v>
      </c>
      <c r="K187" s="368">
        <f t="shared" si="15"/>
        <v>-1.6299999999999955</v>
      </c>
      <c r="L187" s="142"/>
      <c r="M187" s="142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6.5" thickBot="1">
      <c r="A189" s="369" t="s">
        <v>211</v>
      </c>
      <c r="B189"/>
      <c r="C189"/>
      <c r="D189"/>
      <c r="E189"/>
      <c r="F189"/>
      <c r="G189"/>
      <c r="H189"/>
      <c r="I189"/>
      <c r="J189"/>
    </row>
    <row r="190" spans="1:11" ht="12.75" customHeight="1">
      <c r="A190" s="1270" t="s">
        <v>114</v>
      </c>
      <c r="B190" s="1271"/>
      <c r="C190" s="1384" t="s">
        <v>115</v>
      </c>
      <c r="D190" s="1384"/>
      <c r="E190" s="1385"/>
      <c r="F190" s="1384" t="s">
        <v>159</v>
      </c>
      <c r="G190" s="1384"/>
      <c r="H190" s="1385"/>
      <c r="I190" s="1384" t="s">
        <v>300</v>
      </c>
      <c r="J190" s="1384"/>
      <c r="K190" s="1385"/>
    </row>
    <row r="191" spans="1:11" ht="27.75" thickBot="1">
      <c r="A191" s="1272"/>
      <c r="B191" s="1273"/>
      <c r="C191" s="43" t="s">
        <v>116</v>
      </c>
      <c r="D191" s="43" t="s">
        <v>117</v>
      </c>
      <c r="E191" s="29" t="s">
        <v>118</v>
      </c>
      <c r="F191" s="43" t="s">
        <v>116</v>
      </c>
      <c r="G191" s="43" t="s">
        <v>117</v>
      </c>
      <c r="H191" s="29" t="s">
        <v>118</v>
      </c>
      <c r="I191" s="43" t="s">
        <v>116</v>
      </c>
      <c r="J191" s="43" t="s">
        <v>117</v>
      </c>
      <c r="K191" s="29" t="s">
        <v>118</v>
      </c>
    </row>
    <row r="192" spans="1:11" ht="22.5" customHeight="1">
      <c r="A192" s="1256" t="s">
        <v>119</v>
      </c>
      <c r="B192" s="1257"/>
      <c r="C192" s="371">
        <v>83.21</v>
      </c>
      <c r="D192" s="328">
        <v>35863059</v>
      </c>
      <c r="E192" s="256">
        <f aca="true" t="shared" si="16" ref="E192:E198">+IF(C192&gt;0,D192/C192/12,"")</f>
        <v>35916.214998197334</v>
      </c>
      <c r="F192" s="371">
        <v>85.82</v>
      </c>
      <c r="G192" s="328">
        <v>38595778</v>
      </c>
      <c r="H192" s="256">
        <f aca="true" t="shared" si="17" ref="H192:H198">+IF(F192&gt;0,G192/F192/12,"")</f>
        <v>37477.450866153966</v>
      </c>
      <c r="I192" s="733">
        <v>87.07</v>
      </c>
      <c r="J192" s="328">
        <v>42139472</v>
      </c>
      <c r="K192" s="256">
        <f aca="true" t="shared" si="18" ref="K192:K198">+IF(I192&gt;0,J192/I192/12,"")</f>
        <v>40331.02867424678</v>
      </c>
    </row>
    <row r="193" spans="1:11" ht="22.5" customHeight="1">
      <c r="A193" s="1256" t="s">
        <v>120</v>
      </c>
      <c r="B193" s="1257"/>
      <c r="C193" s="372">
        <v>3</v>
      </c>
      <c r="D193" s="327">
        <v>806807</v>
      </c>
      <c r="E193" s="254">
        <f t="shared" si="16"/>
        <v>22411.30555555556</v>
      </c>
      <c r="F193" s="372">
        <v>4</v>
      </c>
      <c r="G193" s="327">
        <v>1121745</v>
      </c>
      <c r="H193" s="254">
        <f t="shared" si="17"/>
        <v>23369.6875</v>
      </c>
      <c r="I193" s="734">
        <v>3.94</v>
      </c>
      <c r="J193" s="327">
        <v>1238128</v>
      </c>
      <c r="K193" s="254">
        <f t="shared" si="18"/>
        <v>26187.14043993232</v>
      </c>
    </row>
    <row r="194" spans="1:11" ht="22.5" customHeight="1">
      <c r="A194" s="1256" t="s">
        <v>121</v>
      </c>
      <c r="B194" s="1257"/>
      <c r="C194" s="372">
        <v>268.18</v>
      </c>
      <c r="D194" s="327">
        <v>54173241</v>
      </c>
      <c r="E194" s="254">
        <f t="shared" si="16"/>
        <v>16833.607092251474</v>
      </c>
      <c r="F194" s="372">
        <v>261.1</v>
      </c>
      <c r="G194" s="327">
        <v>55836562</v>
      </c>
      <c r="H194" s="254">
        <f t="shared" si="17"/>
        <v>17820.937699476573</v>
      </c>
      <c r="I194" s="734">
        <v>262.65</v>
      </c>
      <c r="J194" s="327">
        <v>63686318</v>
      </c>
      <c r="K194" s="254">
        <f t="shared" si="18"/>
        <v>20206.332254584686</v>
      </c>
    </row>
    <row r="195" spans="1:11" ht="22.5" customHeight="1">
      <c r="A195" s="1256" t="s">
        <v>122</v>
      </c>
      <c r="B195" s="1257"/>
      <c r="C195" s="372">
        <v>55.06</v>
      </c>
      <c r="D195" s="327">
        <v>12397766</v>
      </c>
      <c r="E195" s="254">
        <f t="shared" si="16"/>
        <v>18764.024094926746</v>
      </c>
      <c r="F195" s="372">
        <v>44.25</v>
      </c>
      <c r="G195" s="327">
        <v>10567422</v>
      </c>
      <c r="H195" s="254">
        <f t="shared" si="17"/>
        <v>19900.98305084746</v>
      </c>
      <c r="I195" s="734">
        <v>42.28</v>
      </c>
      <c r="J195" s="327">
        <v>10800337</v>
      </c>
      <c r="K195" s="254">
        <f t="shared" si="18"/>
        <v>21287.32458215074</v>
      </c>
    </row>
    <row r="196" spans="1:11" ht="22.5" customHeight="1">
      <c r="A196" s="1256" t="s">
        <v>123</v>
      </c>
      <c r="B196" s="1257"/>
      <c r="C196" s="372">
        <v>12.52</v>
      </c>
      <c r="D196" s="327">
        <v>1916373</v>
      </c>
      <c r="E196" s="254">
        <f t="shared" si="16"/>
        <v>12755.411341853034</v>
      </c>
      <c r="F196" s="372">
        <v>10.79</v>
      </c>
      <c r="G196" s="327">
        <v>1743537</v>
      </c>
      <c r="H196" s="254">
        <f t="shared" si="17"/>
        <v>13465.685820203893</v>
      </c>
      <c r="I196" s="734">
        <v>12.49</v>
      </c>
      <c r="J196" s="327">
        <v>2380231</v>
      </c>
      <c r="K196" s="254">
        <f t="shared" si="18"/>
        <v>15880.911395783294</v>
      </c>
    </row>
    <row r="197" spans="1:11" ht="22.5" customHeight="1">
      <c r="A197" s="1256" t="s">
        <v>124</v>
      </c>
      <c r="B197" s="1257"/>
      <c r="C197" s="372">
        <v>71.78</v>
      </c>
      <c r="D197" s="327">
        <v>11592868</v>
      </c>
      <c r="E197" s="254">
        <f t="shared" si="16"/>
        <v>13458.795393331477</v>
      </c>
      <c r="F197" s="372">
        <v>80.03</v>
      </c>
      <c r="G197" s="327">
        <v>13274258</v>
      </c>
      <c r="H197" s="254">
        <f t="shared" si="17"/>
        <v>13822.168770044567</v>
      </c>
      <c r="I197" s="734">
        <v>79.94</v>
      </c>
      <c r="J197" s="327">
        <v>14605363</v>
      </c>
      <c r="K197" s="254">
        <f t="shared" si="18"/>
        <v>15225.33879576349</v>
      </c>
    </row>
    <row r="198" spans="1:11" ht="22.5" customHeight="1">
      <c r="A198" s="1256" t="s">
        <v>125</v>
      </c>
      <c r="B198" s="1257"/>
      <c r="C198" s="372">
        <v>0</v>
      </c>
      <c r="D198" s="327">
        <v>0</v>
      </c>
      <c r="E198" s="254">
        <f t="shared" si="16"/>
      </c>
      <c r="F198" s="372">
        <v>11.31</v>
      </c>
      <c r="G198" s="327">
        <v>2726230</v>
      </c>
      <c r="H198" s="254">
        <f t="shared" si="17"/>
        <v>20087.164750957854</v>
      </c>
      <c r="I198" s="734">
        <v>11.96</v>
      </c>
      <c r="J198" s="327">
        <v>3120891</v>
      </c>
      <c r="K198" s="254">
        <f t="shared" si="18"/>
        <v>21745.33862876254</v>
      </c>
    </row>
    <row r="199" spans="1:11" ht="22.5" customHeight="1">
      <c r="A199" s="1256" t="s">
        <v>126</v>
      </c>
      <c r="B199" s="1257"/>
      <c r="C199" s="372"/>
      <c r="D199" s="327"/>
      <c r="E199" s="254"/>
      <c r="F199" s="372"/>
      <c r="G199" s="327"/>
      <c r="H199" s="254"/>
      <c r="I199" s="734" t="s">
        <v>429</v>
      </c>
      <c r="J199" s="327">
        <v>0</v>
      </c>
      <c r="K199" s="254"/>
    </row>
    <row r="200" spans="1:11" ht="22.5" customHeight="1">
      <c r="A200" s="1256" t="s">
        <v>127</v>
      </c>
      <c r="B200" s="1257"/>
      <c r="C200" s="373">
        <v>57.24</v>
      </c>
      <c r="D200" s="253">
        <v>10540682</v>
      </c>
      <c r="E200" s="254">
        <f>+IF(C200&gt;0,D200/C200/12,"")</f>
        <v>15345.740158397391</v>
      </c>
      <c r="F200" s="373">
        <v>56.02</v>
      </c>
      <c r="G200" s="253">
        <v>10928507</v>
      </c>
      <c r="H200" s="254">
        <v>53.81</v>
      </c>
      <c r="I200" s="735">
        <v>53.81</v>
      </c>
      <c r="J200" s="253">
        <v>11352867</v>
      </c>
      <c r="K200" s="254">
        <f>+IF(I200&gt;0,J200/I200/12,"")</f>
        <v>17581.718082140866</v>
      </c>
    </row>
    <row r="201" spans="1:11" ht="22.5" customHeight="1" thickBot="1">
      <c r="A201" s="1371" t="s">
        <v>128</v>
      </c>
      <c r="B201" s="1372"/>
      <c r="C201" s="371">
        <v>78.04</v>
      </c>
      <c r="D201" s="328">
        <v>10562287</v>
      </c>
      <c r="E201" s="256">
        <f>+IF(C201&gt;0,D201/C201/12,"")</f>
        <v>11278.710703912524</v>
      </c>
      <c r="F201" s="371">
        <v>80.17</v>
      </c>
      <c r="G201" s="328">
        <v>11205557</v>
      </c>
      <c r="H201" s="254">
        <f>+IF(F201&gt;0,G201/F201/12,"")</f>
        <v>11647.703837678266</v>
      </c>
      <c r="I201" s="733">
        <v>79.56</v>
      </c>
      <c r="J201" s="328">
        <v>11549955</v>
      </c>
      <c r="K201" s="254">
        <f>+IF(I201&gt;0,J201/I201/12,"")</f>
        <v>12097.74069884364</v>
      </c>
    </row>
    <row r="202" spans="1:11" ht="22.5" customHeight="1" thickBot="1">
      <c r="A202" s="1288" t="s">
        <v>4</v>
      </c>
      <c r="B202" s="1383"/>
      <c r="C202" s="374">
        <f>SUM(C192:C201)</f>
        <v>629.03</v>
      </c>
      <c r="D202" s="115">
        <f>SUM(D192:D201)</f>
        <v>137853083</v>
      </c>
      <c r="E202" s="116">
        <f>+IF(C202&gt;0,D202/C202/12,"")</f>
        <v>18262.65347704667</v>
      </c>
      <c r="F202" s="374">
        <f>SUM(F192:F201)</f>
        <v>633.49</v>
      </c>
      <c r="G202" s="115">
        <f>SUM(G192:G201)</f>
        <v>145999596</v>
      </c>
      <c r="H202" s="116">
        <f>+IF(F202&gt;0,G202/F202/12,"")</f>
        <v>19205.722268701953</v>
      </c>
      <c r="I202" s="374">
        <f>SUM(I192:I201)</f>
        <v>633.6999999999998</v>
      </c>
      <c r="J202" s="115">
        <f>SUM(J192:J201)</f>
        <v>160873562</v>
      </c>
      <c r="K202" s="116">
        <f>+IF(I202&gt;0,J202/I202/12,"")</f>
        <v>21155.326126979122</v>
      </c>
    </row>
    <row r="203" spans="5:14" ht="12.75">
      <c r="E203" s="194"/>
      <c r="F203" s="194"/>
      <c r="G203" s="194"/>
      <c r="H203" s="194"/>
      <c r="K203" s="142"/>
      <c r="L203" s="142"/>
      <c r="M203" s="142"/>
      <c r="N203" s="142"/>
    </row>
    <row r="204" spans="5:14" ht="12.75">
      <c r="E204" s="194"/>
      <c r="F204" s="194"/>
      <c r="G204" s="194"/>
      <c r="H204" s="194"/>
      <c r="K204" s="142"/>
      <c r="L204" s="142"/>
      <c r="M204" s="142"/>
      <c r="N204" s="142"/>
    </row>
    <row r="205" spans="5:14" ht="12.75">
      <c r="E205" s="194"/>
      <c r="F205" s="194"/>
      <c r="G205" s="194"/>
      <c r="H205" s="194"/>
      <c r="K205" s="142"/>
      <c r="L205" s="142"/>
      <c r="M205" s="142"/>
      <c r="N205" s="142"/>
    </row>
    <row r="206" spans="5:14" ht="12.75">
      <c r="E206" s="194"/>
      <c r="F206" s="194"/>
      <c r="G206" s="194"/>
      <c r="H206" s="194"/>
      <c r="K206" s="142"/>
      <c r="L206" s="142"/>
      <c r="M206" s="142"/>
      <c r="N206" s="142"/>
    </row>
    <row r="207" spans="5:14" ht="12.75">
      <c r="E207" s="194"/>
      <c r="F207" s="194"/>
      <c r="G207" s="194"/>
      <c r="H207" s="194"/>
      <c r="K207" s="142"/>
      <c r="L207" s="142"/>
      <c r="M207" s="142"/>
      <c r="N207" s="142"/>
    </row>
    <row r="208" spans="5:14" ht="12.75">
      <c r="E208" s="194"/>
      <c r="F208" s="194"/>
      <c r="G208" s="194"/>
      <c r="H208" s="194"/>
      <c r="K208" s="142"/>
      <c r="L208" s="142"/>
      <c r="M208" s="142"/>
      <c r="N208" s="142"/>
    </row>
    <row r="209" spans="5:14" ht="12.75">
      <c r="E209" s="194"/>
      <c r="F209" s="194"/>
      <c r="G209" s="194"/>
      <c r="H209" s="194"/>
      <c r="K209" s="142"/>
      <c r="L209" s="142"/>
      <c r="M209" s="142"/>
      <c r="N209" s="142"/>
    </row>
    <row r="210" spans="5:14" ht="12.75">
      <c r="E210" s="194"/>
      <c r="F210" s="194"/>
      <c r="G210" s="194"/>
      <c r="H210" s="194"/>
      <c r="K210" s="142"/>
      <c r="L210" s="142"/>
      <c r="M210" s="142"/>
      <c r="N210" s="142"/>
    </row>
    <row r="211" spans="5:14" ht="12.75">
      <c r="E211" s="194"/>
      <c r="F211" s="194"/>
      <c r="G211" s="194"/>
      <c r="H211" s="194"/>
      <c r="K211" s="142"/>
      <c r="L211" s="142"/>
      <c r="M211" s="142"/>
      <c r="N211" s="142"/>
    </row>
    <row r="212" spans="5:14" ht="12.75">
      <c r="E212" s="194"/>
      <c r="F212" s="194"/>
      <c r="G212" s="194"/>
      <c r="H212" s="194"/>
      <c r="K212" s="142"/>
      <c r="L212" s="142"/>
      <c r="M212" s="142"/>
      <c r="N212" s="142"/>
    </row>
    <row r="213" spans="5:14" ht="12.75">
      <c r="E213" s="194"/>
      <c r="F213" s="194"/>
      <c r="G213" s="194"/>
      <c r="H213" s="194"/>
      <c r="K213" s="142"/>
      <c r="L213" s="142"/>
      <c r="M213" s="142"/>
      <c r="N213" s="142"/>
    </row>
    <row r="214" spans="5:14" ht="12.75">
      <c r="E214" s="194"/>
      <c r="F214" s="194"/>
      <c r="G214" s="194"/>
      <c r="H214" s="194"/>
      <c r="K214" s="142"/>
      <c r="L214" s="142"/>
      <c r="M214" s="142"/>
      <c r="N214" s="142"/>
    </row>
    <row r="215" spans="5:14" ht="12.75">
      <c r="E215" s="194"/>
      <c r="F215" s="194"/>
      <c r="G215" s="194"/>
      <c r="H215" s="194"/>
      <c r="K215" s="142"/>
      <c r="L215" s="142"/>
      <c r="M215" s="142"/>
      <c r="N215" s="142"/>
    </row>
    <row r="216" spans="5:14" ht="12.75">
      <c r="E216" s="194"/>
      <c r="F216" s="194"/>
      <c r="G216" s="194"/>
      <c r="H216" s="194"/>
      <c r="K216" s="142"/>
      <c r="L216" s="142"/>
      <c r="M216" s="142"/>
      <c r="N216" s="142"/>
    </row>
    <row r="217" spans="5:14" ht="12.75">
      <c r="E217" s="194"/>
      <c r="F217" s="194"/>
      <c r="G217" s="194"/>
      <c r="H217" s="194"/>
      <c r="K217" s="142"/>
      <c r="L217" s="142"/>
      <c r="M217" s="142"/>
      <c r="N217" s="142"/>
    </row>
    <row r="218" spans="5:14" ht="12.75">
      <c r="E218" s="194"/>
      <c r="F218" s="194"/>
      <c r="G218" s="194"/>
      <c r="H218" s="194"/>
      <c r="K218" s="142"/>
      <c r="L218" s="142"/>
      <c r="M218" s="142"/>
      <c r="N218" s="142"/>
    </row>
    <row r="219" spans="5:14" ht="12.75">
      <c r="E219" s="194"/>
      <c r="F219" s="194"/>
      <c r="G219" s="194"/>
      <c r="H219" s="194"/>
      <c r="K219" s="142"/>
      <c r="L219" s="142"/>
      <c r="M219" s="142"/>
      <c r="N219" s="142"/>
    </row>
    <row r="220" spans="5:14" ht="12.75">
      <c r="E220" s="194"/>
      <c r="F220" s="194"/>
      <c r="G220" s="194"/>
      <c r="H220" s="194"/>
      <c r="K220" s="142"/>
      <c r="L220" s="142"/>
      <c r="M220" s="142"/>
      <c r="N220" s="142"/>
    </row>
    <row r="221" spans="5:14" ht="12.75">
      <c r="E221" s="194"/>
      <c r="F221" s="194"/>
      <c r="G221" s="194"/>
      <c r="H221" s="194"/>
      <c r="K221" s="142"/>
      <c r="L221" s="142"/>
      <c r="M221" s="142"/>
      <c r="N221" s="142"/>
    </row>
    <row r="222" spans="5:14" ht="12.75">
      <c r="E222" s="194"/>
      <c r="F222" s="194"/>
      <c r="G222" s="194"/>
      <c r="H222" s="194"/>
      <c r="K222" s="142"/>
      <c r="L222" s="142"/>
      <c r="M222" s="142"/>
      <c r="N222" s="142"/>
    </row>
    <row r="223" spans="5:14" ht="12.75">
      <c r="E223" s="194"/>
      <c r="F223" s="194"/>
      <c r="G223" s="194"/>
      <c r="H223" s="194"/>
      <c r="K223" s="142"/>
      <c r="L223" s="142"/>
      <c r="M223" s="142"/>
      <c r="N223" s="142"/>
    </row>
    <row r="224" spans="5:14" ht="12.75">
      <c r="E224" s="194"/>
      <c r="F224" s="194"/>
      <c r="G224" s="194"/>
      <c r="H224" s="194"/>
      <c r="K224" s="142"/>
      <c r="L224" s="142"/>
      <c r="M224" s="142"/>
      <c r="N224" s="142"/>
    </row>
    <row r="225" spans="5:14" ht="12.75">
      <c r="E225" s="194"/>
      <c r="F225" s="194"/>
      <c r="G225" s="194"/>
      <c r="H225" s="194"/>
      <c r="K225" s="142"/>
      <c r="L225" s="142"/>
      <c r="M225" s="142"/>
      <c r="N225" s="142"/>
    </row>
    <row r="226" spans="5:14" ht="12.75">
      <c r="E226" s="194"/>
      <c r="F226" s="194"/>
      <c r="G226" s="194"/>
      <c r="H226" s="194"/>
      <c r="K226" s="142"/>
      <c r="L226" s="142"/>
      <c r="M226" s="142"/>
      <c r="N226" s="142"/>
    </row>
    <row r="227" spans="5:14" ht="12.75">
      <c r="E227" s="194"/>
      <c r="F227" s="194"/>
      <c r="G227" s="194"/>
      <c r="H227" s="194"/>
      <c r="K227" s="142"/>
      <c r="L227" s="142"/>
      <c r="M227" s="142"/>
      <c r="N227" s="142"/>
    </row>
    <row r="228" spans="5:14" ht="12.75">
      <c r="E228" s="194"/>
      <c r="F228" s="194"/>
      <c r="G228" s="194"/>
      <c r="H228" s="194"/>
      <c r="K228" s="142"/>
      <c r="L228" s="142"/>
      <c r="M228" s="142"/>
      <c r="N228" s="142"/>
    </row>
    <row r="229" spans="5:14" ht="12.75">
      <c r="E229" s="194"/>
      <c r="F229" s="194"/>
      <c r="G229" s="194"/>
      <c r="H229" s="194"/>
      <c r="K229" s="142"/>
      <c r="L229" s="142"/>
      <c r="M229" s="142"/>
      <c r="N229" s="142"/>
    </row>
    <row r="230" spans="5:14" ht="12.75">
      <c r="E230" s="194"/>
      <c r="F230" s="194"/>
      <c r="G230" s="194"/>
      <c r="H230" s="194"/>
      <c r="K230" s="142"/>
      <c r="L230" s="142"/>
      <c r="M230" s="142"/>
      <c r="N230" s="142"/>
    </row>
    <row r="231" spans="5:14" ht="12.75">
      <c r="E231" s="194"/>
      <c r="F231" s="194"/>
      <c r="G231" s="194"/>
      <c r="H231" s="194"/>
      <c r="K231" s="142"/>
      <c r="L231" s="142"/>
      <c r="M231" s="142"/>
      <c r="N231" s="142"/>
    </row>
    <row r="232" spans="5:14" ht="12.75">
      <c r="E232" s="194"/>
      <c r="F232" s="194"/>
      <c r="G232" s="194"/>
      <c r="H232" s="194"/>
      <c r="K232" s="142"/>
      <c r="L232" s="142"/>
      <c r="M232" s="142"/>
      <c r="N232" s="142"/>
    </row>
    <row r="233" spans="5:14" ht="12.75">
      <c r="E233" s="194"/>
      <c r="F233" s="194"/>
      <c r="G233" s="194"/>
      <c r="H233" s="194"/>
      <c r="K233" s="142"/>
      <c r="L233" s="142"/>
      <c r="M233" s="142"/>
      <c r="N233" s="142"/>
    </row>
    <row r="234" spans="5:14" ht="12.75">
      <c r="E234" s="194"/>
      <c r="F234" s="194"/>
      <c r="G234" s="194"/>
      <c r="H234" s="194"/>
      <c r="K234" s="142"/>
      <c r="L234" s="142"/>
      <c r="M234" s="142"/>
      <c r="N234" s="142"/>
    </row>
    <row r="235" spans="5:14" ht="12.75">
      <c r="E235" s="194"/>
      <c r="F235" s="194"/>
      <c r="G235" s="194"/>
      <c r="H235" s="194"/>
      <c r="K235" s="142"/>
      <c r="L235" s="142"/>
      <c r="M235" s="142"/>
      <c r="N235" s="142"/>
    </row>
    <row r="236" spans="5:14" ht="12.75">
      <c r="E236" s="194"/>
      <c r="F236" s="194"/>
      <c r="G236" s="194"/>
      <c r="H236" s="194"/>
      <c r="K236" s="142"/>
      <c r="L236" s="142"/>
      <c r="M236" s="142"/>
      <c r="N236" s="142"/>
    </row>
    <row r="237" spans="5:14" ht="12.75">
      <c r="E237" s="194"/>
      <c r="F237" s="194"/>
      <c r="G237" s="194"/>
      <c r="H237" s="194"/>
      <c r="K237" s="142"/>
      <c r="L237" s="142"/>
      <c r="M237" s="142"/>
      <c r="N237" s="142"/>
    </row>
    <row r="238" spans="5:14" ht="12.75">
      <c r="E238" s="194"/>
      <c r="F238" s="194"/>
      <c r="G238" s="194"/>
      <c r="H238" s="194"/>
      <c r="K238" s="142"/>
      <c r="L238" s="142"/>
      <c r="M238" s="142"/>
      <c r="N238" s="142"/>
    </row>
    <row r="239" spans="5:14" ht="12.75">
      <c r="E239" s="194"/>
      <c r="F239" s="194"/>
      <c r="G239" s="194"/>
      <c r="H239" s="194"/>
      <c r="K239" s="142"/>
      <c r="L239" s="142"/>
      <c r="M239" s="142"/>
      <c r="N239" s="142"/>
    </row>
    <row r="240" spans="5:14" ht="12.75">
      <c r="E240" s="194"/>
      <c r="F240" s="194"/>
      <c r="G240" s="194"/>
      <c r="H240" s="194"/>
      <c r="K240" s="142"/>
      <c r="L240" s="142"/>
      <c r="M240" s="142"/>
      <c r="N240" s="142"/>
    </row>
    <row r="241" spans="5:14" ht="12.75">
      <c r="E241" s="194"/>
      <c r="F241" s="194"/>
      <c r="G241" s="194"/>
      <c r="H241" s="194"/>
      <c r="K241" s="142"/>
      <c r="L241" s="142"/>
      <c r="M241" s="142"/>
      <c r="N241" s="142"/>
    </row>
    <row r="242" spans="5:14" ht="12.75">
      <c r="E242" s="194"/>
      <c r="F242" s="194"/>
      <c r="G242" s="194"/>
      <c r="H242" s="194"/>
      <c r="K242" s="142"/>
      <c r="L242" s="142"/>
      <c r="M242" s="142"/>
      <c r="N242" s="142"/>
    </row>
    <row r="243" spans="5:14" ht="12.75">
      <c r="E243" s="194"/>
      <c r="F243" s="194"/>
      <c r="G243" s="194"/>
      <c r="H243" s="194"/>
      <c r="K243" s="142"/>
      <c r="L243" s="142"/>
      <c r="M243" s="142"/>
      <c r="N243" s="142"/>
    </row>
    <row r="244" spans="5:14" ht="12.75">
      <c r="E244" s="194"/>
      <c r="F244" s="194"/>
      <c r="G244" s="194"/>
      <c r="H244" s="194"/>
      <c r="K244" s="142"/>
      <c r="L244" s="142"/>
      <c r="M244" s="142"/>
      <c r="N244" s="142"/>
    </row>
    <row r="245" spans="5:14" ht="12.75">
      <c r="E245" s="194"/>
      <c r="F245" s="194"/>
      <c r="G245" s="194"/>
      <c r="H245" s="194"/>
      <c r="K245" s="142"/>
      <c r="L245" s="142"/>
      <c r="M245" s="142"/>
      <c r="N245" s="142"/>
    </row>
    <row r="246" spans="5:14" ht="12.75">
      <c r="E246" s="194"/>
      <c r="F246" s="194"/>
      <c r="G246" s="194"/>
      <c r="H246" s="194"/>
      <c r="K246" s="142"/>
      <c r="L246" s="142"/>
      <c r="M246" s="142"/>
      <c r="N246" s="142"/>
    </row>
    <row r="247" spans="5:14" ht="12.75">
      <c r="E247" s="194"/>
      <c r="F247" s="194"/>
      <c r="G247" s="194"/>
      <c r="H247" s="194"/>
      <c r="K247" s="142"/>
      <c r="L247" s="142"/>
      <c r="M247" s="142"/>
      <c r="N247" s="142"/>
    </row>
    <row r="248" spans="5:14" ht="12.75">
      <c r="E248" s="194"/>
      <c r="F248" s="194"/>
      <c r="G248" s="194"/>
      <c r="H248" s="194"/>
      <c r="K248" s="142"/>
      <c r="L248" s="142"/>
      <c r="M248" s="142"/>
      <c r="N248" s="142"/>
    </row>
    <row r="249" spans="5:14" ht="12.75">
      <c r="E249" s="194"/>
      <c r="F249" s="194"/>
      <c r="G249" s="194"/>
      <c r="H249" s="194"/>
      <c r="K249" s="142"/>
      <c r="L249" s="142"/>
      <c r="M249" s="142"/>
      <c r="N249" s="142"/>
    </row>
    <row r="250" spans="5:14" ht="12.75">
      <c r="E250" s="194"/>
      <c r="F250" s="194"/>
      <c r="G250" s="194"/>
      <c r="H250" s="194"/>
      <c r="K250" s="142"/>
      <c r="L250" s="142"/>
      <c r="M250" s="142"/>
      <c r="N250" s="142"/>
    </row>
    <row r="251" spans="5:14" ht="12.75">
      <c r="E251" s="194"/>
      <c r="F251" s="194"/>
      <c r="G251" s="194"/>
      <c r="H251" s="194"/>
      <c r="K251" s="142"/>
      <c r="L251" s="142"/>
      <c r="M251" s="142"/>
      <c r="N251" s="142"/>
    </row>
    <row r="252" spans="5:14" ht="12.75">
      <c r="E252" s="194"/>
      <c r="F252" s="194"/>
      <c r="G252" s="194"/>
      <c r="H252" s="194"/>
      <c r="K252" s="142"/>
      <c r="L252" s="142"/>
      <c r="M252" s="142"/>
      <c r="N252" s="142"/>
    </row>
    <row r="253" spans="5:14" ht="12.75">
      <c r="E253" s="194"/>
      <c r="F253" s="194"/>
      <c r="G253" s="194"/>
      <c r="H253" s="194"/>
      <c r="K253" s="142"/>
      <c r="L253" s="142"/>
      <c r="M253" s="142"/>
      <c r="N253" s="142"/>
    </row>
    <row r="254" spans="5:14" ht="12.75">
      <c r="E254" s="194"/>
      <c r="F254" s="194"/>
      <c r="G254" s="194"/>
      <c r="H254" s="194"/>
      <c r="K254" s="142"/>
      <c r="L254" s="142"/>
      <c r="M254" s="142"/>
      <c r="N254" s="142"/>
    </row>
    <row r="255" spans="5:14" ht="12.75">
      <c r="E255" s="194"/>
      <c r="F255" s="194"/>
      <c r="G255" s="194"/>
      <c r="H255" s="194"/>
      <c r="K255" s="142"/>
      <c r="L255" s="142"/>
      <c r="M255" s="142"/>
      <c r="N255" s="142"/>
    </row>
    <row r="256" spans="5:14" ht="12.75">
      <c r="E256" s="194"/>
      <c r="F256" s="194"/>
      <c r="G256" s="194"/>
      <c r="H256" s="194"/>
      <c r="K256" s="142"/>
      <c r="L256" s="142"/>
      <c r="M256" s="142"/>
      <c r="N256" s="142"/>
    </row>
    <row r="257" spans="5:14" ht="12.75">
      <c r="E257" s="194"/>
      <c r="F257" s="194"/>
      <c r="G257" s="194"/>
      <c r="H257" s="194"/>
      <c r="K257" s="142"/>
      <c r="L257" s="142"/>
      <c r="M257" s="142"/>
      <c r="N257" s="142"/>
    </row>
    <row r="258" spans="5:14" ht="12.75">
      <c r="E258" s="194"/>
      <c r="F258" s="194"/>
      <c r="G258" s="194"/>
      <c r="H258" s="194"/>
      <c r="K258" s="142"/>
      <c r="L258" s="142"/>
      <c r="M258" s="142"/>
      <c r="N258" s="142"/>
    </row>
    <row r="259" spans="5:14" ht="12.75">
      <c r="E259" s="194"/>
      <c r="F259" s="194"/>
      <c r="G259" s="194"/>
      <c r="H259" s="194"/>
      <c r="K259" s="142"/>
      <c r="L259" s="142"/>
      <c r="M259" s="142"/>
      <c r="N259" s="142"/>
    </row>
    <row r="260" spans="5:14" ht="12.75">
      <c r="E260" s="194"/>
      <c r="F260" s="194"/>
      <c r="G260" s="194"/>
      <c r="H260" s="194"/>
      <c r="K260" s="142"/>
      <c r="L260" s="142"/>
      <c r="M260" s="142"/>
      <c r="N260" s="142"/>
    </row>
    <row r="261" spans="5:14" ht="12.75">
      <c r="E261" s="194"/>
      <c r="F261" s="194"/>
      <c r="G261" s="194"/>
      <c r="H261" s="194"/>
      <c r="K261" s="142"/>
      <c r="L261" s="142"/>
      <c r="M261" s="142"/>
      <c r="N261" s="142"/>
    </row>
    <row r="262" spans="5:14" ht="12.75">
      <c r="E262" s="194"/>
      <c r="F262" s="194"/>
      <c r="G262" s="194"/>
      <c r="H262" s="194"/>
      <c r="K262" s="142"/>
      <c r="L262" s="142"/>
      <c r="M262" s="142"/>
      <c r="N262" s="142"/>
    </row>
    <row r="263" spans="5:14" ht="12.75">
      <c r="E263" s="194"/>
      <c r="F263" s="194"/>
      <c r="G263" s="194"/>
      <c r="H263" s="194"/>
      <c r="K263" s="142"/>
      <c r="L263" s="142"/>
      <c r="M263" s="142"/>
      <c r="N263" s="142"/>
    </row>
    <row r="264" spans="5:14" ht="12.75">
      <c r="E264" s="194"/>
      <c r="F264" s="194"/>
      <c r="G264" s="194"/>
      <c r="H264" s="194"/>
      <c r="K264" s="142"/>
      <c r="L264" s="142"/>
      <c r="M264" s="142"/>
      <c r="N264" s="142"/>
    </row>
    <row r="265" spans="5:14" ht="12.75">
      <c r="E265" s="194"/>
      <c r="F265" s="194"/>
      <c r="G265" s="194"/>
      <c r="H265" s="194"/>
      <c r="K265" s="142"/>
      <c r="L265" s="142"/>
      <c r="M265" s="142"/>
      <c r="N265" s="142"/>
    </row>
    <row r="266" spans="5:14" ht="12.75">
      <c r="E266" s="194"/>
      <c r="F266" s="194"/>
      <c r="G266" s="194"/>
      <c r="H266" s="194"/>
      <c r="K266" s="142"/>
      <c r="L266" s="142"/>
      <c r="M266" s="142"/>
      <c r="N266" s="142"/>
    </row>
    <row r="267" spans="5:14" ht="12.75">
      <c r="E267" s="194"/>
      <c r="F267" s="194"/>
      <c r="G267" s="194"/>
      <c r="H267" s="194"/>
      <c r="K267" s="142"/>
      <c r="L267" s="142"/>
      <c r="M267" s="142"/>
      <c r="N267" s="142"/>
    </row>
    <row r="268" spans="5:14" ht="12.75">
      <c r="E268" s="194"/>
      <c r="F268" s="194"/>
      <c r="G268" s="194"/>
      <c r="H268" s="194"/>
      <c r="K268" s="142"/>
      <c r="L268" s="142"/>
      <c r="M268" s="142"/>
      <c r="N268" s="142"/>
    </row>
    <row r="269" spans="5:14" ht="12.75">
      <c r="E269" s="194"/>
      <c r="F269" s="194"/>
      <c r="G269" s="194"/>
      <c r="H269" s="194"/>
      <c r="K269" s="142"/>
      <c r="L269" s="142"/>
      <c r="M269" s="142"/>
      <c r="N269" s="142"/>
    </row>
    <row r="270" spans="5:14" ht="12.75">
      <c r="E270" s="194"/>
      <c r="F270" s="194"/>
      <c r="G270" s="194"/>
      <c r="H270" s="194"/>
      <c r="K270" s="142"/>
      <c r="L270" s="142"/>
      <c r="M270" s="142"/>
      <c r="N270" s="142"/>
    </row>
    <row r="271" spans="5:14" ht="12.75">
      <c r="E271" s="194"/>
      <c r="F271" s="194"/>
      <c r="G271" s="194"/>
      <c r="H271" s="194"/>
      <c r="K271" s="142"/>
      <c r="L271" s="142"/>
      <c r="M271" s="142"/>
      <c r="N271" s="142"/>
    </row>
    <row r="272" spans="5:14" ht="12.75">
      <c r="E272" s="194"/>
      <c r="F272" s="194"/>
      <c r="G272" s="194"/>
      <c r="H272" s="194"/>
      <c r="K272" s="142"/>
      <c r="L272" s="142"/>
      <c r="M272" s="142"/>
      <c r="N272" s="142"/>
    </row>
    <row r="273" spans="5:14" ht="12.75">
      <c r="E273" s="194"/>
      <c r="F273" s="194"/>
      <c r="G273" s="194"/>
      <c r="H273" s="194"/>
      <c r="K273" s="142"/>
      <c r="L273" s="142"/>
      <c r="M273" s="142"/>
      <c r="N273" s="142"/>
    </row>
    <row r="274" spans="5:14" ht="12.75">
      <c r="E274" s="194"/>
      <c r="F274" s="194"/>
      <c r="G274" s="194"/>
      <c r="H274" s="194"/>
      <c r="K274" s="142"/>
      <c r="L274" s="142"/>
      <c r="M274" s="142"/>
      <c r="N274" s="142"/>
    </row>
    <row r="275" spans="5:14" ht="12.75">
      <c r="E275" s="194"/>
      <c r="F275" s="194"/>
      <c r="G275" s="194"/>
      <c r="H275" s="194"/>
      <c r="K275" s="142"/>
      <c r="L275" s="142"/>
      <c r="M275" s="142"/>
      <c r="N275" s="142"/>
    </row>
    <row r="276" spans="5:14" ht="12.75">
      <c r="E276" s="194"/>
      <c r="F276" s="194"/>
      <c r="G276" s="194"/>
      <c r="H276" s="194"/>
      <c r="K276" s="142"/>
      <c r="L276" s="142"/>
      <c r="M276" s="142"/>
      <c r="N276" s="142"/>
    </row>
    <row r="277" spans="5:14" ht="12.75">
      <c r="E277" s="194"/>
      <c r="F277" s="194"/>
      <c r="G277" s="194"/>
      <c r="H277" s="194"/>
      <c r="K277" s="142"/>
      <c r="L277" s="142"/>
      <c r="M277" s="142"/>
      <c r="N277" s="142"/>
    </row>
    <row r="278" spans="5:14" ht="12.75">
      <c r="E278" s="194"/>
      <c r="F278" s="194"/>
      <c r="G278" s="194"/>
      <c r="H278" s="194"/>
      <c r="K278" s="142"/>
      <c r="L278" s="142"/>
      <c r="M278" s="142"/>
      <c r="N278" s="142"/>
    </row>
    <row r="279" spans="5:14" ht="12.75">
      <c r="E279" s="194"/>
      <c r="F279" s="194"/>
      <c r="G279" s="194"/>
      <c r="H279" s="194"/>
      <c r="K279" s="142"/>
      <c r="L279" s="142"/>
      <c r="M279" s="142"/>
      <c r="N279" s="142"/>
    </row>
    <row r="280" spans="5:14" ht="12.75">
      <c r="E280" s="194"/>
      <c r="F280" s="194"/>
      <c r="G280" s="194"/>
      <c r="H280" s="194"/>
      <c r="K280" s="142"/>
      <c r="L280" s="142"/>
      <c r="M280" s="142"/>
      <c r="N280" s="142"/>
    </row>
    <row r="281" spans="5:14" ht="12.75">
      <c r="E281" s="194"/>
      <c r="F281" s="194"/>
      <c r="G281" s="194"/>
      <c r="H281" s="194"/>
      <c r="K281" s="142"/>
      <c r="L281" s="142"/>
      <c r="M281" s="142"/>
      <c r="N281" s="142"/>
    </row>
    <row r="282" spans="5:14" ht="12.75">
      <c r="E282" s="194"/>
      <c r="F282" s="194"/>
      <c r="G282" s="194"/>
      <c r="H282" s="194"/>
      <c r="K282" s="142"/>
      <c r="L282" s="142"/>
      <c r="M282" s="142"/>
      <c r="N282" s="142"/>
    </row>
    <row r="283" spans="5:14" ht="12.75">
      <c r="E283" s="194"/>
      <c r="F283" s="194"/>
      <c r="G283" s="194"/>
      <c r="H283" s="194"/>
      <c r="K283" s="142"/>
      <c r="L283" s="142"/>
      <c r="M283" s="142"/>
      <c r="N283" s="142"/>
    </row>
    <row r="284" spans="5:14" ht="12.75">
      <c r="E284" s="194"/>
      <c r="F284" s="194"/>
      <c r="G284" s="194"/>
      <c r="H284" s="194"/>
      <c r="K284" s="142"/>
      <c r="L284" s="142"/>
      <c r="M284" s="142"/>
      <c r="N284" s="142"/>
    </row>
    <row r="285" spans="5:14" ht="12.75">
      <c r="E285" s="194"/>
      <c r="F285" s="194"/>
      <c r="G285" s="194"/>
      <c r="H285" s="194"/>
      <c r="K285" s="142"/>
      <c r="L285" s="142"/>
      <c r="M285" s="142"/>
      <c r="N285" s="142"/>
    </row>
    <row r="286" spans="5:14" ht="12.75">
      <c r="E286" s="194"/>
      <c r="F286" s="194"/>
      <c r="G286" s="194"/>
      <c r="H286" s="194"/>
      <c r="K286" s="142"/>
      <c r="L286" s="142"/>
      <c r="M286" s="142"/>
      <c r="N286" s="142"/>
    </row>
    <row r="287" spans="5:14" ht="12.75">
      <c r="E287" s="194"/>
      <c r="F287" s="194"/>
      <c r="G287" s="194"/>
      <c r="H287" s="194"/>
      <c r="K287" s="142"/>
      <c r="L287" s="142"/>
      <c r="M287" s="142"/>
      <c r="N287" s="142"/>
    </row>
    <row r="288" spans="5:14" ht="12.75">
      <c r="E288" s="194"/>
      <c r="F288" s="194"/>
      <c r="G288" s="194"/>
      <c r="H288" s="194"/>
      <c r="K288" s="142"/>
      <c r="L288" s="142"/>
      <c r="M288" s="142"/>
      <c r="N288" s="142"/>
    </row>
    <row r="289" spans="5:14" ht="12.75">
      <c r="E289" s="194"/>
      <c r="F289" s="194"/>
      <c r="G289" s="194"/>
      <c r="H289" s="194"/>
      <c r="K289" s="142"/>
      <c r="L289" s="142"/>
      <c r="M289" s="142"/>
      <c r="N289" s="142"/>
    </row>
    <row r="290" spans="5:14" ht="12.75">
      <c r="E290" s="194"/>
      <c r="F290" s="194"/>
      <c r="G290" s="194"/>
      <c r="H290" s="194"/>
      <c r="K290" s="142"/>
      <c r="L290" s="142"/>
      <c r="M290" s="142"/>
      <c r="N290" s="142"/>
    </row>
    <row r="291" spans="5:14" ht="12.75">
      <c r="E291" s="194"/>
      <c r="F291" s="194"/>
      <c r="G291" s="194"/>
      <c r="H291" s="194"/>
      <c r="K291" s="142"/>
      <c r="L291" s="142"/>
      <c r="M291" s="142"/>
      <c r="N291" s="142"/>
    </row>
    <row r="292" spans="5:14" ht="12.75">
      <c r="E292" s="194"/>
      <c r="F292" s="194"/>
      <c r="G292" s="194"/>
      <c r="H292" s="194"/>
      <c r="K292" s="142"/>
      <c r="L292" s="142"/>
      <c r="M292" s="142"/>
      <c r="N292" s="142"/>
    </row>
    <row r="293" spans="5:14" ht="12.75">
      <c r="E293" s="194"/>
      <c r="F293" s="194"/>
      <c r="G293" s="194"/>
      <c r="H293" s="194"/>
      <c r="K293" s="142"/>
      <c r="L293" s="142"/>
      <c r="M293" s="142"/>
      <c r="N293" s="142"/>
    </row>
    <row r="294" spans="5:14" ht="12.75">
      <c r="E294" s="194"/>
      <c r="F294" s="194"/>
      <c r="G294" s="194"/>
      <c r="H294" s="194"/>
      <c r="K294" s="142"/>
      <c r="L294" s="142"/>
      <c r="M294" s="142"/>
      <c r="N294" s="142"/>
    </row>
    <row r="295" spans="5:14" ht="12.75">
      <c r="E295" s="194"/>
      <c r="F295" s="194"/>
      <c r="G295" s="194"/>
      <c r="H295" s="194"/>
      <c r="K295" s="142"/>
      <c r="L295" s="142"/>
      <c r="M295" s="142"/>
      <c r="N295" s="142"/>
    </row>
    <row r="296" spans="5:14" ht="12.75">
      <c r="E296" s="194"/>
      <c r="F296" s="194"/>
      <c r="G296" s="194"/>
      <c r="H296" s="194"/>
      <c r="K296" s="142"/>
      <c r="L296" s="142"/>
      <c r="M296" s="142"/>
      <c r="N296" s="142"/>
    </row>
    <row r="297" spans="5:14" ht="12.75">
      <c r="E297" s="194"/>
      <c r="F297" s="194"/>
      <c r="G297" s="194"/>
      <c r="H297" s="194"/>
      <c r="K297" s="142"/>
      <c r="L297" s="142"/>
      <c r="M297" s="142"/>
      <c r="N297" s="142"/>
    </row>
    <row r="298" spans="5:14" ht="12.75">
      <c r="E298" s="194"/>
      <c r="F298" s="194"/>
      <c r="G298" s="194"/>
      <c r="H298" s="194"/>
      <c r="K298" s="142"/>
      <c r="L298" s="142"/>
      <c r="M298" s="142"/>
      <c r="N298" s="142"/>
    </row>
    <row r="299" spans="5:14" ht="12.75">
      <c r="E299" s="194"/>
      <c r="F299" s="194"/>
      <c r="G299" s="194"/>
      <c r="H299" s="194"/>
      <c r="K299" s="142"/>
      <c r="L299" s="142"/>
      <c r="M299" s="142"/>
      <c r="N299" s="142"/>
    </row>
    <row r="300" spans="5:14" ht="12.75">
      <c r="E300" s="194"/>
      <c r="F300" s="194"/>
      <c r="G300" s="194"/>
      <c r="H300" s="194"/>
      <c r="K300" s="142"/>
      <c r="L300" s="142"/>
      <c r="M300" s="142"/>
      <c r="N300" s="142"/>
    </row>
    <row r="301" spans="5:14" ht="12.75">
      <c r="E301" s="194"/>
      <c r="F301" s="194"/>
      <c r="G301" s="194"/>
      <c r="H301" s="194"/>
      <c r="K301" s="142"/>
      <c r="L301" s="142"/>
      <c r="M301" s="142"/>
      <c r="N301" s="142"/>
    </row>
    <row r="302" spans="5:14" ht="12.75">
      <c r="E302" s="194"/>
      <c r="F302" s="194"/>
      <c r="G302" s="194"/>
      <c r="H302" s="194"/>
      <c r="K302" s="142"/>
      <c r="L302" s="142"/>
      <c r="M302" s="142"/>
      <c r="N302" s="142"/>
    </row>
    <row r="303" spans="5:14" ht="12.75">
      <c r="E303" s="194"/>
      <c r="F303" s="194"/>
      <c r="G303" s="194"/>
      <c r="H303" s="194"/>
      <c r="K303" s="142"/>
      <c r="L303" s="142"/>
      <c r="M303" s="142"/>
      <c r="N303" s="142"/>
    </row>
    <row r="304" spans="5:14" ht="12.75">
      <c r="E304" s="194"/>
      <c r="F304" s="194"/>
      <c r="G304" s="194"/>
      <c r="H304" s="194"/>
      <c r="K304" s="142"/>
      <c r="L304" s="142"/>
      <c r="M304" s="142"/>
      <c r="N304" s="142"/>
    </row>
    <row r="305" spans="5:14" ht="12.75">
      <c r="E305" s="194"/>
      <c r="F305" s="194"/>
      <c r="G305" s="194"/>
      <c r="H305" s="194"/>
      <c r="K305" s="142"/>
      <c r="L305" s="142"/>
      <c r="M305" s="142"/>
      <c r="N305" s="142"/>
    </row>
    <row r="306" spans="5:14" ht="12.75">
      <c r="E306" s="194"/>
      <c r="F306" s="194"/>
      <c r="G306" s="194"/>
      <c r="H306" s="194"/>
      <c r="K306" s="142"/>
      <c r="L306" s="142"/>
      <c r="M306" s="142"/>
      <c r="N306" s="142"/>
    </row>
    <row r="307" spans="5:14" ht="12.75">
      <c r="E307" s="194"/>
      <c r="F307" s="194"/>
      <c r="G307" s="194"/>
      <c r="H307" s="194"/>
      <c r="K307" s="142"/>
      <c r="L307" s="142"/>
      <c r="M307" s="142"/>
      <c r="N307" s="142"/>
    </row>
    <row r="308" spans="5:14" ht="12.75">
      <c r="E308" s="194"/>
      <c r="F308" s="194"/>
      <c r="G308" s="194"/>
      <c r="H308" s="194"/>
      <c r="K308" s="142"/>
      <c r="L308" s="142"/>
      <c r="M308" s="142"/>
      <c r="N308" s="142"/>
    </row>
    <row r="309" spans="5:14" ht="12.75">
      <c r="E309" s="194"/>
      <c r="F309" s="194"/>
      <c r="G309" s="194"/>
      <c r="H309" s="194"/>
      <c r="K309" s="142"/>
      <c r="L309" s="142"/>
      <c r="M309" s="142"/>
      <c r="N309" s="142"/>
    </row>
    <row r="310" spans="5:14" ht="12.75">
      <c r="E310" s="194"/>
      <c r="F310" s="194"/>
      <c r="G310" s="194"/>
      <c r="H310" s="194"/>
      <c r="K310" s="142"/>
      <c r="L310" s="142"/>
      <c r="M310" s="142"/>
      <c r="N310" s="142"/>
    </row>
    <row r="311" spans="5:14" ht="12.75">
      <c r="E311" s="194"/>
      <c r="F311" s="194"/>
      <c r="G311" s="194"/>
      <c r="H311" s="194"/>
      <c r="K311" s="142"/>
      <c r="L311" s="142"/>
      <c r="M311" s="142"/>
      <c r="N311" s="142"/>
    </row>
    <row r="312" spans="5:14" ht="12.75">
      <c r="E312" s="194"/>
      <c r="F312" s="194"/>
      <c r="G312" s="194"/>
      <c r="H312" s="194"/>
      <c r="K312" s="142"/>
      <c r="L312" s="142"/>
      <c r="M312" s="142"/>
      <c r="N312" s="142"/>
    </row>
    <row r="313" spans="5:14" ht="12.75">
      <c r="E313" s="194"/>
      <c r="F313" s="194"/>
      <c r="G313" s="194"/>
      <c r="H313" s="194"/>
      <c r="K313" s="142"/>
      <c r="L313" s="142"/>
      <c r="M313" s="142"/>
      <c r="N313" s="142"/>
    </row>
    <row r="314" spans="5:14" ht="12.75">
      <c r="E314" s="194"/>
      <c r="F314" s="194"/>
      <c r="G314" s="194"/>
      <c r="H314" s="194"/>
      <c r="K314" s="142"/>
      <c r="L314" s="142"/>
      <c r="M314" s="142"/>
      <c r="N314" s="142"/>
    </row>
    <row r="315" spans="5:14" ht="12.75">
      <c r="E315" s="194"/>
      <c r="F315" s="194"/>
      <c r="G315" s="194"/>
      <c r="H315" s="194"/>
      <c r="K315" s="142"/>
      <c r="L315" s="142"/>
      <c r="M315" s="142"/>
      <c r="N315" s="142"/>
    </row>
    <row r="316" spans="5:14" ht="12.75">
      <c r="E316" s="194"/>
      <c r="F316" s="194"/>
      <c r="G316" s="194"/>
      <c r="H316" s="194"/>
      <c r="K316" s="142"/>
      <c r="L316" s="142"/>
      <c r="M316" s="142"/>
      <c r="N316" s="142"/>
    </row>
    <row r="317" spans="5:14" ht="12.75">
      <c r="E317" s="194"/>
      <c r="F317" s="194"/>
      <c r="G317" s="194"/>
      <c r="H317" s="194"/>
      <c r="K317" s="142"/>
      <c r="L317" s="142"/>
      <c r="M317" s="142"/>
      <c r="N317" s="142"/>
    </row>
    <row r="318" spans="5:14" ht="12.75">
      <c r="E318" s="194"/>
      <c r="F318" s="194"/>
      <c r="G318" s="194"/>
      <c r="H318" s="194"/>
      <c r="K318" s="142"/>
      <c r="L318" s="142"/>
      <c r="M318" s="142"/>
      <c r="N318" s="142"/>
    </row>
    <row r="319" spans="5:14" ht="12.75">
      <c r="E319" s="194"/>
      <c r="F319" s="194"/>
      <c r="G319" s="194"/>
      <c r="H319" s="194"/>
      <c r="K319" s="142"/>
      <c r="L319" s="142"/>
      <c r="M319" s="142"/>
      <c r="N319" s="142"/>
    </row>
    <row r="320" spans="5:14" ht="12.75">
      <c r="E320" s="194"/>
      <c r="F320" s="194"/>
      <c r="G320" s="194"/>
      <c r="H320" s="194"/>
      <c r="K320" s="142"/>
      <c r="L320" s="142"/>
      <c r="M320" s="142"/>
      <c r="N320" s="142"/>
    </row>
    <row r="321" spans="5:14" ht="12.75">
      <c r="E321" s="194"/>
      <c r="F321" s="194"/>
      <c r="G321" s="194"/>
      <c r="H321" s="194"/>
      <c r="K321" s="142"/>
      <c r="L321" s="142"/>
      <c r="M321" s="142"/>
      <c r="N321" s="142"/>
    </row>
    <row r="322" spans="5:14" ht="12.75">
      <c r="E322" s="194"/>
      <c r="F322" s="194"/>
      <c r="G322" s="194"/>
      <c r="H322" s="194"/>
      <c r="K322" s="142"/>
      <c r="L322" s="142"/>
      <c r="M322" s="142"/>
      <c r="N322" s="142"/>
    </row>
    <row r="323" spans="5:14" ht="12.75">
      <c r="E323" s="194"/>
      <c r="F323" s="194"/>
      <c r="G323" s="194"/>
      <c r="H323" s="194"/>
      <c r="K323" s="142"/>
      <c r="L323" s="142"/>
      <c r="M323" s="142"/>
      <c r="N323" s="142"/>
    </row>
    <row r="324" spans="5:14" ht="12.75">
      <c r="E324" s="194"/>
      <c r="F324" s="194"/>
      <c r="G324" s="194"/>
      <c r="H324" s="194"/>
      <c r="K324" s="142"/>
      <c r="L324" s="142"/>
      <c r="M324" s="142"/>
      <c r="N324" s="142"/>
    </row>
    <row r="325" spans="5:14" ht="12.75">
      <c r="E325" s="194"/>
      <c r="F325" s="194"/>
      <c r="G325" s="194"/>
      <c r="H325" s="194"/>
      <c r="K325" s="142"/>
      <c r="L325" s="142"/>
      <c r="M325" s="142"/>
      <c r="N325" s="142"/>
    </row>
    <row r="326" spans="5:14" ht="12.75">
      <c r="E326" s="194"/>
      <c r="F326" s="194"/>
      <c r="G326" s="194"/>
      <c r="H326" s="194"/>
      <c r="K326" s="142"/>
      <c r="L326" s="142"/>
      <c r="M326" s="142"/>
      <c r="N326" s="142"/>
    </row>
    <row r="327" spans="5:14" ht="12.75">
      <c r="E327" s="194"/>
      <c r="F327" s="194"/>
      <c r="G327" s="194"/>
      <c r="H327" s="194"/>
      <c r="K327" s="142"/>
      <c r="L327" s="142"/>
      <c r="M327" s="142"/>
      <c r="N327" s="142"/>
    </row>
    <row r="328" spans="5:14" ht="12.75">
      <c r="E328" s="194"/>
      <c r="F328" s="194"/>
      <c r="G328" s="194"/>
      <c r="H328" s="194"/>
      <c r="K328" s="142"/>
      <c r="L328" s="142"/>
      <c r="M328" s="142"/>
      <c r="N328" s="142"/>
    </row>
    <row r="329" spans="5:14" ht="12.75">
      <c r="E329" s="194"/>
      <c r="F329" s="194"/>
      <c r="G329" s="194"/>
      <c r="H329" s="194"/>
      <c r="K329" s="142"/>
      <c r="L329" s="142"/>
      <c r="M329" s="142"/>
      <c r="N329" s="142"/>
    </row>
    <row r="330" spans="5:14" ht="12.75">
      <c r="E330" s="194"/>
      <c r="F330" s="194"/>
      <c r="G330" s="194"/>
      <c r="H330" s="194"/>
      <c r="K330" s="142"/>
      <c r="L330" s="142"/>
      <c r="M330" s="142"/>
      <c r="N330" s="142"/>
    </row>
    <row r="331" spans="5:14" ht="12.75">
      <c r="E331" s="194"/>
      <c r="F331" s="194"/>
      <c r="G331" s="194"/>
      <c r="H331" s="194"/>
      <c r="K331" s="142"/>
      <c r="L331" s="142"/>
      <c r="M331" s="142"/>
      <c r="N331" s="142"/>
    </row>
    <row r="332" spans="5:14" ht="12.75">
      <c r="E332" s="194"/>
      <c r="F332" s="194"/>
      <c r="G332" s="194"/>
      <c r="H332" s="194"/>
      <c r="K332" s="142"/>
      <c r="L332" s="142"/>
      <c r="M332" s="142"/>
      <c r="N332" s="142"/>
    </row>
    <row r="333" spans="5:14" ht="12.75">
      <c r="E333" s="194"/>
      <c r="F333" s="194"/>
      <c r="G333" s="194"/>
      <c r="H333" s="194"/>
      <c r="K333" s="142"/>
      <c r="L333" s="142"/>
      <c r="M333" s="142"/>
      <c r="N333" s="142"/>
    </row>
    <row r="334" spans="5:14" ht="12.75">
      <c r="E334" s="194"/>
      <c r="F334" s="194"/>
      <c r="G334" s="194"/>
      <c r="H334" s="194"/>
      <c r="K334" s="142"/>
      <c r="L334" s="142"/>
      <c r="M334" s="142"/>
      <c r="N334" s="142"/>
    </row>
    <row r="335" spans="5:14" ht="12.75">
      <c r="E335" s="194"/>
      <c r="F335" s="194"/>
      <c r="G335" s="194"/>
      <c r="H335" s="194"/>
      <c r="K335" s="142"/>
      <c r="L335" s="142"/>
      <c r="M335" s="142"/>
      <c r="N335" s="142"/>
    </row>
    <row r="336" spans="5:14" ht="12.75">
      <c r="E336" s="194"/>
      <c r="F336" s="194"/>
      <c r="G336" s="194"/>
      <c r="H336" s="194"/>
      <c r="K336" s="142"/>
      <c r="L336" s="142"/>
      <c r="M336" s="142"/>
      <c r="N336" s="142"/>
    </row>
    <row r="337" spans="5:14" ht="12.75">
      <c r="E337" s="194"/>
      <c r="F337" s="194"/>
      <c r="G337" s="194"/>
      <c r="H337" s="194"/>
      <c r="K337" s="142"/>
      <c r="L337" s="142"/>
      <c r="M337" s="142"/>
      <c r="N337" s="142"/>
    </row>
    <row r="338" spans="5:14" ht="12.75">
      <c r="E338" s="194"/>
      <c r="F338" s="194"/>
      <c r="G338" s="194"/>
      <c r="H338" s="194"/>
      <c r="K338" s="142"/>
      <c r="L338" s="142"/>
      <c r="M338" s="142"/>
      <c r="N338" s="142"/>
    </row>
    <row r="339" spans="5:14" ht="12.75">
      <c r="E339" s="194"/>
      <c r="F339" s="194"/>
      <c r="G339" s="194"/>
      <c r="H339" s="194"/>
      <c r="K339" s="142"/>
      <c r="L339" s="142"/>
      <c r="M339" s="142"/>
      <c r="N339" s="142"/>
    </row>
    <row r="340" spans="5:14" ht="12.75">
      <c r="E340" s="194"/>
      <c r="F340" s="194"/>
      <c r="G340" s="194"/>
      <c r="H340" s="194"/>
      <c r="K340" s="142"/>
      <c r="L340" s="142"/>
      <c r="M340" s="142"/>
      <c r="N340" s="142"/>
    </row>
    <row r="341" spans="5:14" ht="12.75">
      <c r="E341" s="194"/>
      <c r="F341" s="194"/>
      <c r="G341" s="194"/>
      <c r="H341" s="194"/>
      <c r="K341" s="142"/>
      <c r="L341" s="142"/>
      <c r="M341" s="142"/>
      <c r="N341" s="142"/>
    </row>
    <row r="342" spans="5:14" ht="12.75">
      <c r="E342" s="194"/>
      <c r="F342" s="194"/>
      <c r="G342" s="194"/>
      <c r="H342" s="194"/>
      <c r="K342" s="142"/>
      <c r="L342" s="142"/>
      <c r="M342" s="142"/>
      <c r="N342" s="142"/>
    </row>
    <row r="343" spans="5:14" ht="12.75">
      <c r="E343" s="194"/>
      <c r="F343" s="194"/>
      <c r="G343" s="194"/>
      <c r="H343" s="194"/>
      <c r="K343" s="142"/>
      <c r="L343" s="142"/>
      <c r="M343" s="142"/>
      <c r="N343" s="142"/>
    </row>
    <row r="344" spans="5:14" ht="12.75">
      <c r="E344" s="194"/>
      <c r="F344" s="194"/>
      <c r="G344" s="194"/>
      <c r="H344" s="194"/>
      <c r="K344" s="142"/>
      <c r="L344" s="142"/>
      <c r="M344" s="142"/>
      <c r="N344" s="142"/>
    </row>
    <row r="345" spans="5:14" ht="12.75">
      <c r="E345" s="194"/>
      <c r="F345" s="194"/>
      <c r="G345" s="194"/>
      <c r="H345" s="194"/>
      <c r="K345" s="142"/>
      <c r="L345" s="142"/>
      <c r="M345" s="142"/>
      <c r="N345" s="142"/>
    </row>
    <row r="346" spans="5:14" ht="12.75">
      <c r="E346" s="194"/>
      <c r="F346" s="194"/>
      <c r="G346" s="194"/>
      <c r="H346" s="194"/>
      <c r="K346" s="142"/>
      <c r="L346" s="142"/>
      <c r="M346" s="142"/>
      <c r="N346" s="142"/>
    </row>
    <row r="347" spans="5:14" ht="12.75">
      <c r="E347" s="194"/>
      <c r="F347" s="194"/>
      <c r="G347" s="194"/>
      <c r="H347" s="194"/>
      <c r="K347" s="142"/>
      <c r="L347" s="142"/>
      <c r="M347" s="142"/>
      <c r="N347" s="142"/>
    </row>
    <row r="348" spans="5:14" ht="12.75">
      <c r="E348" s="194"/>
      <c r="F348" s="194"/>
      <c r="G348" s="194"/>
      <c r="H348" s="194"/>
      <c r="K348" s="142"/>
      <c r="L348" s="142"/>
      <c r="M348" s="142"/>
      <c r="N348" s="142"/>
    </row>
    <row r="349" spans="5:14" ht="12.75">
      <c r="E349" s="194"/>
      <c r="F349" s="194"/>
      <c r="G349" s="194"/>
      <c r="H349" s="194"/>
      <c r="K349" s="142"/>
      <c r="L349" s="142"/>
      <c r="M349" s="142"/>
      <c r="N349" s="142"/>
    </row>
    <row r="350" spans="5:14" ht="12.75">
      <c r="E350" s="194"/>
      <c r="F350" s="194"/>
      <c r="G350" s="194"/>
      <c r="H350" s="194"/>
      <c r="K350" s="142"/>
      <c r="L350" s="142"/>
      <c r="M350" s="142"/>
      <c r="N350" s="142"/>
    </row>
    <row r="351" spans="5:14" ht="12.75">
      <c r="E351" s="194"/>
      <c r="F351" s="194"/>
      <c r="G351" s="194"/>
      <c r="H351" s="194"/>
      <c r="K351" s="142"/>
      <c r="L351" s="142"/>
      <c r="M351" s="142"/>
      <c r="N351" s="142"/>
    </row>
    <row r="352" spans="5:14" ht="12.75">
      <c r="E352" s="194"/>
      <c r="F352" s="194"/>
      <c r="G352" s="194"/>
      <c r="H352" s="194"/>
      <c r="K352" s="142"/>
      <c r="L352" s="142"/>
      <c r="M352" s="142"/>
      <c r="N352" s="142"/>
    </row>
    <row r="353" spans="5:14" ht="12.75">
      <c r="E353" s="194"/>
      <c r="F353" s="194"/>
      <c r="G353" s="194"/>
      <c r="H353" s="194"/>
      <c r="K353" s="142"/>
      <c r="L353" s="142"/>
      <c r="M353" s="142"/>
      <c r="N353" s="142"/>
    </row>
    <row r="354" spans="5:14" ht="12.75">
      <c r="E354" s="194"/>
      <c r="F354" s="194"/>
      <c r="G354" s="194"/>
      <c r="H354" s="194"/>
      <c r="K354" s="142"/>
      <c r="L354" s="142"/>
      <c r="M354" s="142"/>
      <c r="N354" s="142"/>
    </row>
    <row r="355" spans="5:14" ht="12.75">
      <c r="E355" s="194"/>
      <c r="F355" s="194"/>
      <c r="G355" s="194"/>
      <c r="H355" s="194"/>
      <c r="K355" s="142"/>
      <c r="L355" s="142"/>
      <c r="M355" s="142"/>
      <c r="N355" s="142"/>
    </row>
    <row r="356" spans="5:14" ht="12.75">
      <c r="E356" s="194"/>
      <c r="F356" s="194"/>
      <c r="G356" s="194"/>
      <c r="H356" s="194"/>
      <c r="K356" s="142"/>
      <c r="L356" s="142"/>
      <c r="M356" s="142"/>
      <c r="N356" s="142"/>
    </row>
    <row r="357" spans="5:14" ht="12.75">
      <c r="E357" s="194"/>
      <c r="F357" s="194"/>
      <c r="G357" s="194"/>
      <c r="H357" s="194"/>
      <c r="K357" s="142"/>
      <c r="L357" s="142"/>
      <c r="M357" s="142"/>
      <c r="N357" s="142"/>
    </row>
    <row r="358" spans="5:14" ht="12.75">
      <c r="E358" s="194"/>
      <c r="F358" s="194"/>
      <c r="G358" s="194"/>
      <c r="H358" s="194"/>
      <c r="K358" s="142"/>
      <c r="L358" s="142"/>
      <c r="M358" s="142"/>
      <c r="N358" s="142"/>
    </row>
    <row r="359" spans="5:14" ht="12.75">
      <c r="E359" s="194"/>
      <c r="F359" s="194"/>
      <c r="G359" s="194"/>
      <c r="H359" s="194"/>
      <c r="K359" s="142"/>
      <c r="L359" s="142"/>
      <c r="M359" s="142"/>
      <c r="N359" s="142"/>
    </row>
    <row r="360" spans="5:14" ht="12.75">
      <c r="E360" s="194"/>
      <c r="F360" s="194"/>
      <c r="G360" s="194"/>
      <c r="H360" s="194"/>
      <c r="K360" s="142"/>
      <c r="L360" s="142"/>
      <c r="M360" s="142"/>
      <c r="N360" s="142"/>
    </row>
    <row r="361" spans="5:14" ht="12.75">
      <c r="E361" s="194"/>
      <c r="F361" s="194"/>
      <c r="G361" s="194"/>
      <c r="H361" s="194"/>
      <c r="K361" s="142"/>
      <c r="L361" s="142"/>
      <c r="M361" s="142"/>
      <c r="N361" s="142"/>
    </row>
    <row r="362" spans="5:14" ht="12.75">
      <c r="E362" s="194"/>
      <c r="F362" s="194"/>
      <c r="G362" s="194"/>
      <c r="H362" s="194"/>
      <c r="K362" s="142"/>
      <c r="L362" s="142"/>
      <c r="M362" s="142"/>
      <c r="N362" s="142"/>
    </row>
    <row r="363" spans="5:14" ht="12.75">
      <c r="E363" s="194"/>
      <c r="F363" s="194"/>
      <c r="G363" s="194"/>
      <c r="H363" s="194"/>
      <c r="K363" s="142"/>
      <c r="L363" s="142"/>
      <c r="M363" s="142"/>
      <c r="N363" s="142"/>
    </row>
    <row r="364" spans="5:14" ht="12.75">
      <c r="E364" s="194"/>
      <c r="F364" s="194"/>
      <c r="G364" s="194"/>
      <c r="H364" s="194"/>
      <c r="K364" s="142"/>
      <c r="L364" s="142"/>
      <c r="M364" s="142"/>
      <c r="N364" s="142"/>
    </row>
    <row r="365" spans="5:14" ht="12.75">
      <c r="E365" s="194"/>
      <c r="F365" s="194"/>
      <c r="G365" s="194"/>
      <c r="H365" s="194"/>
      <c r="K365" s="142"/>
      <c r="L365" s="142"/>
      <c r="M365" s="142"/>
      <c r="N365" s="142"/>
    </row>
    <row r="366" spans="5:14" ht="12.75">
      <c r="E366" s="194"/>
      <c r="F366" s="194"/>
      <c r="G366" s="194"/>
      <c r="H366" s="194"/>
      <c r="K366" s="142"/>
      <c r="L366" s="142"/>
      <c r="M366" s="142"/>
      <c r="N366" s="142"/>
    </row>
    <row r="367" spans="5:14" ht="12.75">
      <c r="E367" s="194"/>
      <c r="F367" s="194"/>
      <c r="G367" s="194"/>
      <c r="H367" s="194"/>
      <c r="K367" s="142"/>
      <c r="L367" s="142"/>
      <c r="M367" s="142"/>
      <c r="N367" s="142"/>
    </row>
    <row r="368" spans="5:14" ht="12.75">
      <c r="E368" s="194"/>
      <c r="F368" s="194"/>
      <c r="G368" s="194"/>
      <c r="H368" s="194"/>
      <c r="K368" s="142"/>
      <c r="L368" s="142"/>
      <c r="M368" s="142"/>
      <c r="N368" s="142"/>
    </row>
    <row r="369" spans="5:14" ht="12.75">
      <c r="E369" s="194"/>
      <c r="F369" s="194"/>
      <c r="G369" s="194"/>
      <c r="H369" s="194"/>
      <c r="K369" s="142"/>
      <c r="L369" s="142"/>
      <c r="M369" s="142"/>
      <c r="N369" s="142"/>
    </row>
    <row r="370" spans="5:14" ht="12.75">
      <c r="E370" s="194"/>
      <c r="F370" s="194"/>
      <c r="G370" s="194"/>
      <c r="H370" s="194"/>
      <c r="K370" s="142"/>
      <c r="L370" s="142"/>
      <c r="M370" s="142"/>
      <c r="N370" s="142"/>
    </row>
    <row r="371" spans="5:14" ht="12.75">
      <c r="E371" s="194"/>
      <c r="F371" s="194"/>
      <c r="G371" s="194"/>
      <c r="H371" s="194"/>
      <c r="K371" s="142"/>
      <c r="L371" s="142"/>
      <c r="M371" s="142"/>
      <c r="N371" s="142"/>
    </row>
    <row r="372" spans="5:14" ht="12.75">
      <c r="E372" s="194"/>
      <c r="F372" s="194"/>
      <c r="G372" s="194"/>
      <c r="H372" s="194"/>
      <c r="K372" s="142"/>
      <c r="L372" s="142"/>
      <c r="M372" s="142"/>
      <c r="N372" s="142"/>
    </row>
    <row r="373" spans="5:14" ht="12.75">
      <c r="E373" s="194"/>
      <c r="F373" s="194"/>
      <c r="G373" s="194"/>
      <c r="H373" s="194"/>
      <c r="K373" s="142"/>
      <c r="L373" s="142"/>
      <c r="M373" s="142"/>
      <c r="N373" s="142"/>
    </row>
    <row r="374" spans="5:14" ht="12.75">
      <c r="E374" s="194"/>
      <c r="F374" s="194"/>
      <c r="G374" s="194"/>
      <c r="H374" s="194"/>
      <c r="K374" s="142"/>
      <c r="L374" s="142"/>
      <c r="M374" s="142"/>
      <c r="N374" s="142"/>
    </row>
    <row r="375" spans="5:14" ht="12.75">
      <c r="E375" s="194"/>
      <c r="F375" s="194"/>
      <c r="G375" s="194"/>
      <c r="H375" s="194"/>
      <c r="K375" s="142"/>
      <c r="L375" s="142"/>
      <c r="M375" s="142"/>
      <c r="N375" s="142"/>
    </row>
    <row r="376" spans="5:14" ht="12.75">
      <c r="E376" s="194"/>
      <c r="F376" s="194"/>
      <c r="G376" s="194"/>
      <c r="H376" s="194"/>
      <c r="K376" s="142"/>
      <c r="L376" s="142"/>
      <c r="M376" s="142"/>
      <c r="N376" s="142"/>
    </row>
    <row r="377" spans="5:14" ht="12.75">
      <c r="E377" s="194"/>
      <c r="F377" s="194"/>
      <c r="G377" s="194"/>
      <c r="H377" s="194"/>
      <c r="K377" s="142"/>
      <c r="L377" s="142"/>
      <c r="M377" s="142"/>
      <c r="N377" s="142"/>
    </row>
    <row r="378" spans="5:14" ht="12.75">
      <c r="E378" s="194"/>
      <c r="F378" s="194"/>
      <c r="G378" s="194"/>
      <c r="H378" s="194"/>
      <c r="K378" s="142"/>
      <c r="L378" s="142"/>
      <c r="M378" s="142"/>
      <c r="N378" s="142"/>
    </row>
    <row r="379" spans="5:14" ht="12.75">
      <c r="E379" s="194"/>
      <c r="F379" s="194"/>
      <c r="G379" s="194"/>
      <c r="H379" s="194"/>
      <c r="K379" s="142"/>
      <c r="L379" s="142"/>
      <c r="M379" s="142"/>
      <c r="N379" s="142"/>
    </row>
    <row r="380" spans="5:14" ht="12.75">
      <c r="E380" s="194"/>
      <c r="F380" s="194"/>
      <c r="G380" s="194"/>
      <c r="H380" s="194"/>
      <c r="K380" s="142"/>
      <c r="L380" s="142"/>
      <c r="M380" s="142"/>
      <c r="N380" s="142"/>
    </row>
    <row r="381" spans="5:14" ht="12.75">
      <c r="E381" s="194"/>
      <c r="F381" s="194"/>
      <c r="G381" s="194"/>
      <c r="H381" s="194"/>
      <c r="K381" s="142"/>
      <c r="L381" s="142"/>
      <c r="M381" s="142"/>
      <c r="N381" s="142"/>
    </row>
    <row r="382" spans="5:14" ht="12.75">
      <c r="E382" s="194"/>
      <c r="F382" s="194"/>
      <c r="G382" s="194"/>
      <c r="H382" s="194"/>
      <c r="K382" s="142"/>
      <c r="L382" s="142"/>
      <c r="M382" s="142"/>
      <c r="N382" s="142"/>
    </row>
    <row r="383" spans="5:14" ht="12.75">
      <c r="E383" s="194"/>
      <c r="F383" s="194"/>
      <c r="G383" s="194"/>
      <c r="H383" s="194"/>
      <c r="K383" s="142"/>
      <c r="L383" s="142"/>
      <c r="M383" s="142"/>
      <c r="N383" s="142"/>
    </row>
    <row r="384" spans="5:14" ht="12.75">
      <c r="E384" s="194"/>
      <c r="F384" s="194"/>
      <c r="G384" s="194"/>
      <c r="H384" s="194"/>
      <c r="K384" s="142"/>
      <c r="L384" s="142"/>
      <c r="M384" s="142"/>
      <c r="N384" s="142"/>
    </row>
    <row r="385" spans="5:14" ht="12.75">
      <c r="E385" s="194"/>
      <c r="F385" s="194"/>
      <c r="G385" s="194"/>
      <c r="H385" s="194"/>
      <c r="K385" s="142"/>
      <c r="L385" s="142"/>
      <c r="M385" s="142"/>
      <c r="N385" s="142"/>
    </row>
    <row r="386" spans="5:14" ht="12.75">
      <c r="E386" s="194"/>
      <c r="F386" s="194"/>
      <c r="G386" s="194"/>
      <c r="H386" s="194"/>
      <c r="K386" s="142"/>
      <c r="L386" s="142"/>
      <c r="M386" s="142"/>
      <c r="N386" s="142"/>
    </row>
    <row r="387" spans="5:14" ht="12.75">
      <c r="E387" s="194"/>
      <c r="F387" s="194"/>
      <c r="G387" s="194"/>
      <c r="H387" s="194"/>
      <c r="K387" s="142"/>
      <c r="L387" s="142"/>
      <c r="M387" s="142"/>
      <c r="N387" s="142"/>
    </row>
    <row r="388" spans="5:14" ht="12.75">
      <c r="E388" s="194"/>
      <c r="F388" s="194"/>
      <c r="G388" s="194"/>
      <c r="H388" s="194"/>
      <c r="K388" s="142"/>
      <c r="L388" s="142"/>
      <c r="M388" s="142"/>
      <c r="N388" s="142"/>
    </row>
    <row r="389" spans="5:14" ht="12.75">
      <c r="E389" s="194"/>
      <c r="F389" s="194"/>
      <c r="G389" s="194"/>
      <c r="H389" s="194"/>
      <c r="K389" s="142"/>
      <c r="L389" s="142"/>
      <c r="M389" s="142"/>
      <c r="N389" s="142"/>
    </row>
    <row r="390" spans="5:14" ht="12.75">
      <c r="E390" s="194"/>
      <c r="F390" s="194"/>
      <c r="G390" s="194"/>
      <c r="H390" s="194"/>
      <c r="K390" s="142"/>
      <c r="L390" s="142"/>
      <c r="M390" s="142"/>
      <c r="N390" s="142"/>
    </row>
    <row r="391" spans="5:14" ht="12.75">
      <c r="E391" s="194"/>
      <c r="F391" s="194"/>
      <c r="G391" s="194"/>
      <c r="H391" s="194"/>
      <c r="K391" s="142"/>
      <c r="L391" s="142"/>
      <c r="M391" s="142"/>
      <c r="N391" s="142"/>
    </row>
    <row r="392" spans="5:14" ht="12.75">
      <c r="E392" s="194"/>
      <c r="F392" s="194"/>
      <c r="G392" s="194"/>
      <c r="H392" s="194"/>
      <c r="K392" s="142"/>
      <c r="L392" s="142"/>
      <c r="M392" s="142"/>
      <c r="N392" s="142"/>
    </row>
    <row r="393" spans="5:14" ht="12.75">
      <c r="E393" s="194"/>
      <c r="F393" s="194"/>
      <c r="G393" s="194"/>
      <c r="H393" s="194"/>
      <c r="K393" s="142"/>
      <c r="L393" s="142"/>
      <c r="M393" s="142"/>
      <c r="N393" s="142"/>
    </row>
    <row r="394" spans="5:14" ht="12.75">
      <c r="E394" s="194"/>
      <c r="F394" s="194"/>
      <c r="G394" s="194"/>
      <c r="H394" s="194"/>
      <c r="K394" s="142"/>
      <c r="L394" s="142"/>
      <c r="M394" s="142"/>
      <c r="N394" s="142"/>
    </row>
    <row r="395" spans="5:14" ht="12.75">
      <c r="E395" s="194"/>
      <c r="F395" s="194"/>
      <c r="G395" s="194"/>
      <c r="H395" s="194"/>
      <c r="K395" s="142"/>
      <c r="L395" s="142"/>
      <c r="M395" s="142"/>
      <c r="N395" s="142"/>
    </row>
    <row r="396" spans="5:14" ht="12.75">
      <c r="E396" s="194"/>
      <c r="F396" s="194"/>
      <c r="G396" s="194"/>
      <c r="H396" s="194"/>
      <c r="K396" s="142"/>
      <c r="L396" s="142"/>
      <c r="M396" s="142"/>
      <c r="N396" s="142"/>
    </row>
    <row r="397" spans="5:14" ht="12.75">
      <c r="E397" s="194"/>
      <c r="F397" s="194"/>
      <c r="G397" s="194"/>
      <c r="H397" s="194"/>
      <c r="K397" s="142"/>
      <c r="L397" s="142"/>
      <c r="M397" s="142"/>
      <c r="N397" s="142"/>
    </row>
    <row r="398" spans="5:14" ht="12.75">
      <c r="E398" s="194"/>
      <c r="F398" s="194"/>
      <c r="G398" s="194"/>
      <c r="H398" s="194"/>
      <c r="K398" s="142"/>
      <c r="L398" s="142"/>
      <c r="M398" s="142"/>
      <c r="N398" s="142"/>
    </row>
    <row r="399" spans="5:14" ht="12.75">
      <c r="E399" s="194"/>
      <c r="F399" s="194"/>
      <c r="G399" s="194"/>
      <c r="H399" s="194"/>
      <c r="K399" s="142"/>
      <c r="L399" s="142"/>
      <c r="M399" s="142"/>
      <c r="N399" s="142"/>
    </row>
    <row r="400" spans="5:14" ht="12.75">
      <c r="E400" s="194"/>
      <c r="F400" s="194"/>
      <c r="G400" s="194"/>
      <c r="H400" s="194"/>
      <c r="K400" s="142"/>
      <c r="L400" s="142"/>
      <c r="M400" s="142"/>
      <c r="N400" s="142"/>
    </row>
    <row r="401" spans="5:14" ht="12.75">
      <c r="E401" s="194"/>
      <c r="F401" s="194"/>
      <c r="G401" s="194"/>
      <c r="H401" s="194"/>
      <c r="K401" s="142"/>
      <c r="L401" s="142"/>
      <c r="M401" s="142"/>
      <c r="N401" s="142"/>
    </row>
    <row r="402" spans="5:14" ht="12.75">
      <c r="E402" s="194"/>
      <c r="F402" s="194"/>
      <c r="G402" s="194"/>
      <c r="H402" s="194"/>
      <c r="K402" s="142"/>
      <c r="L402" s="142"/>
      <c r="M402" s="142"/>
      <c r="N402" s="142"/>
    </row>
    <row r="403" spans="5:14" ht="12.75">
      <c r="E403" s="194"/>
      <c r="F403" s="194"/>
      <c r="G403" s="194"/>
      <c r="H403" s="194"/>
      <c r="K403" s="142"/>
      <c r="L403" s="142"/>
      <c r="M403" s="142"/>
      <c r="N403" s="142"/>
    </row>
    <row r="404" spans="5:14" ht="12.75">
      <c r="E404" s="194"/>
      <c r="F404" s="194"/>
      <c r="G404" s="194"/>
      <c r="H404" s="194"/>
      <c r="K404" s="142"/>
      <c r="L404" s="142"/>
      <c r="M404" s="142"/>
      <c r="N404" s="142"/>
    </row>
    <row r="405" spans="5:14" ht="12.75">
      <c r="E405" s="194"/>
      <c r="F405" s="194"/>
      <c r="G405" s="194"/>
      <c r="H405" s="194"/>
      <c r="K405" s="142"/>
      <c r="L405" s="142"/>
      <c r="M405" s="142"/>
      <c r="N405" s="142"/>
    </row>
    <row r="406" spans="5:14" ht="12.75">
      <c r="E406" s="194"/>
      <c r="F406" s="194"/>
      <c r="G406" s="194"/>
      <c r="H406" s="194"/>
      <c r="K406" s="142"/>
      <c r="L406" s="142"/>
      <c r="M406" s="142"/>
      <c r="N406" s="142"/>
    </row>
    <row r="407" spans="5:14" ht="12.75">
      <c r="E407" s="194"/>
      <c r="F407" s="194"/>
      <c r="G407" s="194"/>
      <c r="H407" s="194"/>
      <c r="K407" s="142"/>
      <c r="L407" s="142"/>
      <c r="M407" s="142"/>
      <c r="N407" s="142"/>
    </row>
    <row r="408" spans="5:14" ht="12.75">
      <c r="E408" s="194"/>
      <c r="F408" s="194"/>
      <c r="G408" s="194"/>
      <c r="H408" s="194"/>
      <c r="K408" s="142"/>
      <c r="L408" s="142"/>
      <c r="M408" s="142"/>
      <c r="N408" s="142"/>
    </row>
    <row r="409" spans="5:14" ht="12.75">
      <c r="E409" s="194"/>
      <c r="F409" s="194"/>
      <c r="G409" s="194"/>
      <c r="H409" s="194"/>
      <c r="K409" s="142"/>
      <c r="L409" s="142"/>
      <c r="M409" s="142"/>
      <c r="N409" s="142"/>
    </row>
    <row r="410" spans="5:14" ht="12.75">
      <c r="E410" s="194"/>
      <c r="F410" s="194"/>
      <c r="G410" s="194"/>
      <c r="H410" s="194"/>
      <c r="K410" s="142"/>
      <c r="L410" s="142"/>
      <c r="M410" s="142"/>
      <c r="N410" s="142"/>
    </row>
    <row r="411" spans="5:14" ht="12.75">
      <c r="E411" s="194"/>
      <c r="F411" s="194"/>
      <c r="G411" s="194"/>
      <c r="H411" s="194"/>
      <c r="K411" s="142"/>
      <c r="L411" s="142"/>
      <c r="M411" s="142"/>
      <c r="N411" s="142"/>
    </row>
    <row r="412" spans="5:14" ht="12.75">
      <c r="E412" s="194"/>
      <c r="F412" s="194"/>
      <c r="G412" s="194"/>
      <c r="H412" s="194"/>
      <c r="K412" s="142"/>
      <c r="L412" s="142"/>
      <c r="M412" s="142"/>
      <c r="N412" s="142"/>
    </row>
    <row r="413" spans="5:14" ht="12.75">
      <c r="E413" s="194"/>
      <c r="F413" s="194"/>
      <c r="G413" s="194"/>
      <c r="H413" s="194"/>
      <c r="K413" s="142"/>
      <c r="L413" s="142"/>
      <c r="M413" s="142"/>
      <c r="N413" s="142"/>
    </row>
    <row r="414" spans="5:14" ht="12.75">
      <c r="E414" s="194"/>
      <c r="F414" s="194"/>
      <c r="G414" s="194"/>
      <c r="H414" s="194"/>
      <c r="K414" s="142"/>
      <c r="L414" s="142"/>
      <c r="M414" s="142"/>
      <c r="N414" s="142"/>
    </row>
    <row r="415" spans="5:14" ht="12.75">
      <c r="E415" s="194"/>
      <c r="F415" s="194"/>
      <c r="G415" s="194"/>
      <c r="H415" s="194"/>
      <c r="K415" s="142"/>
      <c r="L415" s="142"/>
      <c r="M415" s="142"/>
      <c r="N415" s="142"/>
    </row>
    <row r="416" spans="5:14" ht="12.75">
      <c r="E416" s="194"/>
      <c r="F416" s="194"/>
      <c r="G416" s="194"/>
      <c r="H416" s="194"/>
      <c r="K416" s="142"/>
      <c r="L416" s="142"/>
      <c r="M416" s="142"/>
      <c r="N416" s="142"/>
    </row>
    <row r="417" spans="5:14" ht="12.75">
      <c r="E417" s="194"/>
      <c r="F417" s="194"/>
      <c r="G417" s="194"/>
      <c r="H417" s="194"/>
      <c r="K417" s="142"/>
      <c r="L417" s="142"/>
      <c r="M417" s="142"/>
      <c r="N417" s="142"/>
    </row>
    <row r="418" spans="5:14" ht="12.75">
      <c r="E418" s="194"/>
      <c r="F418" s="194"/>
      <c r="G418" s="194"/>
      <c r="H418" s="194"/>
      <c r="K418" s="142"/>
      <c r="L418" s="142"/>
      <c r="M418" s="142"/>
      <c r="N418" s="142"/>
    </row>
    <row r="419" spans="5:14" ht="12.75">
      <c r="E419" s="194"/>
      <c r="F419" s="194"/>
      <c r="G419" s="194"/>
      <c r="H419" s="194"/>
      <c r="K419" s="142"/>
      <c r="L419" s="142"/>
      <c r="M419" s="142"/>
      <c r="N419" s="142"/>
    </row>
    <row r="420" spans="5:14" ht="12.75">
      <c r="E420" s="194"/>
      <c r="F420" s="194"/>
      <c r="G420" s="194"/>
      <c r="H420" s="194"/>
      <c r="K420" s="142"/>
      <c r="L420" s="142"/>
      <c r="M420" s="142"/>
      <c r="N420" s="142"/>
    </row>
    <row r="421" spans="5:14" ht="12.75">
      <c r="E421" s="194"/>
      <c r="F421" s="194"/>
      <c r="G421" s="194"/>
      <c r="H421" s="194"/>
      <c r="K421" s="142"/>
      <c r="L421" s="142"/>
      <c r="M421" s="142"/>
      <c r="N421" s="142"/>
    </row>
    <row r="422" spans="5:14" ht="12.75">
      <c r="E422" s="194"/>
      <c r="F422" s="194"/>
      <c r="G422" s="194"/>
      <c r="H422" s="194"/>
      <c r="K422" s="142"/>
      <c r="L422" s="142"/>
      <c r="M422" s="142"/>
      <c r="N422" s="142"/>
    </row>
    <row r="423" spans="5:14" ht="12.75">
      <c r="E423" s="194"/>
      <c r="F423" s="194"/>
      <c r="G423" s="194"/>
      <c r="H423" s="194"/>
      <c r="K423" s="142"/>
      <c r="L423" s="142"/>
      <c r="M423" s="142"/>
      <c r="N423" s="142"/>
    </row>
    <row r="424" spans="5:14" ht="12.75">
      <c r="E424" s="194"/>
      <c r="F424" s="194"/>
      <c r="G424" s="194"/>
      <c r="H424" s="194"/>
      <c r="K424" s="142"/>
      <c r="L424" s="142"/>
      <c r="M424" s="142"/>
      <c r="N424" s="142"/>
    </row>
    <row r="425" spans="5:14" ht="12.75">
      <c r="E425" s="194"/>
      <c r="F425" s="194"/>
      <c r="G425" s="194"/>
      <c r="H425" s="194"/>
      <c r="K425" s="142"/>
      <c r="L425" s="142"/>
      <c r="M425" s="142"/>
      <c r="N425" s="142"/>
    </row>
    <row r="426" spans="5:14" ht="12.75">
      <c r="E426" s="194"/>
      <c r="F426" s="194"/>
      <c r="G426" s="194"/>
      <c r="H426" s="194"/>
      <c r="K426" s="142"/>
      <c r="L426" s="142"/>
      <c r="M426" s="142"/>
      <c r="N426" s="142"/>
    </row>
    <row r="427" spans="5:14" ht="12.75">
      <c r="E427" s="194"/>
      <c r="F427" s="194"/>
      <c r="G427" s="194"/>
      <c r="H427" s="194"/>
      <c r="K427" s="142"/>
      <c r="L427" s="142"/>
      <c r="M427" s="142"/>
      <c r="N427" s="142"/>
    </row>
    <row r="428" spans="5:14" ht="12.75">
      <c r="E428" s="194"/>
      <c r="F428" s="194"/>
      <c r="G428" s="194"/>
      <c r="H428" s="194"/>
      <c r="K428" s="142"/>
      <c r="L428" s="142"/>
      <c r="M428" s="142"/>
      <c r="N428" s="142"/>
    </row>
    <row r="429" spans="5:14" ht="12.75">
      <c r="E429" s="194"/>
      <c r="F429" s="194"/>
      <c r="G429" s="194"/>
      <c r="H429" s="194"/>
      <c r="K429" s="142"/>
      <c r="L429" s="142"/>
      <c r="M429" s="142"/>
      <c r="N429" s="142"/>
    </row>
    <row r="430" spans="5:14" ht="12.75">
      <c r="E430" s="194"/>
      <c r="F430" s="194"/>
      <c r="G430" s="194"/>
      <c r="H430" s="194"/>
      <c r="K430" s="142"/>
      <c r="L430" s="142"/>
      <c r="M430" s="142"/>
      <c r="N430" s="142"/>
    </row>
    <row r="431" spans="5:14" ht="12.75">
      <c r="E431" s="194"/>
      <c r="F431" s="194"/>
      <c r="G431" s="194"/>
      <c r="H431" s="194"/>
      <c r="K431" s="142"/>
      <c r="L431" s="142"/>
      <c r="M431" s="142"/>
      <c r="N431" s="142"/>
    </row>
    <row r="432" spans="5:14" ht="12.75">
      <c r="E432" s="194"/>
      <c r="F432" s="194"/>
      <c r="G432" s="194"/>
      <c r="H432" s="194"/>
      <c r="K432" s="142"/>
      <c r="L432" s="142"/>
      <c r="M432" s="142"/>
      <c r="N432" s="142"/>
    </row>
    <row r="433" spans="5:14" ht="12.75">
      <c r="E433" s="194"/>
      <c r="F433" s="194"/>
      <c r="G433" s="194"/>
      <c r="H433" s="194"/>
      <c r="K433" s="142"/>
      <c r="L433" s="142"/>
      <c r="M433" s="142"/>
      <c r="N433" s="142"/>
    </row>
    <row r="434" spans="5:14" ht="12.75">
      <c r="E434" s="194"/>
      <c r="F434" s="194"/>
      <c r="G434" s="194"/>
      <c r="H434" s="194"/>
      <c r="K434" s="142"/>
      <c r="L434" s="142"/>
      <c r="M434" s="142"/>
      <c r="N434" s="142"/>
    </row>
    <row r="435" spans="5:14" ht="12.75">
      <c r="E435" s="194"/>
      <c r="F435" s="194"/>
      <c r="G435" s="194"/>
      <c r="H435" s="194"/>
      <c r="K435" s="142"/>
      <c r="L435" s="142"/>
      <c r="M435" s="142"/>
      <c r="N435" s="142"/>
    </row>
    <row r="436" spans="5:14" ht="12.75">
      <c r="E436" s="194"/>
      <c r="F436" s="194"/>
      <c r="G436" s="194"/>
      <c r="H436" s="194"/>
      <c r="K436" s="142"/>
      <c r="L436" s="142"/>
      <c r="M436" s="142"/>
      <c r="N436" s="142"/>
    </row>
    <row r="437" spans="5:14" ht="12.75">
      <c r="E437" s="194"/>
      <c r="F437" s="194"/>
      <c r="G437" s="194"/>
      <c r="H437" s="194"/>
      <c r="K437" s="142"/>
      <c r="L437" s="142"/>
      <c r="M437" s="142"/>
      <c r="N437" s="142"/>
    </row>
    <row r="438" spans="5:14" ht="12.75">
      <c r="E438" s="194"/>
      <c r="F438" s="194"/>
      <c r="G438" s="194"/>
      <c r="H438" s="194"/>
      <c r="K438" s="142"/>
      <c r="L438" s="142"/>
      <c r="M438" s="142"/>
      <c r="N438" s="142"/>
    </row>
    <row r="439" spans="5:14" ht="12.75">
      <c r="E439" s="194"/>
      <c r="F439" s="194"/>
      <c r="G439" s="194"/>
      <c r="H439" s="194"/>
      <c r="K439" s="142"/>
      <c r="L439" s="142"/>
      <c r="M439" s="142"/>
      <c r="N439" s="142"/>
    </row>
    <row r="440" spans="5:14" ht="12.75">
      <c r="E440" s="194"/>
      <c r="F440" s="194"/>
      <c r="G440" s="194"/>
      <c r="H440" s="194"/>
      <c r="K440" s="142"/>
      <c r="L440" s="142"/>
      <c r="M440" s="142"/>
      <c r="N440" s="142"/>
    </row>
    <row r="441" spans="5:14" ht="12.75">
      <c r="E441" s="194"/>
      <c r="F441" s="194"/>
      <c r="G441" s="194"/>
      <c r="H441" s="194"/>
      <c r="K441" s="142"/>
      <c r="L441" s="142"/>
      <c r="M441" s="142"/>
      <c r="N441" s="142"/>
    </row>
    <row r="442" spans="5:14" ht="12.75">
      <c r="E442" s="194"/>
      <c r="F442" s="194"/>
      <c r="G442" s="194"/>
      <c r="H442" s="194"/>
      <c r="K442" s="142"/>
      <c r="L442" s="142"/>
      <c r="M442" s="142"/>
      <c r="N442" s="142"/>
    </row>
    <row r="443" spans="5:14" ht="12.75">
      <c r="E443" s="194"/>
      <c r="F443" s="194"/>
      <c r="G443" s="194"/>
      <c r="H443" s="194"/>
      <c r="K443" s="142"/>
      <c r="L443" s="142"/>
      <c r="M443" s="142"/>
      <c r="N443" s="142"/>
    </row>
    <row r="444" spans="5:14" ht="12.75">
      <c r="E444" s="194"/>
      <c r="F444" s="194"/>
      <c r="G444" s="194"/>
      <c r="H444" s="194"/>
      <c r="K444" s="142"/>
      <c r="L444" s="142"/>
      <c r="M444" s="142"/>
      <c r="N444" s="142"/>
    </row>
    <row r="445" spans="5:14" ht="12.75">
      <c r="E445" s="194"/>
      <c r="F445" s="194"/>
      <c r="G445" s="194"/>
      <c r="H445" s="194"/>
      <c r="K445" s="142"/>
      <c r="L445" s="142"/>
      <c r="M445" s="142"/>
      <c r="N445" s="142"/>
    </row>
    <row r="446" spans="5:14" ht="12.75">
      <c r="E446" s="194"/>
      <c r="F446" s="194"/>
      <c r="G446" s="194"/>
      <c r="H446" s="194"/>
      <c r="K446" s="142"/>
      <c r="L446" s="142"/>
      <c r="M446" s="142"/>
      <c r="N446" s="142"/>
    </row>
    <row r="447" spans="5:14" ht="12.75">
      <c r="E447" s="194"/>
      <c r="F447" s="194"/>
      <c r="G447" s="194"/>
      <c r="H447" s="194"/>
      <c r="K447" s="142"/>
      <c r="L447" s="142"/>
      <c r="M447" s="142"/>
      <c r="N447" s="142"/>
    </row>
    <row r="448" spans="5:14" ht="12.75">
      <c r="E448" s="194"/>
      <c r="F448" s="194"/>
      <c r="G448" s="194"/>
      <c r="H448" s="194"/>
      <c r="K448" s="142"/>
      <c r="L448" s="142"/>
      <c r="M448" s="142"/>
      <c r="N448" s="142"/>
    </row>
    <row r="449" spans="5:14" ht="12.75">
      <c r="E449" s="194"/>
      <c r="F449" s="194"/>
      <c r="G449" s="194"/>
      <c r="H449" s="194"/>
      <c r="K449" s="142"/>
      <c r="L449" s="142"/>
      <c r="M449" s="142"/>
      <c r="N449" s="142"/>
    </row>
    <row r="450" spans="5:14" ht="12.75">
      <c r="E450" s="194"/>
      <c r="F450" s="194"/>
      <c r="G450" s="194"/>
      <c r="H450" s="194"/>
      <c r="K450" s="142"/>
      <c r="L450" s="142"/>
      <c r="M450" s="142"/>
      <c r="N450" s="142"/>
    </row>
    <row r="451" spans="5:14" ht="12.75">
      <c r="E451" s="194"/>
      <c r="F451" s="194"/>
      <c r="G451" s="194"/>
      <c r="H451" s="194"/>
      <c r="K451" s="142"/>
      <c r="L451" s="142"/>
      <c r="M451" s="142"/>
      <c r="N451" s="142"/>
    </row>
    <row r="452" spans="5:14" ht="12.75">
      <c r="E452" s="194"/>
      <c r="F452" s="194"/>
      <c r="G452" s="194"/>
      <c r="H452" s="194"/>
      <c r="K452" s="142"/>
      <c r="L452" s="142"/>
      <c r="M452" s="142"/>
      <c r="N452" s="142"/>
    </row>
    <row r="453" spans="5:14" ht="12.75">
      <c r="E453" s="194"/>
      <c r="F453" s="194"/>
      <c r="G453" s="194"/>
      <c r="H453" s="194"/>
      <c r="K453" s="142"/>
      <c r="L453" s="142"/>
      <c r="M453" s="142"/>
      <c r="N453" s="142"/>
    </row>
    <row r="454" spans="5:14" ht="12.75">
      <c r="E454" s="194"/>
      <c r="F454" s="194"/>
      <c r="G454" s="194"/>
      <c r="H454" s="194"/>
      <c r="K454" s="142"/>
      <c r="L454" s="142"/>
      <c r="M454" s="142"/>
      <c r="N454" s="142"/>
    </row>
    <row r="455" spans="5:14" ht="12.75">
      <c r="E455" s="194"/>
      <c r="F455" s="194"/>
      <c r="G455" s="194"/>
      <c r="H455" s="194"/>
      <c r="K455" s="142"/>
      <c r="L455" s="142"/>
      <c r="M455" s="142"/>
      <c r="N455" s="142"/>
    </row>
    <row r="456" spans="5:14" ht="12.75">
      <c r="E456" s="194"/>
      <c r="F456" s="194"/>
      <c r="G456" s="194"/>
      <c r="H456" s="194"/>
      <c r="K456" s="142"/>
      <c r="L456" s="142"/>
      <c r="M456" s="142"/>
      <c r="N456" s="142"/>
    </row>
    <row r="457" spans="5:14" ht="12.75">
      <c r="E457" s="194"/>
      <c r="F457" s="194"/>
      <c r="G457" s="194"/>
      <c r="H457" s="194"/>
      <c r="K457" s="142"/>
      <c r="L457" s="142"/>
      <c r="M457" s="142"/>
      <c r="N457" s="142"/>
    </row>
    <row r="458" spans="5:14" ht="12.75">
      <c r="E458" s="194"/>
      <c r="F458" s="194"/>
      <c r="G458" s="194"/>
      <c r="H458" s="194"/>
      <c r="K458" s="142"/>
      <c r="L458" s="142"/>
      <c r="M458" s="142"/>
      <c r="N458" s="142"/>
    </row>
    <row r="459" spans="5:14" ht="12.75">
      <c r="E459" s="194"/>
      <c r="F459" s="194"/>
      <c r="G459" s="194"/>
      <c r="H459" s="194"/>
      <c r="K459" s="142"/>
      <c r="L459" s="142"/>
      <c r="M459" s="142"/>
      <c r="N459" s="142"/>
    </row>
    <row r="460" spans="5:14" ht="12.75">
      <c r="E460" s="194"/>
      <c r="F460" s="194"/>
      <c r="G460" s="194"/>
      <c r="H460" s="194"/>
      <c r="K460" s="142"/>
      <c r="L460" s="142"/>
      <c r="M460" s="142"/>
      <c r="N460" s="142"/>
    </row>
    <row r="461" spans="5:14" ht="12.75">
      <c r="E461" s="194"/>
      <c r="F461" s="194"/>
      <c r="G461" s="194"/>
      <c r="H461" s="194"/>
      <c r="K461" s="142"/>
      <c r="L461" s="142"/>
      <c r="M461" s="142"/>
      <c r="N461" s="142"/>
    </row>
    <row r="462" spans="5:14" ht="12.75">
      <c r="E462" s="194"/>
      <c r="F462" s="194"/>
      <c r="G462" s="194"/>
      <c r="H462" s="194"/>
      <c r="K462" s="142"/>
      <c r="L462" s="142"/>
      <c r="M462" s="142"/>
      <c r="N462" s="142"/>
    </row>
    <row r="463" spans="5:14" ht="12.75">
      <c r="E463" s="194"/>
      <c r="F463" s="194"/>
      <c r="G463" s="194"/>
      <c r="H463" s="194"/>
      <c r="K463" s="142"/>
      <c r="L463" s="142"/>
      <c r="M463" s="142"/>
      <c r="N463" s="142"/>
    </row>
    <row r="464" spans="5:14" ht="12.75">
      <c r="E464" s="194"/>
      <c r="F464" s="194"/>
      <c r="G464" s="194"/>
      <c r="H464" s="194"/>
      <c r="K464" s="142"/>
      <c r="L464" s="142"/>
      <c r="M464" s="142"/>
      <c r="N464" s="142"/>
    </row>
    <row r="465" spans="5:14" ht="12.75">
      <c r="E465" s="194"/>
      <c r="F465" s="194"/>
      <c r="G465" s="194"/>
      <c r="H465" s="194"/>
      <c r="K465" s="142"/>
      <c r="L465" s="142"/>
      <c r="M465" s="142"/>
      <c r="N465" s="142"/>
    </row>
    <row r="466" spans="5:14" ht="12.75">
      <c r="E466" s="194"/>
      <c r="F466" s="194"/>
      <c r="G466" s="194"/>
      <c r="H466" s="194"/>
      <c r="K466" s="142"/>
      <c r="L466" s="142"/>
      <c r="M466" s="142"/>
      <c r="N466" s="142"/>
    </row>
    <row r="467" spans="5:14" ht="12.75">
      <c r="E467" s="194"/>
      <c r="F467" s="194"/>
      <c r="G467" s="194"/>
      <c r="H467" s="194"/>
      <c r="K467" s="142"/>
      <c r="L467" s="142"/>
      <c r="M467" s="142"/>
      <c r="N467" s="142"/>
    </row>
  </sheetData>
  <mergeCells count="305">
    <mergeCell ref="A200:B200"/>
    <mergeCell ref="A201:B201"/>
    <mergeCell ref="A202:B202"/>
    <mergeCell ref="B61:C61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190:B191"/>
    <mergeCell ref="C190:E190"/>
    <mergeCell ref="F190:H190"/>
    <mergeCell ref="I190:K190"/>
    <mergeCell ref="B4:B6"/>
    <mergeCell ref="F5:F6"/>
    <mergeCell ref="D4:F4"/>
    <mergeCell ref="D61:E61"/>
    <mergeCell ref="F61:G61"/>
    <mergeCell ref="A43:K43"/>
    <mergeCell ref="A44:A45"/>
    <mergeCell ref="B44:F44"/>
    <mergeCell ref="A161:A162"/>
    <mergeCell ref="B161:B162"/>
    <mergeCell ref="C161:H161"/>
    <mergeCell ref="F156:H156"/>
    <mergeCell ref="F157:H157"/>
    <mergeCell ref="L4:M4"/>
    <mergeCell ref="D39:F39"/>
    <mergeCell ref="D40:F40"/>
    <mergeCell ref="C4:C6"/>
    <mergeCell ref="I4:K4"/>
    <mergeCell ref="G4:H4"/>
    <mergeCell ref="G44:K44"/>
    <mergeCell ref="A56:A57"/>
    <mergeCell ref="B56:G56"/>
    <mergeCell ref="H56:K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A65:B65"/>
    <mergeCell ref="J70:K70"/>
    <mergeCell ref="B71:C71"/>
    <mergeCell ref="D71:E71"/>
    <mergeCell ref="F71:G71"/>
    <mergeCell ref="J71:K71"/>
    <mergeCell ref="H70:I70"/>
    <mergeCell ref="H71:I71"/>
    <mergeCell ref="J72:K72"/>
    <mergeCell ref="H73:I73"/>
    <mergeCell ref="B73:C73"/>
    <mergeCell ref="D73:E73"/>
    <mergeCell ref="F73:G73"/>
    <mergeCell ref="J73:K73"/>
    <mergeCell ref="H72:I72"/>
    <mergeCell ref="B72:C72"/>
    <mergeCell ref="D72:E72"/>
    <mergeCell ref="F72:G72"/>
    <mergeCell ref="J74:K74"/>
    <mergeCell ref="B74:C74"/>
    <mergeCell ref="D74:E74"/>
    <mergeCell ref="F74:G74"/>
    <mergeCell ref="H74:I74"/>
    <mergeCell ref="J75:K75"/>
    <mergeCell ref="A77:A78"/>
    <mergeCell ref="B77:C77"/>
    <mergeCell ref="D77:G77"/>
    <mergeCell ref="J77:K77"/>
    <mergeCell ref="H78:I78"/>
    <mergeCell ref="B78:C78"/>
    <mergeCell ref="D78:E78"/>
    <mergeCell ref="F78:G78"/>
    <mergeCell ref="B75:C75"/>
    <mergeCell ref="J78:K78"/>
    <mergeCell ref="H79:I79"/>
    <mergeCell ref="B79:C79"/>
    <mergeCell ref="D79:E79"/>
    <mergeCell ref="F79:G79"/>
    <mergeCell ref="J79:K79"/>
    <mergeCell ref="J80:K80"/>
    <mergeCell ref="H81:I81"/>
    <mergeCell ref="B81:C81"/>
    <mergeCell ref="D81:E81"/>
    <mergeCell ref="F81:G81"/>
    <mergeCell ref="J81:K81"/>
    <mergeCell ref="H80:I80"/>
    <mergeCell ref="B80:C80"/>
    <mergeCell ref="D80:E80"/>
    <mergeCell ref="F80:G80"/>
    <mergeCell ref="J82:K82"/>
    <mergeCell ref="H83:I83"/>
    <mergeCell ref="B83:C83"/>
    <mergeCell ref="D83:E83"/>
    <mergeCell ref="F83:G83"/>
    <mergeCell ref="J83:K83"/>
    <mergeCell ref="H82:I82"/>
    <mergeCell ref="B82:C82"/>
    <mergeCell ref="D82:E82"/>
    <mergeCell ref="F82:G82"/>
    <mergeCell ref="J84:K84"/>
    <mergeCell ref="H85:I85"/>
    <mergeCell ref="B85:C85"/>
    <mergeCell ref="D85:E85"/>
    <mergeCell ref="F85:G85"/>
    <mergeCell ref="J85:K85"/>
    <mergeCell ref="H84:I84"/>
    <mergeCell ref="B84:C84"/>
    <mergeCell ref="D84:E84"/>
    <mergeCell ref="F84:G84"/>
    <mergeCell ref="J111:K111"/>
    <mergeCell ref="A167:A168"/>
    <mergeCell ref="J86:K86"/>
    <mergeCell ref="H86:I86"/>
    <mergeCell ref="B86:C86"/>
    <mergeCell ref="D86:E86"/>
    <mergeCell ref="F86:G86"/>
    <mergeCell ref="B167:F167"/>
    <mergeCell ref="G167:K167"/>
    <mergeCell ref="F138:H138"/>
    <mergeCell ref="B113:C113"/>
    <mergeCell ref="D113:E113"/>
    <mergeCell ref="F113:G113"/>
    <mergeCell ref="H111:I111"/>
    <mergeCell ref="B111:C111"/>
    <mergeCell ref="D111:E111"/>
    <mergeCell ref="F111:G111"/>
    <mergeCell ref="H75:I75"/>
    <mergeCell ref="H77:I77"/>
    <mergeCell ref="A66:B66"/>
    <mergeCell ref="A67:B67"/>
    <mergeCell ref="A70:A71"/>
    <mergeCell ref="D75:E75"/>
    <mergeCell ref="F75:G75"/>
    <mergeCell ref="B70:C70"/>
    <mergeCell ref="D70:G70"/>
    <mergeCell ref="B118:C118"/>
    <mergeCell ref="B119:C119"/>
    <mergeCell ref="B120:C120"/>
    <mergeCell ref="A3:A6"/>
    <mergeCell ref="B3:M3"/>
    <mergeCell ref="J113:K113"/>
    <mergeCell ref="A115:C115"/>
    <mergeCell ref="B116:C116"/>
    <mergeCell ref="B117:C117"/>
    <mergeCell ref="H113:I113"/>
    <mergeCell ref="I123:I125"/>
    <mergeCell ref="A129:A130"/>
    <mergeCell ref="B129:B130"/>
    <mergeCell ref="C129:F129"/>
    <mergeCell ref="G129:G130"/>
    <mergeCell ref="H129:H130"/>
    <mergeCell ref="I129:L129"/>
    <mergeCell ref="B123:B125"/>
    <mergeCell ref="C123:H123"/>
    <mergeCell ref="C124:C125"/>
    <mergeCell ref="B121:C121"/>
    <mergeCell ref="A123:A125"/>
    <mergeCell ref="F141:H141"/>
    <mergeCell ref="F146:H146"/>
    <mergeCell ref="D124:H124"/>
    <mergeCell ref="F139:H139"/>
    <mergeCell ref="F140:H140"/>
    <mergeCell ref="F143:H143"/>
    <mergeCell ref="F144:H144"/>
    <mergeCell ref="F147:H147"/>
    <mergeCell ref="F149:H149"/>
    <mergeCell ref="F148:H148"/>
    <mergeCell ref="F145:H145"/>
    <mergeCell ref="F150:H150"/>
    <mergeCell ref="F151:H151"/>
    <mergeCell ref="F154:H154"/>
    <mergeCell ref="F155:H155"/>
    <mergeCell ref="F152:H152"/>
    <mergeCell ref="F153:H153"/>
    <mergeCell ref="J87:K87"/>
    <mergeCell ref="H88:I88"/>
    <mergeCell ref="B88:C88"/>
    <mergeCell ref="D88:E88"/>
    <mergeCell ref="F88:G88"/>
    <mergeCell ref="J88:K88"/>
    <mergeCell ref="H87:I87"/>
    <mergeCell ref="B87:C87"/>
    <mergeCell ref="D87:E87"/>
    <mergeCell ref="F87:G87"/>
    <mergeCell ref="J89:K89"/>
    <mergeCell ref="H90:I90"/>
    <mergeCell ref="B90:C90"/>
    <mergeCell ref="D90:E90"/>
    <mergeCell ref="F90:G90"/>
    <mergeCell ref="J90:K90"/>
    <mergeCell ref="H89:I89"/>
    <mergeCell ref="B89:C89"/>
    <mergeCell ref="D89:E89"/>
    <mergeCell ref="F89:G89"/>
    <mergeCell ref="J91:K91"/>
    <mergeCell ref="H92:I92"/>
    <mergeCell ref="B92:C92"/>
    <mergeCell ref="D92:E92"/>
    <mergeCell ref="F92:G92"/>
    <mergeCell ref="J92:K92"/>
    <mergeCell ref="H91:I91"/>
    <mergeCell ref="B91:C91"/>
    <mergeCell ref="D91:E91"/>
    <mergeCell ref="F91:G91"/>
    <mergeCell ref="J93:K93"/>
    <mergeCell ref="H94:I94"/>
    <mergeCell ref="B94:C94"/>
    <mergeCell ref="D94:E94"/>
    <mergeCell ref="F94:G94"/>
    <mergeCell ref="J94:K94"/>
    <mergeCell ref="H93:I93"/>
    <mergeCell ref="B93:C93"/>
    <mergeCell ref="D93:E93"/>
    <mergeCell ref="F93:G93"/>
    <mergeCell ref="J95:K95"/>
    <mergeCell ref="H96:I96"/>
    <mergeCell ref="B96:C96"/>
    <mergeCell ref="D96:E96"/>
    <mergeCell ref="F96:G96"/>
    <mergeCell ref="J96:K96"/>
    <mergeCell ref="H95:I95"/>
    <mergeCell ref="B95:C95"/>
    <mergeCell ref="D95:E95"/>
    <mergeCell ref="F95:G95"/>
    <mergeCell ref="J97:K97"/>
    <mergeCell ref="H98:I98"/>
    <mergeCell ref="B98:C98"/>
    <mergeCell ref="D98:E98"/>
    <mergeCell ref="F98:G98"/>
    <mergeCell ref="J98:K98"/>
    <mergeCell ref="H97:I97"/>
    <mergeCell ref="B97:C97"/>
    <mergeCell ref="D97:E97"/>
    <mergeCell ref="F97:G97"/>
    <mergeCell ref="J99:K99"/>
    <mergeCell ref="H100:I100"/>
    <mergeCell ref="B100:C100"/>
    <mergeCell ref="D100:E100"/>
    <mergeCell ref="F100:G100"/>
    <mergeCell ref="J100:K100"/>
    <mergeCell ref="H99:I99"/>
    <mergeCell ref="B99:C99"/>
    <mergeCell ref="D99:E99"/>
    <mergeCell ref="F99:G99"/>
    <mergeCell ref="J101:K101"/>
    <mergeCell ref="H102:I102"/>
    <mergeCell ref="B102:C102"/>
    <mergeCell ref="D102:E102"/>
    <mergeCell ref="F102:G102"/>
    <mergeCell ref="J102:K102"/>
    <mergeCell ref="H101:I101"/>
    <mergeCell ref="B101:C101"/>
    <mergeCell ref="D101:E101"/>
    <mergeCell ref="F101:G101"/>
    <mergeCell ref="J103:K103"/>
    <mergeCell ref="H104:I104"/>
    <mergeCell ref="B104:C104"/>
    <mergeCell ref="D104:E104"/>
    <mergeCell ref="F104:G104"/>
    <mergeCell ref="J104:K104"/>
    <mergeCell ref="H103:I103"/>
    <mergeCell ref="B103:C103"/>
    <mergeCell ref="D103:E103"/>
    <mergeCell ref="F103:G103"/>
    <mergeCell ref="J105:K105"/>
    <mergeCell ref="H106:I106"/>
    <mergeCell ref="B106:C106"/>
    <mergeCell ref="D106:E106"/>
    <mergeCell ref="F106:G106"/>
    <mergeCell ref="J106:K106"/>
    <mergeCell ref="H105:I105"/>
    <mergeCell ref="B105:C105"/>
    <mergeCell ref="D105:E105"/>
    <mergeCell ref="F105:G105"/>
    <mergeCell ref="J107:K107"/>
    <mergeCell ref="H108:I108"/>
    <mergeCell ref="B108:C108"/>
    <mergeCell ref="D108:E108"/>
    <mergeCell ref="F108:G108"/>
    <mergeCell ref="J108:K108"/>
    <mergeCell ref="H107:I107"/>
    <mergeCell ref="B107:C107"/>
    <mergeCell ref="D107:E107"/>
    <mergeCell ref="F107:G107"/>
    <mergeCell ref="J109:K109"/>
    <mergeCell ref="H110:I110"/>
    <mergeCell ref="B110:C110"/>
    <mergeCell ref="D110:E110"/>
    <mergeCell ref="F110:G110"/>
    <mergeCell ref="J110:K110"/>
    <mergeCell ref="H109:I109"/>
    <mergeCell ref="B109:C109"/>
    <mergeCell ref="D109:E109"/>
    <mergeCell ref="F109:G109"/>
  </mergeCells>
  <printOptions horizontalCentered="1"/>
  <pageMargins left="0.2362204724409449" right="0.2755905511811024" top="0.32" bottom="0.2" header="0.2362204724409449" footer="0.2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49"/>
  <sheetViews>
    <sheetView workbookViewId="0" topLeftCell="A63">
      <selection activeCell="J54" sqref="J54"/>
    </sheetView>
  </sheetViews>
  <sheetFormatPr defaultColWidth="9.00390625" defaultRowHeight="12.75"/>
  <cols>
    <col min="1" max="1" width="29.75390625" style="78" customWidth="1"/>
    <col min="2" max="2" width="10.625" style="79" customWidth="1"/>
    <col min="3" max="3" width="10.00390625" style="79" customWidth="1"/>
    <col min="4" max="4" width="9.25390625" style="79" customWidth="1"/>
    <col min="5" max="5" width="9.375" style="79" customWidth="1"/>
    <col min="6" max="6" width="9.875" style="79" customWidth="1"/>
    <col min="7" max="7" width="9.75390625" style="79" customWidth="1"/>
    <col min="8" max="8" width="8.75390625" style="79" customWidth="1"/>
    <col min="9" max="9" width="9.875" style="79" customWidth="1"/>
    <col min="10" max="10" width="9.375" style="79" customWidth="1"/>
    <col min="11" max="11" width="9.625" style="78" customWidth="1"/>
    <col min="12" max="12" width="9.75390625" style="78" customWidth="1"/>
    <col min="13" max="13" width="8.75390625" style="78" customWidth="1"/>
    <col min="14" max="14" width="10.00390625" style="77" customWidth="1"/>
    <col min="15" max="16384" width="9.125" style="77" customWidth="1"/>
  </cols>
  <sheetData>
    <row r="1" ht="3" customHeight="1"/>
    <row r="2" spans="1:10" ht="17.25" customHeight="1" thickBot="1">
      <c r="A2" s="81" t="s">
        <v>143</v>
      </c>
      <c r="B2" s="82"/>
      <c r="C2" s="82"/>
      <c r="D2" s="82"/>
      <c r="E2" s="82"/>
      <c r="F2" s="82"/>
      <c r="G2" s="82"/>
      <c r="H2" s="82"/>
      <c r="I2" s="82"/>
      <c r="J2" s="82"/>
    </row>
    <row r="3" spans="1:13" ht="15" customHeight="1" thickBot="1">
      <c r="A3" s="1572" t="s">
        <v>1</v>
      </c>
      <c r="B3" s="1338" t="s">
        <v>131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40"/>
    </row>
    <row r="4" spans="1:13" ht="16.5" customHeight="1" thickBot="1">
      <c r="A4" s="1573"/>
      <c r="B4" s="1283" t="s">
        <v>207</v>
      </c>
      <c r="C4" s="1579" t="s">
        <v>251</v>
      </c>
      <c r="D4" s="1464" t="s">
        <v>291</v>
      </c>
      <c r="E4" s="1465"/>
      <c r="F4" s="1466"/>
      <c r="G4" s="1303" t="s">
        <v>152</v>
      </c>
      <c r="H4" s="1287"/>
      <c r="I4" s="1365" t="s">
        <v>292</v>
      </c>
      <c r="J4" s="1366"/>
      <c r="K4" s="1367"/>
      <c r="L4" s="1303" t="s">
        <v>293</v>
      </c>
      <c r="M4" s="1304"/>
    </row>
    <row r="5" spans="1:13" ht="13.5" customHeight="1">
      <c r="A5" s="1573"/>
      <c r="B5" s="1321"/>
      <c r="C5" s="1580"/>
      <c r="D5" s="1" t="s">
        <v>2</v>
      </c>
      <c r="E5" s="596" t="s">
        <v>3</v>
      </c>
      <c r="F5" s="1462" t="s">
        <v>4</v>
      </c>
      <c r="G5" s="50" t="s">
        <v>4</v>
      </c>
      <c r="H5" s="2" t="s">
        <v>5</v>
      </c>
      <c r="I5" s="264" t="s">
        <v>2</v>
      </c>
      <c r="J5" s="265" t="s">
        <v>190</v>
      </c>
      <c r="K5" s="266" t="s">
        <v>4</v>
      </c>
      <c r="L5" s="3" t="s">
        <v>4</v>
      </c>
      <c r="M5" s="2" t="s">
        <v>5</v>
      </c>
    </row>
    <row r="6" spans="1:13" ht="12" customHeight="1" thickBot="1">
      <c r="A6" s="1574"/>
      <c r="B6" s="1322"/>
      <c r="C6" s="1581"/>
      <c r="D6" s="417" t="s">
        <v>6</v>
      </c>
      <c r="E6" s="418" t="s">
        <v>6</v>
      </c>
      <c r="F6" s="1463"/>
      <c r="G6" s="51" t="s">
        <v>7</v>
      </c>
      <c r="H6" s="4" t="s">
        <v>8</v>
      </c>
      <c r="I6" s="267" t="s">
        <v>6</v>
      </c>
      <c r="J6" s="268" t="s">
        <v>6</v>
      </c>
      <c r="K6" s="269"/>
      <c r="L6" s="5" t="s">
        <v>7</v>
      </c>
      <c r="M6" s="4" t="s">
        <v>8</v>
      </c>
    </row>
    <row r="7" spans="1:13" s="79" customFormat="1" ht="15.75" customHeight="1">
      <c r="A7" s="83" t="s">
        <v>9</v>
      </c>
      <c r="B7" s="126"/>
      <c r="C7" s="757"/>
      <c r="D7" s="585"/>
      <c r="E7" s="84"/>
      <c r="F7" s="586"/>
      <c r="G7" s="67"/>
      <c r="H7" s="74"/>
      <c r="I7" s="1052">
        <v>0</v>
      </c>
      <c r="J7" s="1053">
        <v>0</v>
      </c>
      <c r="K7" s="331"/>
      <c r="L7" s="67"/>
      <c r="M7" s="74"/>
    </row>
    <row r="8" spans="1:13" s="79" customFormat="1" ht="15.75" customHeight="1">
      <c r="A8" s="86" t="s">
        <v>10</v>
      </c>
      <c r="B8" s="127">
        <v>540192.48</v>
      </c>
      <c r="C8" s="758">
        <v>612286</v>
      </c>
      <c r="D8" s="587">
        <v>634923</v>
      </c>
      <c r="E8" s="87">
        <v>658</v>
      </c>
      <c r="F8" s="88">
        <v>635581</v>
      </c>
      <c r="G8" s="68">
        <v>2764</v>
      </c>
      <c r="H8" s="69">
        <v>1.0045142302780072</v>
      </c>
      <c r="I8" s="1054">
        <v>659726.2952007691</v>
      </c>
      <c r="J8" s="1055">
        <v>683.7047992309399</v>
      </c>
      <c r="K8" s="88">
        <f>+I8+J8</f>
        <v>660410</v>
      </c>
      <c r="L8" s="67">
        <f aca="true" t="shared" si="0" ref="L8:L13">+K8-F8</f>
        <v>24829</v>
      </c>
      <c r="M8" s="74">
        <f aca="true" t="shared" si="1" ref="M8:M13">+K8/F8</f>
        <v>1.039065044423921</v>
      </c>
    </row>
    <row r="9" spans="1:13" s="79" customFormat="1" ht="15.75" customHeight="1">
      <c r="A9" s="86" t="s">
        <v>11</v>
      </c>
      <c r="B9" s="127">
        <v>86508.1</v>
      </c>
      <c r="C9" s="758">
        <v>99498</v>
      </c>
      <c r="D9" s="587">
        <v>0</v>
      </c>
      <c r="E9" s="87">
        <v>98220</v>
      </c>
      <c r="F9" s="88">
        <v>98220</v>
      </c>
      <c r="G9" s="68">
        <v>268</v>
      </c>
      <c r="H9" s="69">
        <v>1.0026935214778185</v>
      </c>
      <c r="I9" s="1054">
        <v>0</v>
      </c>
      <c r="J9" s="1055">
        <v>98511</v>
      </c>
      <c r="K9" s="88">
        <f aca="true" t="shared" si="2" ref="K9:K15">+I9+J9</f>
        <v>98511</v>
      </c>
      <c r="L9" s="68">
        <f t="shared" si="0"/>
        <v>291</v>
      </c>
      <c r="M9" s="69">
        <f t="shared" si="1"/>
        <v>1.0029627367135003</v>
      </c>
    </row>
    <row r="10" spans="1:13" s="79" customFormat="1" ht="15.75" customHeight="1">
      <c r="A10" s="86" t="s">
        <v>12</v>
      </c>
      <c r="B10" s="127">
        <v>8095.41</v>
      </c>
      <c r="C10" s="758">
        <v>7900</v>
      </c>
      <c r="D10" s="587">
        <v>7431</v>
      </c>
      <c r="E10" s="87">
        <v>30</v>
      </c>
      <c r="F10" s="88">
        <v>7461</v>
      </c>
      <c r="G10" s="68">
        <v>200</v>
      </c>
      <c r="H10" s="69">
        <v>1.0253164556962024</v>
      </c>
      <c r="I10" s="1054">
        <v>7469.8431845597115</v>
      </c>
      <c r="J10" s="1055">
        <v>30.15681544028951</v>
      </c>
      <c r="K10" s="88">
        <f t="shared" si="2"/>
        <v>7500.000000000001</v>
      </c>
      <c r="L10" s="68">
        <f t="shared" si="0"/>
        <v>39.00000000000091</v>
      </c>
      <c r="M10" s="69">
        <f t="shared" si="1"/>
        <v>1.0052271813429836</v>
      </c>
    </row>
    <row r="11" spans="1:13" s="79" customFormat="1" ht="15.75" customHeight="1">
      <c r="A11" s="86" t="s">
        <v>13</v>
      </c>
      <c r="B11" s="127">
        <v>23538.34</v>
      </c>
      <c r="C11" s="758">
        <v>17551</v>
      </c>
      <c r="D11" s="587">
        <v>55288</v>
      </c>
      <c r="E11" s="87">
        <v>714</v>
      </c>
      <c r="F11" s="88">
        <v>56002</v>
      </c>
      <c r="G11" s="68">
        <v>-9001</v>
      </c>
      <c r="H11" s="69">
        <v>0.4871517292461968</v>
      </c>
      <c r="I11" s="1054">
        <v>7646.25477661512</v>
      </c>
      <c r="J11" s="1055">
        <v>98.74522338487911</v>
      </c>
      <c r="K11" s="88">
        <f t="shared" si="2"/>
        <v>7744.999999999999</v>
      </c>
      <c r="L11" s="68">
        <f t="shared" si="0"/>
        <v>-48257</v>
      </c>
      <c r="M11" s="69">
        <f t="shared" si="1"/>
        <v>0.13829863219170743</v>
      </c>
    </row>
    <row r="12" spans="1:13" s="79" customFormat="1" ht="15.75" customHeight="1">
      <c r="A12" s="86" t="s">
        <v>14</v>
      </c>
      <c r="B12" s="127">
        <v>1665.61</v>
      </c>
      <c r="C12" s="758">
        <v>7747</v>
      </c>
      <c r="D12" s="587">
        <v>31496</v>
      </c>
      <c r="E12" s="87">
        <v>0</v>
      </c>
      <c r="F12" s="88">
        <v>31496</v>
      </c>
      <c r="G12" s="68">
        <v>-1747</v>
      </c>
      <c r="H12" s="69">
        <v>0.7744933522653931</v>
      </c>
      <c r="I12" s="1054">
        <v>4500</v>
      </c>
      <c r="J12" s="1055">
        <v>0</v>
      </c>
      <c r="K12" s="88">
        <f t="shared" si="2"/>
        <v>4500</v>
      </c>
      <c r="L12" s="68">
        <f t="shared" si="0"/>
        <v>-26996</v>
      </c>
      <c r="M12" s="69">
        <f t="shared" si="1"/>
        <v>0.1428752857505715</v>
      </c>
    </row>
    <row r="13" spans="1:13" s="79" customFormat="1" ht="15.75" customHeight="1">
      <c r="A13" s="86" t="s">
        <v>15</v>
      </c>
      <c r="B13" s="127">
        <v>10050.76</v>
      </c>
      <c r="C13" s="758">
        <v>9224</v>
      </c>
      <c r="D13" s="587">
        <v>8456</v>
      </c>
      <c r="E13" s="87">
        <v>0</v>
      </c>
      <c r="F13" s="88">
        <v>8456</v>
      </c>
      <c r="G13" s="68">
        <v>346</v>
      </c>
      <c r="H13" s="69">
        <v>1.037510841283608</v>
      </c>
      <c r="I13" s="1054">
        <v>8930</v>
      </c>
      <c r="J13" s="1055">
        <v>0</v>
      </c>
      <c r="K13" s="88">
        <f t="shared" si="2"/>
        <v>8930</v>
      </c>
      <c r="L13" s="68">
        <f t="shared" si="0"/>
        <v>474</v>
      </c>
      <c r="M13" s="69">
        <f t="shared" si="1"/>
        <v>1.0560548722800378</v>
      </c>
    </row>
    <row r="14" spans="1:13" s="79" customFormat="1" ht="21.75" customHeight="1">
      <c r="A14" s="86" t="s">
        <v>16</v>
      </c>
      <c r="B14" s="127">
        <v>0</v>
      </c>
      <c r="C14" s="758">
        <v>51</v>
      </c>
      <c r="D14" s="587">
        <v>0</v>
      </c>
      <c r="E14" s="87">
        <v>0</v>
      </c>
      <c r="F14" s="88">
        <v>0</v>
      </c>
      <c r="G14" s="68">
        <v>-51</v>
      </c>
      <c r="H14" s="69">
        <v>0</v>
      </c>
      <c r="I14" s="1054">
        <v>0</v>
      </c>
      <c r="J14" s="1055">
        <v>0</v>
      </c>
      <c r="K14" s="88">
        <f t="shared" si="2"/>
        <v>0</v>
      </c>
      <c r="L14" s="68"/>
      <c r="M14" s="69"/>
    </row>
    <row r="15" spans="1:13" s="79" customFormat="1" ht="15.75" customHeight="1" thickBot="1">
      <c r="A15" s="89" t="s">
        <v>17</v>
      </c>
      <c r="B15" s="128">
        <v>29327.8</v>
      </c>
      <c r="C15" s="759">
        <v>58134</v>
      </c>
      <c r="D15" s="587">
        <v>31463</v>
      </c>
      <c r="E15" s="87">
        <v>0</v>
      </c>
      <c r="F15" s="88">
        <v>31463</v>
      </c>
      <c r="G15" s="70">
        <v>-10778.701500000003</v>
      </c>
      <c r="H15" s="71">
        <v>0.8145886830426257</v>
      </c>
      <c r="I15" s="1054">
        <f>+E53/1000+6166</f>
        <v>31021.75573</v>
      </c>
      <c r="J15" s="1055">
        <v>0</v>
      </c>
      <c r="K15" s="88">
        <f t="shared" si="2"/>
        <v>31021.75573</v>
      </c>
      <c r="L15" s="70">
        <f>+K15-F15</f>
        <v>-441.24426999999923</v>
      </c>
      <c r="M15" s="71">
        <f>+K15/F15</f>
        <v>0.9859757724946763</v>
      </c>
    </row>
    <row r="16" spans="1:13" s="141" customFormat="1" ht="19.5" customHeight="1" thickBot="1">
      <c r="A16" s="7" t="s">
        <v>18</v>
      </c>
      <c r="B16" s="8">
        <v>697712.89</v>
      </c>
      <c r="C16" s="9">
        <v>804593</v>
      </c>
      <c r="D16" s="8">
        <v>737561</v>
      </c>
      <c r="E16" s="24">
        <v>99622</v>
      </c>
      <c r="F16" s="233">
        <v>837183</v>
      </c>
      <c r="G16" s="72">
        <v>-16201.701499999966</v>
      </c>
      <c r="H16" s="73">
        <v>0.9798634819094872</v>
      </c>
      <c r="I16" s="8">
        <f>SUM(I7+I8+I9+I10+I11+I13+I15)</f>
        <v>714794.1488919439</v>
      </c>
      <c r="J16" s="24">
        <f>SUM(J7+J8+J9+J10+J11+J13+J15)</f>
        <v>99323.6068380561</v>
      </c>
      <c r="K16" s="233">
        <f>SUM(K7+K8+K9+K10+K11+K13+K15)</f>
        <v>814117.75573</v>
      </c>
      <c r="L16" s="72">
        <f>+K16-F16</f>
        <v>-23065.244270000025</v>
      </c>
      <c r="M16" s="73">
        <f>+K16/F16</f>
        <v>0.9724489815607817</v>
      </c>
    </row>
    <row r="17" spans="1:13" s="79" customFormat="1" ht="15.75" customHeight="1">
      <c r="A17" s="83" t="s">
        <v>19</v>
      </c>
      <c r="B17" s="126">
        <v>171150.8</v>
      </c>
      <c r="C17" s="757">
        <v>180191</v>
      </c>
      <c r="D17" s="587">
        <v>176609</v>
      </c>
      <c r="E17" s="87">
        <v>304</v>
      </c>
      <c r="F17" s="85">
        <v>176913</v>
      </c>
      <c r="G17" s="67">
        <f aca="true" t="shared" si="3" ref="G17:G34">+F17-C17</f>
        <v>-3278</v>
      </c>
      <c r="H17" s="74">
        <f aca="true" t="shared" si="4" ref="H17:H29">+F17/C17</f>
        <v>0.9818081924180453</v>
      </c>
      <c r="I17" s="1054">
        <v>170117.17448689468</v>
      </c>
      <c r="J17" s="1055">
        <v>292.82551310531164</v>
      </c>
      <c r="K17" s="85">
        <f>+I17+J17</f>
        <v>170410</v>
      </c>
      <c r="L17" s="67">
        <f>+K17-F17</f>
        <v>-6503</v>
      </c>
      <c r="M17" s="74">
        <f>+K17/F17</f>
        <v>0.9632418194253672</v>
      </c>
    </row>
    <row r="18" spans="1:13" s="79" customFormat="1" ht="22.5" customHeight="1">
      <c r="A18" s="86" t="s">
        <v>20</v>
      </c>
      <c r="B18" s="127">
        <v>-1046</v>
      </c>
      <c r="C18" s="758">
        <v>1857</v>
      </c>
      <c r="D18" s="587">
        <v>2280</v>
      </c>
      <c r="E18" s="87">
        <v>2</v>
      </c>
      <c r="F18" s="85">
        <v>2282</v>
      </c>
      <c r="G18" s="67">
        <f t="shared" si="3"/>
        <v>425</v>
      </c>
      <c r="H18" s="74">
        <f t="shared" si="4"/>
        <v>1.2288637587506732</v>
      </c>
      <c r="I18" s="1054">
        <v>1648.5539000876424</v>
      </c>
      <c r="J18" s="1055">
        <v>1.446099912357581</v>
      </c>
      <c r="K18" s="85">
        <f aca="true" t="shared" si="5" ref="K18:K34">+I18+J18</f>
        <v>1650</v>
      </c>
      <c r="L18" s="67">
        <f aca="true" t="shared" si="6" ref="L18:L35">+K18-F18</f>
        <v>-632</v>
      </c>
      <c r="M18" s="74">
        <f aca="true" t="shared" si="7" ref="M18:M35">+K18/F18</f>
        <v>0.7230499561787905</v>
      </c>
    </row>
    <row r="19" spans="1:13" s="79" customFormat="1" ht="15.75" customHeight="1">
      <c r="A19" s="86" t="s">
        <v>21</v>
      </c>
      <c r="B19" s="127">
        <v>27092.08</v>
      </c>
      <c r="C19" s="758">
        <v>30570</v>
      </c>
      <c r="D19" s="587">
        <v>34082</v>
      </c>
      <c r="E19" s="87">
        <v>674</v>
      </c>
      <c r="F19" s="85">
        <v>34756</v>
      </c>
      <c r="G19" s="67">
        <f t="shared" si="3"/>
        <v>4186</v>
      </c>
      <c r="H19" s="74">
        <f t="shared" si="4"/>
        <v>1.1369316323192673</v>
      </c>
      <c r="I19" s="1054">
        <v>32360.05294049948</v>
      </c>
      <c r="J19" s="1055">
        <v>639.9470595005179</v>
      </c>
      <c r="K19" s="85">
        <f t="shared" si="5"/>
        <v>33000</v>
      </c>
      <c r="L19" s="67">
        <f t="shared" si="6"/>
        <v>-1756</v>
      </c>
      <c r="M19" s="74">
        <f t="shared" si="7"/>
        <v>0.9494763494072965</v>
      </c>
    </row>
    <row r="20" spans="1:13" s="79" customFormat="1" ht="21" customHeight="1">
      <c r="A20" s="86" t="s">
        <v>22</v>
      </c>
      <c r="B20" s="127">
        <v>361.91</v>
      </c>
      <c r="C20" s="758">
        <v>346</v>
      </c>
      <c r="D20" s="587">
        <v>307</v>
      </c>
      <c r="E20" s="87">
        <v>0</v>
      </c>
      <c r="F20" s="85">
        <v>307</v>
      </c>
      <c r="G20" s="67">
        <f t="shared" si="3"/>
        <v>-39</v>
      </c>
      <c r="H20" s="74">
        <f t="shared" si="4"/>
        <v>0.8872832369942196</v>
      </c>
      <c r="I20" s="1054">
        <v>300</v>
      </c>
      <c r="J20" s="1055">
        <v>0</v>
      </c>
      <c r="K20" s="85">
        <f t="shared" si="5"/>
        <v>300</v>
      </c>
      <c r="L20" s="67">
        <f t="shared" si="6"/>
        <v>-7</v>
      </c>
      <c r="M20" s="74">
        <f t="shared" si="7"/>
        <v>0.9771986970684039</v>
      </c>
    </row>
    <row r="21" spans="1:13" s="79" customFormat="1" ht="15.75" customHeight="1">
      <c r="A21" s="86" t="s">
        <v>23</v>
      </c>
      <c r="B21" s="127">
        <v>71176.06</v>
      </c>
      <c r="C21" s="758">
        <v>82847</v>
      </c>
      <c r="D21" s="587">
        <v>0</v>
      </c>
      <c r="E21" s="87">
        <v>83416</v>
      </c>
      <c r="F21" s="85">
        <v>83416</v>
      </c>
      <c r="G21" s="67">
        <f t="shared" si="3"/>
        <v>569</v>
      </c>
      <c r="H21" s="74">
        <f t="shared" si="4"/>
        <v>1.0068680821272948</v>
      </c>
      <c r="I21" s="1054">
        <v>0</v>
      </c>
      <c r="J21" s="1055">
        <v>83000</v>
      </c>
      <c r="K21" s="85">
        <f t="shared" si="5"/>
        <v>83000</v>
      </c>
      <c r="L21" s="67">
        <f t="shared" si="6"/>
        <v>-416</v>
      </c>
      <c r="M21" s="74">
        <f t="shared" si="7"/>
        <v>0.9950129471564209</v>
      </c>
    </row>
    <row r="22" spans="1:13" s="79" customFormat="1" ht="15.75" customHeight="1">
      <c r="A22" s="86" t="s">
        <v>24</v>
      </c>
      <c r="B22" s="127">
        <v>95142.77</v>
      </c>
      <c r="C22" s="758">
        <v>116529</v>
      </c>
      <c r="D22" s="587">
        <v>123430</v>
      </c>
      <c r="E22" s="87">
        <v>100</v>
      </c>
      <c r="F22" s="85">
        <v>123530</v>
      </c>
      <c r="G22" s="67">
        <f t="shared" si="3"/>
        <v>7001</v>
      </c>
      <c r="H22" s="74">
        <f t="shared" si="4"/>
        <v>1.0600794651975045</v>
      </c>
      <c r="I22" s="1054">
        <v>124913.79786286732</v>
      </c>
      <c r="J22" s="1055">
        <v>101.20213713268032</v>
      </c>
      <c r="K22" s="85">
        <f t="shared" si="5"/>
        <v>125015</v>
      </c>
      <c r="L22" s="67">
        <f t="shared" si="6"/>
        <v>1485</v>
      </c>
      <c r="M22" s="74">
        <f t="shared" si="7"/>
        <v>1.0120213713268031</v>
      </c>
    </row>
    <row r="23" spans="1:13" s="79" customFormat="1" ht="26.25" customHeight="1">
      <c r="A23" s="86" t="s">
        <v>25</v>
      </c>
      <c r="B23" s="127">
        <v>15050.7</v>
      </c>
      <c r="C23" s="758">
        <v>15118</v>
      </c>
      <c r="D23" s="587">
        <v>11684</v>
      </c>
      <c r="E23" s="87">
        <v>35</v>
      </c>
      <c r="F23" s="85">
        <v>11719</v>
      </c>
      <c r="G23" s="67">
        <f t="shared" si="3"/>
        <v>-3399</v>
      </c>
      <c r="H23" s="74">
        <f t="shared" si="4"/>
        <v>0.775168673104908</v>
      </c>
      <c r="I23" s="1054">
        <v>11964.160764570355</v>
      </c>
      <c r="J23" s="1055">
        <v>35.83923542964417</v>
      </c>
      <c r="K23" s="85">
        <f t="shared" si="5"/>
        <v>12000</v>
      </c>
      <c r="L23" s="67">
        <f t="shared" si="6"/>
        <v>281</v>
      </c>
      <c r="M23" s="74">
        <f t="shared" si="7"/>
        <v>1.0239781551326905</v>
      </c>
    </row>
    <row r="24" spans="1:13" s="79" customFormat="1" ht="15.75" customHeight="1">
      <c r="A24" s="86" t="s">
        <v>26</v>
      </c>
      <c r="B24" s="127">
        <v>79403.28</v>
      </c>
      <c r="C24" s="758">
        <v>100775</v>
      </c>
      <c r="D24" s="587">
        <v>111131</v>
      </c>
      <c r="E24" s="87">
        <v>64</v>
      </c>
      <c r="F24" s="85">
        <v>111195</v>
      </c>
      <c r="G24" s="67">
        <f t="shared" si="3"/>
        <v>10420</v>
      </c>
      <c r="H24" s="74">
        <f t="shared" si="4"/>
        <v>1.1033986603820392</v>
      </c>
      <c r="I24" s="1054">
        <v>112335.30644363505</v>
      </c>
      <c r="J24" s="1055">
        <v>64.69355636494447</v>
      </c>
      <c r="K24" s="85">
        <f t="shared" si="5"/>
        <v>112400</v>
      </c>
      <c r="L24" s="67">
        <f t="shared" si="6"/>
        <v>1205</v>
      </c>
      <c r="M24" s="74">
        <f t="shared" si="7"/>
        <v>1.0108368182022573</v>
      </c>
    </row>
    <row r="25" spans="1:13" s="79" customFormat="1" ht="15.75" customHeight="1">
      <c r="A25" s="90" t="s">
        <v>27</v>
      </c>
      <c r="B25" s="127">
        <v>316162.78</v>
      </c>
      <c r="C25" s="758">
        <v>344593</v>
      </c>
      <c r="D25" s="587">
        <v>378502</v>
      </c>
      <c r="E25" s="87">
        <v>4240</v>
      </c>
      <c r="F25" s="85">
        <v>382742</v>
      </c>
      <c r="G25" s="67">
        <f t="shared" si="3"/>
        <v>38149</v>
      </c>
      <c r="H25" s="74">
        <f t="shared" si="4"/>
        <v>1.1107074142539168</v>
      </c>
      <c r="I25" s="1054">
        <v>413820.36178940383</v>
      </c>
      <c r="J25" s="1055">
        <v>4635.638210596172</v>
      </c>
      <c r="K25" s="85">
        <f t="shared" si="5"/>
        <v>418456</v>
      </c>
      <c r="L25" s="67">
        <f t="shared" si="6"/>
        <v>35714</v>
      </c>
      <c r="M25" s="74">
        <f t="shared" si="7"/>
        <v>1.0933108987255122</v>
      </c>
    </row>
    <row r="26" spans="1:13" s="79" customFormat="1" ht="15.75" customHeight="1">
      <c r="A26" s="86" t="s">
        <v>28</v>
      </c>
      <c r="B26" s="127">
        <v>230829.78</v>
      </c>
      <c r="C26" s="758">
        <v>251615</v>
      </c>
      <c r="D26" s="587">
        <v>276553</v>
      </c>
      <c r="E26" s="87">
        <v>3095</v>
      </c>
      <c r="F26" s="85">
        <v>279648</v>
      </c>
      <c r="G26" s="67">
        <f t="shared" si="3"/>
        <v>28033</v>
      </c>
      <c r="H26" s="74">
        <f t="shared" si="4"/>
        <v>1.111412276692566</v>
      </c>
      <c r="I26" s="1054">
        <v>302494.6777377274</v>
      </c>
      <c r="J26" s="1055">
        <v>3385.322262272571</v>
      </c>
      <c r="K26" s="85">
        <f t="shared" si="5"/>
        <v>305880</v>
      </c>
      <c r="L26" s="67">
        <f t="shared" si="6"/>
        <v>26232</v>
      </c>
      <c r="M26" s="74">
        <f t="shared" si="7"/>
        <v>1.0938036388602814</v>
      </c>
    </row>
    <row r="27" spans="1:13" s="79" customFormat="1" ht="15.75" customHeight="1">
      <c r="A27" s="90" t="s">
        <v>29</v>
      </c>
      <c r="B27" s="127">
        <v>0</v>
      </c>
      <c r="C27" s="758">
        <v>247420</v>
      </c>
      <c r="D27" s="587">
        <v>270778</v>
      </c>
      <c r="E27" s="87">
        <v>3094</v>
      </c>
      <c r="F27" s="85">
        <v>273872</v>
      </c>
      <c r="G27" s="67">
        <f t="shared" si="3"/>
        <v>26452</v>
      </c>
      <c r="H27" s="74">
        <f t="shared" si="4"/>
        <v>1.106911324872686</v>
      </c>
      <c r="I27" s="1054">
        <v>286852.32933633233</v>
      </c>
      <c r="J27" s="1055">
        <v>3277.670663667699</v>
      </c>
      <c r="K27" s="85">
        <f t="shared" si="5"/>
        <v>290130.00000000006</v>
      </c>
      <c r="L27" s="67">
        <f t="shared" si="6"/>
        <v>16258.000000000058</v>
      </c>
      <c r="M27" s="74">
        <f t="shared" si="7"/>
        <v>1.0593634982765674</v>
      </c>
    </row>
    <row r="28" spans="1:13" s="79" customFormat="1" ht="15.75" customHeight="1">
      <c r="A28" s="86" t="s">
        <v>30</v>
      </c>
      <c r="B28" s="127">
        <v>0</v>
      </c>
      <c r="C28" s="758">
        <v>4195</v>
      </c>
      <c r="D28" s="587">
        <v>5775</v>
      </c>
      <c r="E28" s="87">
        <v>1</v>
      </c>
      <c r="F28" s="85">
        <v>5776</v>
      </c>
      <c r="G28" s="67">
        <f t="shared" si="3"/>
        <v>1581</v>
      </c>
      <c r="H28" s="74">
        <f t="shared" si="4"/>
        <v>1.3768772348033373</v>
      </c>
      <c r="I28" s="1054">
        <v>15747.273199445983</v>
      </c>
      <c r="J28" s="1055">
        <v>2.7268005540166205</v>
      </c>
      <c r="K28" s="85">
        <f t="shared" si="5"/>
        <v>15750</v>
      </c>
      <c r="L28" s="67">
        <f t="shared" si="6"/>
        <v>9974</v>
      </c>
      <c r="M28" s="74">
        <f t="shared" si="7"/>
        <v>2.7268005540166205</v>
      </c>
    </row>
    <row r="29" spans="1:13" s="79" customFormat="1" ht="15.75" customHeight="1">
      <c r="A29" s="86" t="s">
        <v>31</v>
      </c>
      <c r="B29" s="127">
        <v>85333</v>
      </c>
      <c r="C29" s="758">
        <v>92978</v>
      </c>
      <c r="D29" s="587">
        <v>101949</v>
      </c>
      <c r="E29" s="87">
        <v>1145</v>
      </c>
      <c r="F29" s="85">
        <v>103094</v>
      </c>
      <c r="G29" s="67">
        <f t="shared" si="3"/>
        <v>10116</v>
      </c>
      <c r="H29" s="74">
        <f t="shared" si="4"/>
        <v>1.1087999311665124</v>
      </c>
      <c r="I29" s="1054">
        <v>111325.68940966496</v>
      </c>
      <c r="J29" s="1055">
        <v>1250.310590335034</v>
      </c>
      <c r="K29" s="85">
        <f t="shared" si="5"/>
        <v>112576</v>
      </c>
      <c r="L29" s="67">
        <f t="shared" si="6"/>
        <v>9482</v>
      </c>
      <c r="M29" s="74">
        <f t="shared" si="7"/>
        <v>1.0919743147030865</v>
      </c>
    </row>
    <row r="30" spans="1:13" s="79" customFormat="1" ht="15.75" customHeight="1">
      <c r="A30" s="90" t="s">
        <v>32</v>
      </c>
      <c r="B30" s="127">
        <v>0</v>
      </c>
      <c r="C30" s="758">
        <v>0</v>
      </c>
      <c r="D30" s="587">
        <v>27</v>
      </c>
      <c r="E30" s="87">
        <v>0</v>
      </c>
      <c r="F30" s="85">
        <v>27</v>
      </c>
      <c r="G30" s="67">
        <f t="shared" si="3"/>
        <v>27</v>
      </c>
      <c r="H30" s="74"/>
      <c r="I30" s="1054">
        <v>27</v>
      </c>
      <c r="J30" s="1055">
        <v>0</v>
      </c>
      <c r="K30" s="85">
        <f t="shared" si="5"/>
        <v>27</v>
      </c>
      <c r="L30" s="67">
        <f t="shared" si="6"/>
        <v>0</v>
      </c>
      <c r="M30" s="74">
        <f t="shared" si="7"/>
        <v>1</v>
      </c>
    </row>
    <row r="31" spans="1:13" s="79" customFormat="1" ht="15.75" customHeight="1">
      <c r="A31" s="90" t="s">
        <v>33</v>
      </c>
      <c r="B31" s="127">
        <v>9096.4</v>
      </c>
      <c r="C31" s="758">
        <v>9716</v>
      </c>
      <c r="D31" s="587">
        <v>2871</v>
      </c>
      <c r="E31" s="87">
        <v>52</v>
      </c>
      <c r="F31" s="85">
        <v>2923</v>
      </c>
      <c r="G31" s="67">
        <f t="shared" si="3"/>
        <v>-6793</v>
      </c>
      <c r="H31" s="74">
        <f>+F31/C31</f>
        <v>0.3008439687114039</v>
      </c>
      <c r="I31" s="1054">
        <v>805.4122476907287</v>
      </c>
      <c r="J31" s="1055">
        <v>14.587752309271297</v>
      </c>
      <c r="K31" s="85">
        <f t="shared" si="5"/>
        <v>820</v>
      </c>
      <c r="L31" s="67">
        <f t="shared" si="6"/>
        <v>-2103</v>
      </c>
      <c r="M31" s="74">
        <f t="shared" si="7"/>
        <v>0.28053369825521723</v>
      </c>
    </row>
    <row r="32" spans="1:13" s="79" customFormat="1" ht="15.75" customHeight="1">
      <c r="A32" s="86" t="s">
        <v>34</v>
      </c>
      <c r="B32" s="127">
        <v>12120.13</v>
      </c>
      <c r="C32" s="758">
        <v>10840</v>
      </c>
      <c r="D32" s="587">
        <v>9817</v>
      </c>
      <c r="E32" s="87">
        <v>0</v>
      </c>
      <c r="F32" s="85">
        <v>9817</v>
      </c>
      <c r="G32" s="67">
        <f t="shared" si="3"/>
        <v>-1023</v>
      </c>
      <c r="H32" s="74">
        <f>+F32/C32</f>
        <v>0.9056273062730628</v>
      </c>
      <c r="I32" s="1054">
        <v>10200</v>
      </c>
      <c r="J32" s="1055">
        <v>0</v>
      </c>
      <c r="K32" s="85">
        <f t="shared" si="5"/>
        <v>10200</v>
      </c>
      <c r="L32" s="67">
        <f t="shared" si="6"/>
        <v>383</v>
      </c>
      <c r="M32" s="74">
        <f t="shared" si="7"/>
        <v>1.0390139553835185</v>
      </c>
    </row>
    <row r="33" spans="1:13" s="79" customFormat="1" ht="25.5" customHeight="1">
      <c r="A33" s="86" t="s">
        <v>35</v>
      </c>
      <c r="B33" s="127">
        <v>2135.3</v>
      </c>
      <c r="C33" s="758">
        <v>1758</v>
      </c>
      <c r="D33" s="587">
        <v>1729</v>
      </c>
      <c r="E33" s="87">
        <v>0</v>
      </c>
      <c r="F33" s="85">
        <v>1729</v>
      </c>
      <c r="G33" s="67">
        <f t="shared" si="3"/>
        <v>-29</v>
      </c>
      <c r="H33" s="74">
        <f>+F33/C33</f>
        <v>0.9835039817974972</v>
      </c>
      <c r="I33" s="1054">
        <v>2200</v>
      </c>
      <c r="J33" s="1055">
        <v>0</v>
      </c>
      <c r="K33" s="85">
        <f t="shared" si="5"/>
        <v>2200</v>
      </c>
      <c r="L33" s="67">
        <f t="shared" si="6"/>
        <v>471</v>
      </c>
      <c r="M33" s="74">
        <f t="shared" si="7"/>
        <v>1.2724117987275883</v>
      </c>
    </row>
    <row r="34" spans="1:13" s="79" customFormat="1" ht="15.75" customHeight="1" thickBot="1">
      <c r="A34" s="91" t="s">
        <v>36</v>
      </c>
      <c r="B34" s="127">
        <v>0</v>
      </c>
      <c r="C34" s="758">
        <v>2972</v>
      </c>
      <c r="D34" s="587">
        <v>-1051</v>
      </c>
      <c r="E34" s="87">
        <v>0</v>
      </c>
      <c r="F34" s="85">
        <v>-1051</v>
      </c>
      <c r="G34" s="67">
        <f t="shared" si="3"/>
        <v>-4023</v>
      </c>
      <c r="H34" s="74">
        <f>+F34/C34</f>
        <v>-0.35363391655450876</v>
      </c>
      <c r="I34" s="1054">
        <v>200</v>
      </c>
      <c r="J34" s="1055">
        <v>0</v>
      </c>
      <c r="K34" s="85">
        <f t="shared" si="5"/>
        <v>200</v>
      </c>
      <c r="L34" s="67">
        <f t="shared" si="6"/>
        <v>1251</v>
      </c>
      <c r="M34" s="74">
        <f t="shared" si="7"/>
        <v>-0.19029495718363462</v>
      </c>
    </row>
    <row r="35" spans="1:13" s="79" customFormat="1" ht="15.75" customHeight="1" thickBot="1">
      <c r="A35" s="7" t="s">
        <v>37</v>
      </c>
      <c r="B35" s="129">
        <v>702302.93</v>
      </c>
      <c r="C35" s="9">
        <v>778604</v>
      </c>
      <c r="D35" s="8">
        <v>724594</v>
      </c>
      <c r="E35" s="9">
        <v>88786</v>
      </c>
      <c r="F35" s="10">
        <v>813380</v>
      </c>
      <c r="G35" s="72">
        <v>39494.17500000005</v>
      </c>
      <c r="H35" s="73">
        <v>1.0507243412569163</v>
      </c>
      <c r="I35" s="8">
        <f>SUM(I17+I19+I20+I21+I22+I25+I30+I31+I32+I34)</f>
        <v>752743.799327356</v>
      </c>
      <c r="J35" s="24">
        <f>SUM(J17+J19+J20+J21+J22+J25+J30+J31+J32+J34)</f>
        <v>88684.20067264394</v>
      </c>
      <c r="K35" s="23">
        <f>SUM(K17+K19+K20+K21+K22+K25+K30+K31+K32+K34)</f>
        <v>841428</v>
      </c>
      <c r="L35" s="72">
        <f t="shared" si="6"/>
        <v>28048</v>
      </c>
      <c r="M35" s="73">
        <f t="shared" si="7"/>
        <v>1.0344832673535125</v>
      </c>
    </row>
    <row r="36" spans="1:11" s="79" customFormat="1" ht="18.75" customHeight="1" thickBot="1">
      <c r="A36" s="7" t="s">
        <v>38</v>
      </c>
      <c r="B36" s="130">
        <v>-4590.039999999921</v>
      </c>
      <c r="C36" s="736">
        <v>25989</v>
      </c>
      <c r="D36" s="1290">
        <f>+F16-F35</f>
        <v>23803</v>
      </c>
      <c r="E36" s="1582"/>
      <c r="F36" s="1583"/>
      <c r="G36" s="75">
        <v>0</v>
      </c>
      <c r="H36" s="76"/>
      <c r="I36" s="1290">
        <f>+K16-K35</f>
        <v>-27310.244270000025</v>
      </c>
      <c r="J36" s="1582"/>
      <c r="K36" s="1583"/>
    </row>
    <row r="37" spans="1:10" s="79" customFormat="1" ht="22.5" customHeight="1" thickBot="1">
      <c r="A37" s="7" t="s">
        <v>39</v>
      </c>
      <c r="B37" s="130">
        <v>-224395</v>
      </c>
      <c r="C37" s="130">
        <v>-119330</v>
      </c>
      <c r="D37" s="80"/>
      <c r="F37" s="1576" t="s">
        <v>138</v>
      </c>
      <c r="G37" s="1577"/>
      <c r="H37" s="1577"/>
      <c r="I37" s="1577"/>
      <c r="J37" s="1577"/>
    </row>
    <row r="38" spans="1:13" ht="21" customHeight="1" thickBot="1">
      <c r="A38" s="14" t="s">
        <v>40</v>
      </c>
      <c r="B38" s="130">
        <v>-228985.04</v>
      </c>
      <c r="C38" s="130">
        <f>+C36+C37</f>
        <v>-93341</v>
      </c>
      <c r="D38" s="80"/>
      <c r="E38" s="77"/>
      <c r="F38" s="1578"/>
      <c r="G38" s="1578"/>
      <c r="H38" s="1578"/>
      <c r="I38" s="1578"/>
      <c r="J38" s="1578"/>
      <c r="K38" s="77"/>
      <c r="L38" s="77"/>
      <c r="M38" s="77"/>
    </row>
    <row r="39" spans="1:13" ht="3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ht="7.5" customHeight="1" thickBot="1">
      <c r="A40" s="79"/>
    </row>
    <row r="41" spans="1:12" ht="17.25" customHeight="1" thickBot="1">
      <c r="A41" s="1430" t="s">
        <v>427</v>
      </c>
      <c r="B41" s="1432"/>
      <c r="C41" s="1432"/>
      <c r="D41" s="1432"/>
      <c r="E41" s="1432"/>
      <c r="F41" s="1432"/>
      <c r="G41" s="1432"/>
      <c r="H41" s="1432"/>
      <c r="I41" s="1432"/>
      <c r="J41" s="1432"/>
      <c r="K41" s="1575"/>
      <c r="L41" s="92"/>
    </row>
    <row r="42" spans="1:11" s="94" customFormat="1" ht="17.25" customHeight="1">
      <c r="A42" s="1595" t="s">
        <v>42</v>
      </c>
      <c r="B42" s="1596" t="s">
        <v>145</v>
      </c>
      <c r="C42" s="1596"/>
      <c r="D42" s="1596"/>
      <c r="E42" s="1596"/>
      <c r="F42" s="1333"/>
      <c r="G42" s="1331" t="s">
        <v>146</v>
      </c>
      <c r="H42" s="1596"/>
      <c r="I42" s="1596"/>
      <c r="J42" s="1596"/>
      <c r="K42" s="1333"/>
    </row>
    <row r="43" spans="1:12" ht="18" customHeight="1" thickBot="1">
      <c r="A43" s="1269"/>
      <c r="B43" s="18">
        <v>2004</v>
      </c>
      <c r="C43" s="16">
        <v>2005</v>
      </c>
      <c r="D43" s="16">
        <v>2006</v>
      </c>
      <c r="E43" s="17">
        <v>2007</v>
      </c>
      <c r="F43" s="632" t="s">
        <v>7</v>
      </c>
      <c r="G43" s="18">
        <v>2004</v>
      </c>
      <c r="H43" s="16">
        <v>2005</v>
      </c>
      <c r="I43" s="16">
        <v>2006</v>
      </c>
      <c r="J43" s="17">
        <v>2007</v>
      </c>
      <c r="K43" s="632" t="s">
        <v>7</v>
      </c>
      <c r="L43" s="92"/>
    </row>
    <row r="44" spans="1:14" s="94" customFormat="1" ht="22.5" customHeight="1">
      <c r="A44" s="131" t="s">
        <v>139</v>
      </c>
      <c r="B44" s="45">
        <v>1374000</v>
      </c>
      <c r="C44" s="19">
        <v>1418760</v>
      </c>
      <c r="D44" s="19">
        <v>1942689</v>
      </c>
      <c r="E44" s="656">
        <v>1374000</v>
      </c>
      <c r="F44" s="227">
        <f>+E44-D44</f>
        <v>-568689</v>
      </c>
      <c r="G44" s="20"/>
      <c r="H44" s="21"/>
      <c r="I44" s="19"/>
      <c r="J44" s="656"/>
      <c r="K44" s="227"/>
      <c r="N44"/>
    </row>
    <row r="45" spans="1:14" s="94" customFormat="1" ht="22.5" customHeight="1">
      <c r="A45" s="132" t="s">
        <v>140</v>
      </c>
      <c r="B45" s="20">
        <v>14845000</v>
      </c>
      <c r="C45" s="19">
        <v>15497400</v>
      </c>
      <c r="D45" s="19">
        <v>22410000</v>
      </c>
      <c r="E45" s="601">
        <f>+B60-J45</f>
        <v>23481755.73</v>
      </c>
      <c r="F45" s="227">
        <f>+E45-D45</f>
        <v>1071755.7300000004</v>
      </c>
      <c r="G45" s="20">
        <v>20055000</v>
      </c>
      <c r="H45" s="21">
        <v>31702600</v>
      </c>
      <c r="I45" s="21">
        <v>30390000</v>
      </c>
      <c r="J45" s="601">
        <f>+F145</f>
        <v>29318244.27</v>
      </c>
      <c r="K45" s="227">
        <f>+J45-I45</f>
        <v>-1071755.7300000004</v>
      </c>
      <c r="L45" s="95"/>
      <c r="N45"/>
    </row>
    <row r="46" spans="1:19" s="94" customFormat="1" ht="22.5" customHeight="1">
      <c r="A46" s="132" t="s">
        <v>141</v>
      </c>
      <c r="B46" s="20">
        <v>1525570</v>
      </c>
      <c r="C46" s="19"/>
      <c r="D46" s="19">
        <v>865195.5</v>
      </c>
      <c r="E46" s="601"/>
      <c r="F46" s="227"/>
      <c r="G46" s="20">
        <v>710000</v>
      </c>
      <c r="H46" s="21">
        <v>587015</v>
      </c>
      <c r="I46" s="21">
        <v>2268595.83</v>
      </c>
      <c r="J46" s="601"/>
      <c r="K46" s="227"/>
      <c r="N46"/>
      <c r="O46"/>
      <c r="P46"/>
      <c r="Q46"/>
      <c r="R46"/>
      <c r="S46"/>
    </row>
    <row r="47" spans="1:19" s="94" customFormat="1" ht="22.5" customHeight="1">
      <c r="A47" s="132" t="s">
        <v>142</v>
      </c>
      <c r="B47" s="20">
        <v>311233</v>
      </c>
      <c r="C47" s="19">
        <v>104361.5</v>
      </c>
      <c r="D47" s="19">
        <v>38406</v>
      </c>
      <c r="E47" s="601"/>
      <c r="F47" s="227"/>
      <c r="G47" s="20"/>
      <c r="H47" s="21"/>
      <c r="I47" s="21"/>
      <c r="J47" s="601"/>
      <c r="K47" s="227"/>
      <c r="L47" s="77"/>
      <c r="N47"/>
      <c r="O47"/>
      <c r="P47"/>
      <c r="Q47"/>
      <c r="R47"/>
      <c r="S47"/>
    </row>
    <row r="48" spans="1:19" s="94" customFormat="1" ht="22.5" customHeight="1">
      <c r="A48" s="133" t="s">
        <v>49</v>
      </c>
      <c r="B48" s="22">
        <v>10750000</v>
      </c>
      <c r="C48" s="19">
        <v>16761000</v>
      </c>
      <c r="D48" s="19"/>
      <c r="E48" s="601"/>
      <c r="F48" s="227"/>
      <c r="G48" s="22">
        <v>8921000</v>
      </c>
      <c r="H48" s="52"/>
      <c r="I48" s="21"/>
      <c r="J48" s="601"/>
      <c r="K48" s="227"/>
      <c r="L48" s="77"/>
      <c r="N48"/>
      <c r="O48"/>
      <c r="P48"/>
      <c r="Q48"/>
      <c r="R48"/>
      <c r="S48"/>
    </row>
    <row r="49" spans="1:19" s="94" customFormat="1" ht="22.5" customHeight="1">
      <c r="A49" s="134" t="s">
        <v>285</v>
      </c>
      <c r="B49" s="20">
        <v>522000</v>
      </c>
      <c r="C49" s="19">
        <v>1040381</v>
      </c>
      <c r="D49" s="19">
        <v>0</v>
      </c>
      <c r="E49" s="601"/>
      <c r="F49" s="227"/>
      <c r="G49" s="20"/>
      <c r="H49" s="21">
        <v>893620</v>
      </c>
      <c r="I49" s="21">
        <v>593000</v>
      </c>
      <c r="J49" s="601"/>
      <c r="K49" s="227"/>
      <c r="L49" s="96"/>
      <c r="N49"/>
      <c r="O49"/>
      <c r="P49"/>
      <c r="Q49"/>
      <c r="R49"/>
      <c r="S49"/>
    </row>
    <row r="50" spans="1:19" s="94" customFormat="1" ht="22.5" customHeight="1">
      <c r="A50" s="134" t="s">
        <v>163</v>
      </c>
      <c r="B50" s="20"/>
      <c r="C50" s="19">
        <v>17049000</v>
      </c>
      <c r="D50" s="19"/>
      <c r="E50" s="601"/>
      <c r="F50" s="227"/>
      <c r="G50" s="20"/>
      <c r="H50" s="21">
        <v>500000</v>
      </c>
      <c r="I50" s="21"/>
      <c r="J50" s="601">
        <f>+J145</f>
        <v>19337000</v>
      </c>
      <c r="K50" s="227">
        <f>+J50-I50</f>
        <v>19337000</v>
      </c>
      <c r="L50" s="96"/>
      <c r="N50"/>
      <c r="O50"/>
      <c r="P50"/>
      <c r="Q50"/>
      <c r="R50"/>
      <c r="S50"/>
    </row>
    <row r="51" spans="1:19" s="94" customFormat="1" ht="22.5" customHeight="1">
      <c r="A51" s="134" t="s">
        <v>284</v>
      </c>
      <c r="B51" s="20"/>
      <c r="C51" s="19">
        <v>93313</v>
      </c>
      <c r="D51" s="19">
        <v>3287</v>
      </c>
      <c r="E51" s="601"/>
      <c r="F51" s="227"/>
      <c r="G51" s="20"/>
      <c r="H51" s="21"/>
      <c r="I51" s="21"/>
      <c r="J51" s="601"/>
      <c r="K51" s="227"/>
      <c r="L51" s="96"/>
      <c r="N51"/>
      <c r="O51"/>
      <c r="P51"/>
      <c r="Q51"/>
      <c r="R51"/>
      <c r="S51"/>
    </row>
    <row r="52" spans="1:19" s="94" customFormat="1" ht="22.5" customHeight="1" thickBot="1">
      <c r="A52" s="134" t="s">
        <v>290</v>
      </c>
      <c r="B52" s="20"/>
      <c r="C52" s="19"/>
      <c r="D52" s="19"/>
      <c r="E52" s="601"/>
      <c r="F52" s="227"/>
      <c r="G52" s="20"/>
      <c r="H52" s="21">
        <f>1564989+44589.5</f>
        <v>1609578.5</v>
      </c>
      <c r="I52" s="21"/>
      <c r="J52" s="601"/>
      <c r="K52" s="227"/>
      <c r="L52" s="97"/>
      <c r="N52"/>
      <c r="O52"/>
      <c r="P52"/>
      <c r="Q52"/>
      <c r="R52"/>
      <c r="S52"/>
    </row>
    <row r="53" spans="1:19" s="94" customFormat="1" ht="22.5" customHeight="1" thickBot="1">
      <c r="A53" s="46" t="s">
        <v>54</v>
      </c>
      <c r="B53" s="11">
        <v>29327803</v>
      </c>
      <c r="C53" s="24">
        <f>+C44+C45+C47+C48+C49+C50+C51</f>
        <v>51964215.5</v>
      </c>
      <c r="D53" s="24">
        <f>SUM(D44:D52)</f>
        <v>25259577.5</v>
      </c>
      <c r="E53" s="24">
        <f>SUM(E44:E52)</f>
        <v>24855755.73</v>
      </c>
      <c r="F53" s="633">
        <f>SUM(F44:F52)</f>
        <v>503066.73000000045</v>
      </c>
      <c r="G53" s="11">
        <v>29686000</v>
      </c>
      <c r="H53" s="24">
        <f>SUM(H44:H52)</f>
        <v>35292813.5</v>
      </c>
      <c r="I53" s="24">
        <f>SUM(I44:I52)</f>
        <v>33251595.83</v>
      </c>
      <c r="J53" s="24">
        <f>SUM(J44:J52)</f>
        <v>48655244.269999996</v>
      </c>
      <c r="K53" s="633">
        <f>SUM(K44:K52)</f>
        <v>18265244.27</v>
      </c>
      <c r="N53"/>
      <c r="O53"/>
      <c r="P53"/>
      <c r="Q53"/>
      <c r="R53"/>
      <c r="S53"/>
    </row>
    <row r="54" ht="9" customHeight="1" thickBot="1"/>
    <row r="55" spans="1:11" s="142" customFormat="1" ht="18" customHeight="1">
      <c r="A55" s="1561" t="s">
        <v>44</v>
      </c>
      <c r="B55" s="1183" t="s">
        <v>178</v>
      </c>
      <c r="C55" s="1193"/>
      <c r="D55" s="1193"/>
      <c r="E55" s="1193"/>
      <c r="F55" s="1193"/>
      <c r="G55" s="1349"/>
      <c r="H55" s="1183" t="s">
        <v>144</v>
      </c>
      <c r="I55" s="1599"/>
      <c r="J55" s="1599"/>
      <c r="K55" s="1600"/>
    </row>
    <row r="56" spans="1:13" s="142" customFormat="1" ht="28.5" customHeight="1" thickBot="1">
      <c r="A56" s="1597"/>
      <c r="B56" s="1379" t="s">
        <v>45</v>
      </c>
      <c r="C56" s="1380"/>
      <c r="D56" s="1381" t="s">
        <v>46</v>
      </c>
      <c r="E56" s="1380"/>
      <c r="F56" s="1381" t="s">
        <v>47</v>
      </c>
      <c r="G56" s="1382"/>
      <c r="H56" s="158" t="s">
        <v>50</v>
      </c>
      <c r="I56" s="156" t="s">
        <v>52</v>
      </c>
      <c r="J56" s="157" t="s">
        <v>51</v>
      </c>
      <c r="K56" s="114" t="s">
        <v>53</v>
      </c>
      <c r="M56" s="289"/>
    </row>
    <row r="57" spans="1:11" s="142" customFormat="1" ht="18.75" customHeight="1">
      <c r="A57" s="159">
        <v>2004</v>
      </c>
      <c r="B57" s="1598">
        <v>34900000</v>
      </c>
      <c r="C57" s="1452"/>
      <c r="D57" s="1451">
        <v>26200000</v>
      </c>
      <c r="E57" s="1452"/>
      <c r="F57" s="1451">
        <v>8700000</v>
      </c>
      <c r="G57" s="1603"/>
      <c r="H57" s="153">
        <v>0.5746418338108883</v>
      </c>
      <c r="I57" s="154">
        <v>0.29530885472779367</v>
      </c>
      <c r="J57" s="154">
        <v>0.27933297908309457</v>
      </c>
      <c r="K57" s="155">
        <v>0.42535816618911176</v>
      </c>
    </row>
    <row r="58" spans="1:11" s="142" customFormat="1" ht="18.75" customHeight="1">
      <c r="A58" s="160">
        <v>2005</v>
      </c>
      <c r="B58" s="1588">
        <v>47200000</v>
      </c>
      <c r="C58" s="1447"/>
      <c r="D58" s="1446">
        <v>38300000</v>
      </c>
      <c r="E58" s="1447"/>
      <c r="F58" s="1446">
        <v>8900000</v>
      </c>
      <c r="G58" s="1589"/>
      <c r="H58" s="143">
        <v>0.6716652542372882</v>
      </c>
      <c r="I58" s="144">
        <f>5058743/B58</f>
        <v>0.10717675847457628</v>
      </c>
      <c r="J58" s="144">
        <f>26643857/B58</f>
        <v>0.5644884957627119</v>
      </c>
      <c r="K58" s="145">
        <v>0.3283347457627119</v>
      </c>
    </row>
    <row r="59" spans="1:11" s="142" customFormat="1" ht="18.75" customHeight="1">
      <c r="A59" s="160">
        <v>2006</v>
      </c>
      <c r="B59" s="1588">
        <v>52800000</v>
      </c>
      <c r="C59" s="1447"/>
      <c r="D59" s="1446">
        <v>43900000</v>
      </c>
      <c r="E59" s="1447"/>
      <c r="F59" s="1446">
        <v>8900000</v>
      </c>
      <c r="G59" s="1589"/>
      <c r="H59" s="143">
        <v>0.26136363636363635</v>
      </c>
      <c r="I59" s="144">
        <f>+F75/B59</f>
        <v>0</v>
      </c>
      <c r="J59" s="144">
        <f>+F143/B59</f>
        <v>0.555269777840909</v>
      </c>
      <c r="K59" s="145">
        <v>0.7386363636363636</v>
      </c>
    </row>
    <row r="60" spans="1:11" s="142" customFormat="1" ht="18.75" customHeight="1" thickBot="1">
      <c r="A60" s="161">
        <v>2007</v>
      </c>
      <c r="B60" s="1590">
        <f>+B59</f>
        <v>52800000</v>
      </c>
      <c r="C60" s="1468"/>
      <c r="D60" s="1467">
        <f>+D59</f>
        <v>43900000</v>
      </c>
      <c r="E60" s="1468"/>
      <c r="F60" s="1467">
        <f>+F59</f>
        <v>8900000</v>
      </c>
      <c r="G60" s="1585"/>
      <c r="H60" s="150">
        <f>+J45/B60</f>
        <v>0.555269777840909</v>
      </c>
      <c r="I60" s="151">
        <f>+F75/B60</f>
        <v>0</v>
      </c>
      <c r="J60" s="151">
        <f>+F145/B60</f>
        <v>0.555269777840909</v>
      </c>
      <c r="K60" s="152">
        <f>+E45/B60</f>
        <v>0.4447302221590909</v>
      </c>
    </row>
    <row r="61" ht="9.75" customHeight="1"/>
    <row r="62" ht="22.5" customHeight="1" thickBot="1">
      <c r="A62" s="102" t="s">
        <v>179</v>
      </c>
    </row>
    <row r="63" spans="1:3" ht="22.5" customHeight="1" thickBot="1">
      <c r="A63" s="66" t="s">
        <v>149</v>
      </c>
      <c r="B63" s="60"/>
      <c r="C63" s="61"/>
    </row>
    <row r="64" spans="1:4" ht="18.75" customHeight="1">
      <c r="A64" s="1449" t="s">
        <v>129</v>
      </c>
      <c r="B64" s="1450"/>
      <c r="C64" s="391">
        <f>+E53/1000</f>
        <v>24855.75573</v>
      </c>
      <c r="D64" s="79"/>
    </row>
    <row r="65" spans="1:4" ht="18.75" customHeight="1">
      <c r="A65" s="1419" t="s">
        <v>43</v>
      </c>
      <c r="B65" s="1420"/>
      <c r="C65" s="392">
        <f>+J53/1000</f>
        <v>48655.244269999996</v>
      </c>
      <c r="D65" s="79"/>
    </row>
    <row r="66" spans="1:4" ht="18.75" customHeight="1" thickBot="1">
      <c r="A66" s="1421" t="s">
        <v>130</v>
      </c>
      <c r="B66" s="1422"/>
      <c r="C66" s="588">
        <f>+I27</f>
        <v>286852.32933633233</v>
      </c>
      <c r="D66" s="79"/>
    </row>
    <row r="67" ht="6.75" customHeight="1"/>
    <row r="68" spans="1:13" ht="21.75" customHeight="1" thickBot="1">
      <c r="A68" s="102" t="s">
        <v>217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37.5" customHeight="1">
      <c r="A69" s="741" t="s">
        <v>181</v>
      </c>
      <c r="B69" s="1248" t="s">
        <v>444</v>
      </c>
      <c r="C69" s="1248"/>
      <c r="D69" s="1249" t="s">
        <v>649</v>
      </c>
      <c r="E69" s="1180"/>
      <c r="F69" s="1248" t="s">
        <v>55</v>
      </c>
      <c r="G69" s="1248"/>
      <c r="H69" s="1249" t="s">
        <v>56</v>
      </c>
      <c r="I69" s="1180"/>
      <c r="J69" s="1248" t="s">
        <v>430</v>
      </c>
      <c r="K69" s="1249"/>
      <c r="L69" s="1247" t="s">
        <v>180</v>
      </c>
      <c r="M69" s="1181"/>
    </row>
    <row r="70" spans="1:13" ht="14.25" customHeight="1" thickBot="1">
      <c r="A70" s="47" t="s">
        <v>132</v>
      </c>
      <c r="B70" s="1353" t="s">
        <v>167</v>
      </c>
      <c r="C70" s="1514"/>
      <c r="D70" s="1353" t="s">
        <v>167</v>
      </c>
      <c r="E70" s="1514"/>
      <c r="F70" s="1346" t="s">
        <v>58</v>
      </c>
      <c r="G70" s="1346"/>
      <c r="H70" s="1353" t="s">
        <v>59</v>
      </c>
      <c r="I70" s="1514"/>
      <c r="J70" s="1353" t="s">
        <v>325</v>
      </c>
      <c r="K70" s="1519"/>
      <c r="L70" s="1352" t="s">
        <v>60</v>
      </c>
      <c r="M70" s="1518"/>
    </row>
    <row r="71" spans="1:15" s="78" customFormat="1" ht="18" customHeight="1">
      <c r="A71" s="1593" t="s">
        <v>431</v>
      </c>
      <c r="B71" s="1586"/>
      <c r="C71" s="1587"/>
      <c r="D71" s="1494">
        <v>3565243</v>
      </c>
      <c r="E71" s="1495"/>
      <c r="F71" s="1586"/>
      <c r="G71" s="1587"/>
      <c r="H71" s="1586"/>
      <c r="I71" s="1587"/>
      <c r="J71" s="1494"/>
      <c r="K71" s="1495"/>
      <c r="L71" s="1487">
        <f>+F71+H71+J71</f>
        <v>0</v>
      </c>
      <c r="M71" s="1488"/>
      <c r="O71" s="142"/>
    </row>
    <row r="72" spans="1:15" s="78" customFormat="1" ht="18" customHeight="1">
      <c r="A72" s="1594"/>
      <c r="B72" s="1069"/>
      <c r="C72" s="1070"/>
      <c r="D72" s="1584">
        <v>3000000</v>
      </c>
      <c r="E72" s="1492"/>
      <c r="F72" s="1586"/>
      <c r="G72" s="1587"/>
      <c r="H72" s="1069"/>
      <c r="I72" s="1070"/>
      <c r="J72" s="1492"/>
      <c r="K72" s="1493"/>
      <c r="L72" s="1487">
        <f>+F72+H72+J72</f>
        <v>0</v>
      </c>
      <c r="M72" s="1488"/>
      <c r="O72" s="142"/>
    </row>
    <row r="73" spans="1:13" s="78" customFormat="1" ht="21.75" customHeight="1">
      <c r="A73" s="760" t="s">
        <v>443</v>
      </c>
      <c r="B73" s="1485"/>
      <c r="C73" s="1485"/>
      <c r="D73" s="1485"/>
      <c r="E73" s="1485"/>
      <c r="F73" s="1485"/>
      <c r="G73" s="1485"/>
      <c r="H73" s="1491"/>
      <c r="I73" s="1491"/>
      <c r="J73" s="1485"/>
      <c r="K73" s="1486"/>
      <c r="L73" s="1487">
        <f>+F73+H73+J73</f>
        <v>0</v>
      </c>
      <c r="M73" s="1488"/>
    </row>
    <row r="74" spans="1:13" s="78" customFormat="1" ht="21.75" customHeight="1" thickBot="1">
      <c r="A74" s="760" t="s">
        <v>445</v>
      </c>
      <c r="B74" s="1485">
        <v>2100000</v>
      </c>
      <c r="C74" s="1485"/>
      <c r="D74" s="1485"/>
      <c r="E74" s="1485"/>
      <c r="F74" s="1485"/>
      <c r="G74" s="1485"/>
      <c r="H74" s="1491"/>
      <c r="I74" s="1491"/>
      <c r="J74" s="1485"/>
      <c r="K74" s="1486"/>
      <c r="L74" s="1487">
        <f>+F74+H74+J74</f>
        <v>0</v>
      </c>
      <c r="M74" s="1488"/>
    </row>
    <row r="75" spans="1:13" ht="20.25" customHeight="1" thickBot="1">
      <c r="A75" s="260" t="s">
        <v>147</v>
      </c>
      <c r="B75" s="1512">
        <f>SUM(B71:C74)</f>
        <v>2100000</v>
      </c>
      <c r="C75" s="1513"/>
      <c r="D75" s="1512">
        <f>+D72</f>
        <v>3000000</v>
      </c>
      <c r="E75" s="1513"/>
      <c r="F75" s="1512">
        <f>SUM(F71:G74)</f>
        <v>0</v>
      </c>
      <c r="G75" s="1513"/>
      <c r="H75" s="1512">
        <f>SUM(H71:I74)</f>
        <v>0</v>
      </c>
      <c r="I75" s="1513"/>
      <c r="J75" s="1512">
        <f>SUM(J71:K74)</f>
        <v>0</v>
      </c>
      <c r="K75" s="1513"/>
      <c r="L75" s="1427">
        <f>+J75</f>
        <v>0</v>
      </c>
      <c r="M75" s="1397"/>
    </row>
    <row r="76" spans="1:13" ht="4.5" customHeight="1" thickBo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8"/>
      <c r="L76" s="146"/>
      <c r="M76" s="148"/>
    </row>
    <row r="77" spans="1:13" ht="33.75" customHeight="1">
      <c r="A77" s="741" t="s">
        <v>182</v>
      </c>
      <c r="B77" s="1248" t="s">
        <v>444</v>
      </c>
      <c r="C77" s="1248"/>
      <c r="D77" s="1249" t="s">
        <v>649</v>
      </c>
      <c r="E77" s="1180"/>
      <c r="F77" s="1248" t="s">
        <v>55</v>
      </c>
      <c r="G77" s="1248"/>
      <c r="H77" s="1249" t="s">
        <v>56</v>
      </c>
      <c r="I77" s="1180"/>
      <c r="J77" s="1248" t="s">
        <v>430</v>
      </c>
      <c r="K77" s="1249"/>
      <c r="L77" s="1247" t="s">
        <v>180</v>
      </c>
      <c r="M77" s="1181"/>
    </row>
    <row r="78" spans="1:13" ht="21.75" customHeight="1" thickBot="1">
      <c r="A78" s="47" t="s">
        <v>132</v>
      </c>
      <c r="B78" s="1353" t="s">
        <v>167</v>
      </c>
      <c r="C78" s="1514"/>
      <c r="D78" s="1353" t="s">
        <v>167</v>
      </c>
      <c r="E78" s="1514"/>
      <c r="F78" s="1336" t="s">
        <v>58</v>
      </c>
      <c r="G78" s="1336"/>
      <c r="H78" s="1353" t="s">
        <v>59</v>
      </c>
      <c r="I78" s="1514"/>
      <c r="J78" s="1353" t="s">
        <v>325</v>
      </c>
      <c r="K78" s="1519"/>
      <c r="L78" s="1352" t="s">
        <v>60</v>
      </c>
      <c r="M78" s="1518"/>
    </row>
    <row r="79" spans="1:13" s="1166" customFormat="1" ht="18" customHeight="1">
      <c r="A79" s="1499" t="s">
        <v>432</v>
      </c>
      <c r="B79" s="1472"/>
      <c r="C79" s="1473"/>
      <c r="D79" s="1591">
        <v>15000000</v>
      </c>
      <c r="E79" s="1592"/>
      <c r="F79" s="1472"/>
      <c r="G79" s="1473"/>
      <c r="H79" s="1472"/>
      <c r="I79" s="1473"/>
      <c r="J79" s="1510">
        <v>0</v>
      </c>
      <c r="K79" s="1489"/>
      <c r="L79" s="1483">
        <f>+F79+H79+J79</f>
        <v>0</v>
      </c>
      <c r="M79" s="1484"/>
    </row>
    <row r="80" spans="1:13" s="1166" customFormat="1" ht="18" customHeight="1">
      <c r="A80" s="1500"/>
      <c r="B80" s="1164"/>
      <c r="C80" s="1165"/>
      <c r="D80" s="1476">
        <v>11865000</v>
      </c>
      <c r="E80" s="1490"/>
      <c r="F80" s="1472"/>
      <c r="G80" s="1473"/>
      <c r="H80" s="1164"/>
      <c r="I80" s="1165"/>
      <c r="J80" s="1498"/>
      <c r="K80" s="1476"/>
      <c r="L80" s="1480">
        <f aca="true" t="shared" si="8" ref="L80:L141">+F80+H80+J80</f>
        <v>0</v>
      </c>
      <c r="M80" s="1481"/>
    </row>
    <row r="81" spans="1:13" s="1166" customFormat="1" ht="18" customHeight="1">
      <c r="A81" s="1499" t="s">
        <v>156</v>
      </c>
      <c r="B81" s="1472"/>
      <c r="C81" s="1473"/>
      <c r="D81" s="1489">
        <v>300000</v>
      </c>
      <c r="E81" s="1490"/>
      <c r="F81" s="1501">
        <v>0</v>
      </c>
      <c r="G81" s="1502"/>
      <c r="H81" s="1472"/>
      <c r="I81" s="1473"/>
      <c r="J81" s="1510"/>
      <c r="K81" s="1489"/>
      <c r="L81" s="1483">
        <f t="shared" si="8"/>
        <v>0</v>
      </c>
      <c r="M81" s="1484"/>
    </row>
    <row r="82" spans="1:13" s="1166" customFormat="1" ht="18" customHeight="1">
      <c r="A82" s="1500"/>
      <c r="B82" s="1164"/>
      <c r="C82" s="1165"/>
      <c r="D82" s="1476">
        <v>0</v>
      </c>
      <c r="E82" s="1490"/>
      <c r="F82" s="1472">
        <v>162252</v>
      </c>
      <c r="G82" s="1473"/>
      <c r="H82" s="1164"/>
      <c r="I82" s="1165"/>
      <c r="J82" s="1498"/>
      <c r="K82" s="1476"/>
      <c r="L82" s="1480">
        <f t="shared" si="8"/>
        <v>162252</v>
      </c>
      <c r="M82" s="1481"/>
    </row>
    <row r="83" spans="1:13" s="1166" customFormat="1" ht="18" customHeight="1">
      <c r="A83" s="1499" t="s">
        <v>158</v>
      </c>
      <c r="B83" s="1472"/>
      <c r="C83" s="1473"/>
      <c r="D83" s="1489">
        <v>1180000</v>
      </c>
      <c r="E83" s="1490"/>
      <c r="F83" s="1501">
        <v>0</v>
      </c>
      <c r="G83" s="1502"/>
      <c r="H83" s="1472"/>
      <c r="I83" s="1473"/>
      <c r="J83" s="1510"/>
      <c r="K83" s="1489"/>
      <c r="L83" s="1483">
        <f t="shared" si="8"/>
        <v>0</v>
      </c>
      <c r="M83" s="1484"/>
    </row>
    <row r="84" spans="1:13" s="1166" customFormat="1" ht="18" customHeight="1">
      <c r="A84" s="1500"/>
      <c r="B84" s="1164"/>
      <c r="C84" s="1165"/>
      <c r="D84" s="1476">
        <v>944000</v>
      </c>
      <c r="E84" s="1490"/>
      <c r="F84" s="1472">
        <v>236000</v>
      </c>
      <c r="G84" s="1473"/>
      <c r="H84" s="1164"/>
      <c r="I84" s="1165"/>
      <c r="J84" s="1498"/>
      <c r="K84" s="1476"/>
      <c r="L84" s="1480">
        <f>+F84+H84+J84</f>
        <v>236000</v>
      </c>
      <c r="M84" s="1481"/>
    </row>
    <row r="85" spans="1:13" s="1166" customFormat="1" ht="18" customHeight="1">
      <c r="A85" s="1499" t="s">
        <v>433</v>
      </c>
      <c r="B85" s="1472"/>
      <c r="C85" s="1473"/>
      <c r="D85" s="1489">
        <v>1740000</v>
      </c>
      <c r="E85" s="1490"/>
      <c r="F85" s="1501">
        <v>0</v>
      </c>
      <c r="G85" s="1502"/>
      <c r="H85" s="1472"/>
      <c r="I85" s="1473"/>
      <c r="J85" s="1510"/>
      <c r="K85" s="1489"/>
      <c r="L85" s="1483">
        <f t="shared" si="8"/>
        <v>0</v>
      </c>
      <c r="M85" s="1484"/>
    </row>
    <row r="86" spans="1:13" s="1166" customFormat="1" ht="18" customHeight="1">
      <c r="A86" s="1500"/>
      <c r="B86" s="1164"/>
      <c r="C86" s="1165"/>
      <c r="D86" s="1476">
        <v>1450000</v>
      </c>
      <c r="E86" s="1490"/>
      <c r="F86" s="1472">
        <v>290000</v>
      </c>
      <c r="G86" s="1473"/>
      <c r="H86" s="1164"/>
      <c r="I86" s="1165"/>
      <c r="J86" s="1498"/>
      <c r="K86" s="1476"/>
      <c r="L86" s="1480">
        <f>+F86+H86+J86</f>
        <v>290000</v>
      </c>
      <c r="M86" s="1481"/>
    </row>
    <row r="87" spans="1:13" s="1166" customFormat="1" ht="18" customHeight="1">
      <c r="A87" s="1499" t="s">
        <v>155</v>
      </c>
      <c r="B87" s="1472"/>
      <c r="C87" s="1473"/>
      <c r="D87" s="1489">
        <v>75000</v>
      </c>
      <c r="E87" s="1490"/>
      <c r="F87" s="1501">
        <v>0</v>
      </c>
      <c r="G87" s="1502"/>
      <c r="H87" s="1472"/>
      <c r="I87" s="1473"/>
      <c r="J87" s="1510"/>
      <c r="K87" s="1489"/>
      <c r="L87" s="1483">
        <f t="shared" si="8"/>
        <v>0</v>
      </c>
      <c r="M87" s="1484"/>
    </row>
    <row r="88" spans="1:13" s="1166" customFormat="1" ht="18" customHeight="1">
      <c r="A88" s="1500"/>
      <c r="B88" s="1164"/>
      <c r="C88" s="1165"/>
      <c r="D88" s="1476">
        <v>0</v>
      </c>
      <c r="E88" s="1490"/>
      <c r="F88" s="1472">
        <v>75000</v>
      </c>
      <c r="G88" s="1473"/>
      <c r="H88" s="1164"/>
      <c r="I88" s="1165"/>
      <c r="J88" s="1498"/>
      <c r="K88" s="1476"/>
      <c r="L88" s="1480">
        <f t="shared" si="8"/>
        <v>75000</v>
      </c>
      <c r="M88" s="1481"/>
    </row>
    <row r="89" spans="1:13" s="1166" customFormat="1" ht="18" customHeight="1">
      <c r="A89" s="1499" t="s">
        <v>157</v>
      </c>
      <c r="B89" s="1472"/>
      <c r="C89" s="1473"/>
      <c r="D89" s="1489">
        <v>175000</v>
      </c>
      <c r="E89" s="1490"/>
      <c r="F89" s="1501">
        <v>0</v>
      </c>
      <c r="G89" s="1502"/>
      <c r="H89" s="1472"/>
      <c r="I89" s="1473"/>
      <c r="J89" s="1510"/>
      <c r="K89" s="1489"/>
      <c r="L89" s="1483">
        <f t="shared" si="8"/>
        <v>0</v>
      </c>
      <c r="M89" s="1484"/>
    </row>
    <row r="90" spans="1:13" s="1166" customFormat="1" ht="18" customHeight="1">
      <c r="A90" s="1500"/>
      <c r="B90" s="1164"/>
      <c r="C90" s="1165"/>
      <c r="D90" s="1476">
        <v>100000</v>
      </c>
      <c r="E90" s="1490"/>
      <c r="F90" s="1472">
        <v>6761</v>
      </c>
      <c r="G90" s="1473"/>
      <c r="H90" s="1164"/>
      <c r="I90" s="1165"/>
      <c r="J90" s="1498">
        <v>68239</v>
      </c>
      <c r="K90" s="1476"/>
      <c r="L90" s="1480">
        <f t="shared" si="8"/>
        <v>75000</v>
      </c>
      <c r="M90" s="1481"/>
    </row>
    <row r="91" spans="1:13" s="1166" customFormat="1" ht="18" customHeight="1">
      <c r="A91" s="1499" t="s">
        <v>434</v>
      </c>
      <c r="B91" s="1472"/>
      <c r="C91" s="1473"/>
      <c r="D91" s="1489">
        <v>250000</v>
      </c>
      <c r="E91" s="1490"/>
      <c r="F91" s="1472"/>
      <c r="G91" s="1473"/>
      <c r="H91" s="1472"/>
      <c r="I91" s="1473"/>
      <c r="J91" s="1510"/>
      <c r="K91" s="1489"/>
      <c r="L91" s="1483">
        <f t="shared" si="8"/>
        <v>0</v>
      </c>
      <c r="M91" s="1484"/>
    </row>
    <row r="92" spans="1:13" s="1166" customFormat="1" ht="18" customHeight="1">
      <c r="A92" s="1500"/>
      <c r="B92" s="1164"/>
      <c r="C92" s="1165"/>
      <c r="D92" s="1476">
        <v>0</v>
      </c>
      <c r="E92" s="1490"/>
      <c r="F92" s="1472"/>
      <c r="G92" s="1473"/>
      <c r="H92" s="1164"/>
      <c r="I92" s="1165"/>
      <c r="J92" s="1498"/>
      <c r="K92" s="1476"/>
      <c r="L92" s="1480">
        <f t="shared" si="8"/>
        <v>0</v>
      </c>
      <c r="M92" s="1481"/>
    </row>
    <row r="93" spans="1:13" s="1166" customFormat="1" ht="18" customHeight="1">
      <c r="A93" s="1499" t="s">
        <v>435</v>
      </c>
      <c r="B93" s="1472"/>
      <c r="C93" s="1473"/>
      <c r="D93" s="1489">
        <v>122000</v>
      </c>
      <c r="E93" s="1490"/>
      <c r="F93" s="1510">
        <v>0</v>
      </c>
      <c r="G93" s="1489"/>
      <c r="H93" s="1472"/>
      <c r="I93" s="1473"/>
      <c r="J93" s="1510"/>
      <c r="K93" s="1489"/>
      <c r="L93" s="1483">
        <f t="shared" si="8"/>
        <v>0</v>
      </c>
      <c r="M93" s="1484"/>
    </row>
    <row r="94" spans="1:13" s="1166" customFormat="1" ht="18" customHeight="1">
      <c r="A94" s="1500"/>
      <c r="B94" s="1164"/>
      <c r="C94" s="1165"/>
      <c r="D94" s="1476">
        <v>0</v>
      </c>
      <c r="E94" s="1490"/>
      <c r="F94" s="1472">
        <v>122000</v>
      </c>
      <c r="G94" s="1473"/>
      <c r="H94" s="1164"/>
      <c r="I94" s="1165"/>
      <c r="J94" s="1498"/>
      <c r="K94" s="1476"/>
      <c r="L94" s="1480">
        <f t="shared" si="8"/>
        <v>122000</v>
      </c>
      <c r="M94" s="1481"/>
    </row>
    <row r="95" spans="1:13" s="1166" customFormat="1" ht="18" customHeight="1">
      <c r="A95" s="1499" t="s">
        <v>436</v>
      </c>
      <c r="B95" s="1472"/>
      <c r="C95" s="1473"/>
      <c r="D95" s="1489">
        <v>500000</v>
      </c>
      <c r="E95" s="1490"/>
      <c r="F95" s="1501">
        <v>0</v>
      </c>
      <c r="G95" s="1502"/>
      <c r="H95" s="1472"/>
      <c r="I95" s="1473"/>
      <c r="J95" s="1510"/>
      <c r="K95" s="1489"/>
      <c r="L95" s="1483">
        <f t="shared" si="8"/>
        <v>0</v>
      </c>
      <c r="M95" s="1484"/>
    </row>
    <row r="96" spans="1:13" s="1166" customFormat="1" ht="18" customHeight="1">
      <c r="A96" s="1500"/>
      <c r="B96" s="1164"/>
      <c r="C96" s="1165"/>
      <c r="D96" s="1476">
        <v>0</v>
      </c>
      <c r="E96" s="1490"/>
      <c r="F96" s="1472">
        <v>810000</v>
      </c>
      <c r="G96" s="1473"/>
      <c r="H96" s="1164"/>
      <c r="I96" s="1165"/>
      <c r="J96" s="1498"/>
      <c r="K96" s="1476"/>
      <c r="L96" s="1480">
        <f t="shared" si="8"/>
        <v>810000</v>
      </c>
      <c r="M96" s="1481"/>
    </row>
    <row r="97" spans="1:13" s="1166" customFormat="1" ht="18" customHeight="1">
      <c r="A97" s="1499" t="s">
        <v>437</v>
      </c>
      <c r="B97" s="1472"/>
      <c r="C97" s="1473"/>
      <c r="D97" s="1489">
        <v>75000</v>
      </c>
      <c r="E97" s="1490"/>
      <c r="F97" s="1510">
        <v>0</v>
      </c>
      <c r="G97" s="1489"/>
      <c r="H97" s="1472"/>
      <c r="I97" s="1473"/>
      <c r="J97" s="1510"/>
      <c r="K97" s="1489"/>
      <c r="L97" s="1483">
        <f t="shared" si="8"/>
        <v>0</v>
      </c>
      <c r="M97" s="1484"/>
    </row>
    <row r="98" spans="1:13" s="1166" customFormat="1" ht="18" customHeight="1">
      <c r="A98" s="1500"/>
      <c r="B98" s="1164"/>
      <c r="C98" s="1165"/>
      <c r="D98" s="1476">
        <v>0</v>
      </c>
      <c r="E98" s="1490"/>
      <c r="F98" s="1472">
        <v>75000</v>
      </c>
      <c r="G98" s="1473"/>
      <c r="H98" s="1164"/>
      <c r="I98" s="1165"/>
      <c r="J98" s="1498"/>
      <c r="K98" s="1476"/>
      <c r="L98" s="1480">
        <f t="shared" si="8"/>
        <v>75000</v>
      </c>
      <c r="M98" s="1481"/>
    </row>
    <row r="99" spans="1:13" s="1166" customFormat="1" ht="18" customHeight="1">
      <c r="A99" s="1163" t="s">
        <v>154</v>
      </c>
      <c r="B99" s="1472"/>
      <c r="C99" s="1473"/>
      <c r="D99" s="1476">
        <v>100000</v>
      </c>
      <c r="E99" s="1490"/>
      <c r="F99" s="1472"/>
      <c r="G99" s="1473"/>
      <c r="H99" s="1472"/>
      <c r="I99" s="1473"/>
      <c r="J99" s="1498">
        <v>0</v>
      </c>
      <c r="K99" s="1476"/>
      <c r="L99" s="1480">
        <f t="shared" si="8"/>
        <v>0</v>
      </c>
      <c r="M99" s="1481"/>
    </row>
    <row r="100" spans="1:13" s="1166" customFormat="1" ht="18" customHeight="1">
      <c r="A100" s="1499" t="s">
        <v>153</v>
      </c>
      <c r="B100" s="1501"/>
      <c r="C100" s="1502"/>
      <c r="D100" s="1489">
        <v>380000</v>
      </c>
      <c r="E100" s="1490"/>
      <c r="F100" s="1510">
        <v>0</v>
      </c>
      <c r="G100" s="1489"/>
      <c r="H100" s="1472"/>
      <c r="I100" s="1473"/>
      <c r="J100" s="1510"/>
      <c r="K100" s="1489"/>
      <c r="L100" s="1483">
        <f t="shared" si="8"/>
        <v>0</v>
      </c>
      <c r="M100" s="1484"/>
    </row>
    <row r="101" spans="1:13" s="1166" customFormat="1" ht="18" customHeight="1">
      <c r="A101" s="1500"/>
      <c r="B101" s="1164"/>
      <c r="C101" s="1165"/>
      <c r="D101" s="1476">
        <v>0</v>
      </c>
      <c r="E101" s="1490"/>
      <c r="F101" s="1472">
        <v>380000</v>
      </c>
      <c r="G101" s="1473"/>
      <c r="H101" s="1164"/>
      <c r="I101" s="1165"/>
      <c r="J101" s="1498"/>
      <c r="K101" s="1476"/>
      <c r="L101" s="1480">
        <f t="shared" si="8"/>
        <v>380000</v>
      </c>
      <c r="M101" s="1481"/>
    </row>
    <row r="102" spans="1:13" s="1166" customFormat="1" ht="18" customHeight="1">
      <c r="A102" s="1167" t="s">
        <v>328</v>
      </c>
      <c r="B102" s="1472"/>
      <c r="C102" s="1473"/>
      <c r="D102" s="1472">
        <v>2000000</v>
      </c>
      <c r="E102" s="1490"/>
      <c r="F102" s="1472"/>
      <c r="G102" s="1473"/>
      <c r="H102" s="1472"/>
      <c r="I102" s="1473"/>
      <c r="J102" s="1498"/>
      <c r="K102" s="1476"/>
      <c r="L102" s="1480">
        <f t="shared" si="8"/>
        <v>0</v>
      </c>
      <c r="M102" s="1481"/>
    </row>
    <row r="103" spans="1:13" s="1166" customFormat="1" ht="18" customHeight="1">
      <c r="A103" s="1499" t="s">
        <v>165</v>
      </c>
      <c r="B103" s="1472"/>
      <c r="C103" s="1473"/>
      <c r="D103" s="1489">
        <v>0</v>
      </c>
      <c r="E103" s="1490"/>
      <c r="F103" s="1472"/>
      <c r="G103" s="1473"/>
      <c r="H103" s="1472"/>
      <c r="I103" s="1473"/>
      <c r="J103" s="1510">
        <v>1976000</v>
      </c>
      <c r="K103" s="1489"/>
      <c r="L103" s="1483">
        <f t="shared" si="8"/>
        <v>1976000</v>
      </c>
      <c r="M103" s="1484"/>
    </row>
    <row r="104" spans="1:13" s="1166" customFormat="1" ht="18" customHeight="1">
      <c r="A104" s="1500"/>
      <c r="B104" s="1164"/>
      <c r="C104" s="1165"/>
      <c r="D104" s="1476">
        <v>1992945</v>
      </c>
      <c r="E104" s="1490"/>
      <c r="F104" s="1164"/>
      <c r="G104" s="1165"/>
      <c r="H104" s="1164"/>
      <c r="I104" s="1165"/>
      <c r="J104" s="1498">
        <v>0</v>
      </c>
      <c r="K104" s="1476"/>
      <c r="L104" s="1480">
        <f t="shared" si="8"/>
        <v>0</v>
      </c>
      <c r="M104" s="1481"/>
    </row>
    <row r="105" spans="1:13" s="1166" customFormat="1" ht="18" customHeight="1">
      <c r="A105" s="1499" t="s">
        <v>438</v>
      </c>
      <c r="B105" s="1472"/>
      <c r="C105" s="1473"/>
      <c r="D105" s="1489"/>
      <c r="E105" s="1490"/>
      <c r="F105" s="1472"/>
      <c r="G105" s="1473"/>
      <c r="H105" s="1472"/>
      <c r="I105" s="1473"/>
      <c r="J105" s="1510">
        <v>1020000</v>
      </c>
      <c r="K105" s="1489"/>
      <c r="L105" s="1483">
        <f t="shared" si="8"/>
        <v>1020000</v>
      </c>
      <c r="M105" s="1484"/>
    </row>
    <row r="106" spans="1:13" s="1166" customFormat="1" ht="18" customHeight="1">
      <c r="A106" s="1500"/>
      <c r="B106" s="1164"/>
      <c r="C106" s="1165"/>
      <c r="D106" s="1476"/>
      <c r="E106" s="1490"/>
      <c r="F106" s="1164"/>
      <c r="G106" s="1165"/>
      <c r="H106" s="1164"/>
      <c r="I106" s="1165"/>
      <c r="J106" s="1498">
        <v>993000</v>
      </c>
      <c r="K106" s="1476"/>
      <c r="L106" s="1480">
        <f t="shared" si="8"/>
        <v>993000</v>
      </c>
      <c r="M106" s="1481"/>
    </row>
    <row r="107" spans="1:13" s="1166" customFormat="1" ht="18" customHeight="1">
      <c r="A107" s="1167" t="s">
        <v>439</v>
      </c>
      <c r="B107" s="1472"/>
      <c r="C107" s="1473"/>
      <c r="D107" s="1472"/>
      <c r="E107" s="1490"/>
      <c r="F107" s="1472"/>
      <c r="G107" s="1473"/>
      <c r="H107" s="1472"/>
      <c r="I107" s="1473"/>
      <c r="J107" s="1498">
        <v>2379881</v>
      </c>
      <c r="K107" s="1476"/>
      <c r="L107" s="1480">
        <f t="shared" si="8"/>
        <v>2379881</v>
      </c>
      <c r="M107" s="1481"/>
    </row>
    <row r="108" spans="1:13" s="1166" customFormat="1" ht="18" customHeight="1">
      <c r="A108" s="1499" t="s">
        <v>440</v>
      </c>
      <c r="B108" s="1472"/>
      <c r="C108" s="1473"/>
      <c r="D108" s="1489"/>
      <c r="E108" s="1490"/>
      <c r="F108" s="1472"/>
      <c r="G108" s="1473"/>
      <c r="H108" s="1472"/>
      <c r="I108" s="1473"/>
      <c r="J108" s="1510">
        <v>9621000</v>
      </c>
      <c r="K108" s="1489"/>
      <c r="L108" s="1483">
        <f t="shared" si="8"/>
        <v>9621000</v>
      </c>
      <c r="M108" s="1484"/>
    </row>
    <row r="109" spans="1:13" s="1166" customFormat="1" ht="18" customHeight="1">
      <c r="A109" s="1500"/>
      <c r="B109" s="1164"/>
      <c r="C109" s="1165"/>
      <c r="D109" s="1476"/>
      <c r="E109" s="1490"/>
      <c r="F109" s="1164"/>
      <c r="G109" s="1165"/>
      <c r="H109" s="1164"/>
      <c r="I109" s="1165"/>
      <c r="J109" s="1498">
        <v>0</v>
      </c>
      <c r="K109" s="1476"/>
      <c r="L109" s="1480">
        <f t="shared" si="8"/>
        <v>0</v>
      </c>
      <c r="M109" s="1481"/>
    </row>
    <row r="110" spans="1:13" s="1166" customFormat="1" ht="18" customHeight="1">
      <c r="A110" s="1499" t="s">
        <v>441</v>
      </c>
      <c r="B110" s="1472"/>
      <c r="C110" s="1473"/>
      <c r="D110" s="1489">
        <v>0</v>
      </c>
      <c r="E110" s="1490"/>
      <c r="F110" s="1501">
        <v>0</v>
      </c>
      <c r="G110" s="1502"/>
      <c r="H110" s="1472"/>
      <c r="I110" s="1473"/>
      <c r="J110" s="1510">
        <v>1300000</v>
      </c>
      <c r="K110" s="1489"/>
      <c r="L110" s="1483">
        <f t="shared" si="8"/>
        <v>1300000</v>
      </c>
      <c r="M110" s="1484"/>
    </row>
    <row r="111" spans="1:13" s="1166" customFormat="1" ht="18" customHeight="1">
      <c r="A111" s="1500"/>
      <c r="B111" s="1164"/>
      <c r="C111" s="1165"/>
      <c r="D111" s="1476"/>
      <c r="E111" s="1490"/>
      <c r="F111" s="1472">
        <v>1000000</v>
      </c>
      <c r="G111" s="1473"/>
      <c r="H111" s="1164"/>
      <c r="I111" s="1165"/>
      <c r="J111" s="1498">
        <v>0</v>
      </c>
      <c r="K111" s="1476"/>
      <c r="L111" s="1480">
        <f t="shared" si="8"/>
        <v>1000000</v>
      </c>
      <c r="M111" s="1481"/>
    </row>
    <row r="112" spans="1:13" s="1166" customFormat="1" ht="18" customHeight="1">
      <c r="A112" s="1499" t="s">
        <v>442</v>
      </c>
      <c r="B112" s="1472"/>
      <c r="C112" s="1473"/>
      <c r="D112" s="1489"/>
      <c r="E112" s="1490"/>
      <c r="F112" s="1472"/>
      <c r="G112" s="1473"/>
      <c r="H112" s="1472"/>
      <c r="I112" s="1473"/>
      <c r="J112" s="1510">
        <v>3040000</v>
      </c>
      <c r="K112" s="1489"/>
      <c r="L112" s="1483">
        <f t="shared" si="8"/>
        <v>3040000</v>
      </c>
      <c r="M112" s="1484"/>
    </row>
    <row r="113" spans="1:13" s="1166" customFormat="1" ht="18" customHeight="1">
      <c r="A113" s="1500"/>
      <c r="B113" s="1164"/>
      <c r="C113" s="1165"/>
      <c r="D113" s="1476"/>
      <c r="E113" s="1490"/>
      <c r="F113" s="1164"/>
      <c r="G113" s="1165"/>
      <c r="H113" s="1164"/>
      <c r="I113" s="1165"/>
      <c r="J113" s="1498">
        <v>0</v>
      </c>
      <c r="K113" s="1476"/>
      <c r="L113" s="1480">
        <f t="shared" si="8"/>
        <v>0</v>
      </c>
      <c r="M113" s="1481"/>
    </row>
    <row r="114" spans="1:13" s="1166" customFormat="1" ht="18" customHeight="1">
      <c r="A114" s="1168" t="s">
        <v>611</v>
      </c>
      <c r="B114" s="1472"/>
      <c r="C114" s="1473"/>
      <c r="D114" s="1505">
        <f>288711-200000</f>
        <v>88711</v>
      </c>
      <c r="E114" s="1517"/>
      <c r="F114" s="1482"/>
      <c r="G114" s="1482"/>
      <c r="H114" s="1472"/>
      <c r="I114" s="1473"/>
      <c r="J114" s="1498"/>
      <c r="K114" s="1476"/>
      <c r="L114" s="1480">
        <f t="shared" si="8"/>
        <v>0</v>
      </c>
      <c r="M114" s="1481"/>
    </row>
    <row r="115" spans="1:13" s="1166" customFormat="1" ht="18" customHeight="1">
      <c r="A115" s="1168" t="s">
        <v>612</v>
      </c>
      <c r="B115" s="1472">
        <v>249119</v>
      </c>
      <c r="C115" s="1473"/>
      <c r="D115" s="1478"/>
      <c r="E115" s="1515"/>
      <c r="F115" s="1482"/>
      <c r="G115" s="1482"/>
      <c r="H115" s="1472"/>
      <c r="I115" s="1473"/>
      <c r="J115" s="1498"/>
      <c r="K115" s="1476"/>
      <c r="L115" s="1480">
        <f t="shared" si="8"/>
        <v>0</v>
      </c>
      <c r="M115" s="1481"/>
    </row>
    <row r="116" spans="1:13" s="1166" customFormat="1" ht="18" customHeight="1">
      <c r="A116" s="1168" t="s">
        <v>613</v>
      </c>
      <c r="B116" s="1472"/>
      <c r="C116" s="1473"/>
      <c r="D116" s="1503">
        <v>79881</v>
      </c>
      <c r="E116" s="1516"/>
      <c r="F116" s="1482">
        <v>119</v>
      </c>
      <c r="G116" s="1482"/>
      <c r="H116" s="1472"/>
      <c r="I116" s="1473"/>
      <c r="J116" s="1498"/>
      <c r="K116" s="1476"/>
      <c r="L116" s="1480">
        <f t="shared" si="8"/>
        <v>119</v>
      </c>
      <c r="M116" s="1481"/>
    </row>
    <row r="117" spans="1:13" s="1166" customFormat="1" ht="18" customHeight="1">
      <c r="A117" s="1168" t="s">
        <v>614</v>
      </c>
      <c r="B117" s="1472"/>
      <c r="C117" s="1473"/>
      <c r="D117" s="1478">
        <v>522900</v>
      </c>
      <c r="E117" s="1515"/>
      <c r="F117" s="1482"/>
      <c r="G117" s="1482"/>
      <c r="H117" s="1472"/>
      <c r="I117" s="1473"/>
      <c r="J117" s="1498"/>
      <c r="K117" s="1476"/>
      <c r="L117" s="1480">
        <f t="shared" si="8"/>
        <v>0</v>
      </c>
      <c r="M117" s="1481"/>
    </row>
    <row r="118" spans="1:13" s="1166" customFormat="1" ht="18" customHeight="1">
      <c r="A118" s="1169" t="s">
        <v>615</v>
      </c>
      <c r="B118" s="1501"/>
      <c r="C118" s="1502"/>
      <c r="D118" s="1508"/>
      <c r="E118" s="1509"/>
      <c r="F118" s="1510"/>
      <c r="G118" s="1489"/>
      <c r="H118" s="1472"/>
      <c r="I118" s="1473"/>
      <c r="J118" s="1498">
        <v>110880</v>
      </c>
      <c r="K118" s="1476"/>
      <c r="L118" s="1480">
        <f t="shared" si="8"/>
        <v>110880</v>
      </c>
      <c r="M118" s="1481"/>
    </row>
    <row r="119" spans="1:13" s="1166" customFormat="1" ht="18" customHeight="1">
      <c r="A119" s="1168" t="s">
        <v>616</v>
      </c>
      <c r="B119" s="1472"/>
      <c r="C119" s="1473"/>
      <c r="D119" s="1472">
        <v>600000</v>
      </c>
      <c r="E119" s="1490"/>
      <c r="F119" s="1482"/>
      <c r="G119" s="1482"/>
      <c r="H119" s="1472"/>
      <c r="I119" s="1473"/>
      <c r="J119" s="1498"/>
      <c r="K119" s="1476"/>
      <c r="L119" s="1480">
        <f t="shared" si="8"/>
        <v>0</v>
      </c>
      <c r="M119" s="1481"/>
    </row>
    <row r="120" spans="1:13" s="1166" customFormat="1" ht="18" customHeight="1">
      <c r="A120" s="1168" t="s">
        <v>617</v>
      </c>
      <c r="B120" s="1472"/>
      <c r="C120" s="1473"/>
      <c r="D120" s="1472"/>
      <c r="E120" s="1490"/>
      <c r="F120" s="1482">
        <v>150000</v>
      </c>
      <c r="G120" s="1482"/>
      <c r="H120" s="1472"/>
      <c r="I120" s="1473"/>
      <c r="J120" s="1498"/>
      <c r="K120" s="1476"/>
      <c r="L120" s="1480">
        <f t="shared" si="8"/>
        <v>150000</v>
      </c>
      <c r="M120" s="1481"/>
    </row>
    <row r="121" spans="1:13" s="1166" customFormat="1" ht="18" customHeight="1">
      <c r="A121" s="1168" t="s">
        <v>618</v>
      </c>
      <c r="B121" s="1472"/>
      <c r="C121" s="1473"/>
      <c r="D121" s="1472"/>
      <c r="E121" s="1490"/>
      <c r="F121" s="1476">
        <v>400000</v>
      </c>
      <c r="G121" s="1471"/>
      <c r="H121" s="1472"/>
      <c r="I121" s="1473"/>
      <c r="J121" s="1498"/>
      <c r="K121" s="1476"/>
      <c r="L121" s="1480">
        <f t="shared" si="8"/>
        <v>400000</v>
      </c>
      <c r="M121" s="1481"/>
    </row>
    <row r="122" spans="1:13" s="1166" customFormat="1" ht="18" customHeight="1">
      <c r="A122" s="1168" t="s">
        <v>619</v>
      </c>
      <c r="B122" s="1472"/>
      <c r="C122" s="1473"/>
      <c r="D122" s="1472"/>
      <c r="E122" s="1490"/>
      <c r="F122" s="1482"/>
      <c r="G122" s="1482"/>
      <c r="H122" s="1472"/>
      <c r="I122" s="1473"/>
      <c r="J122" s="1498">
        <v>60000</v>
      </c>
      <c r="K122" s="1476"/>
      <c r="L122" s="1480">
        <f t="shared" si="8"/>
        <v>60000</v>
      </c>
      <c r="M122" s="1481"/>
    </row>
    <row r="123" spans="1:13" s="1166" customFormat="1" ht="18" customHeight="1">
      <c r="A123" s="1168" t="s">
        <v>620</v>
      </c>
      <c r="B123" s="1472"/>
      <c r="C123" s="1473"/>
      <c r="D123" s="1472">
        <v>700000</v>
      </c>
      <c r="E123" s="1490"/>
      <c r="F123" s="1482"/>
      <c r="G123" s="1482"/>
      <c r="H123" s="1472"/>
      <c r="I123" s="1473"/>
      <c r="J123" s="1498"/>
      <c r="K123" s="1476"/>
      <c r="L123" s="1480">
        <f t="shared" si="8"/>
        <v>0</v>
      </c>
      <c r="M123" s="1481"/>
    </row>
    <row r="124" spans="1:13" s="1166" customFormat="1" ht="18" customHeight="1">
      <c r="A124" s="1168" t="s">
        <v>621</v>
      </c>
      <c r="B124" s="1472"/>
      <c r="C124" s="1473"/>
      <c r="D124" s="1472"/>
      <c r="E124" s="1490"/>
      <c r="F124" s="1482">
        <v>300000</v>
      </c>
      <c r="G124" s="1482"/>
      <c r="H124" s="1472"/>
      <c r="I124" s="1473"/>
      <c r="J124" s="1498"/>
      <c r="K124" s="1476"/>
      <c r="L124" s="1480">
        <f t="shared" si="8"/>
        <v>300000</v>
      </c>
      <c r="M124" s="1481"/>
    </row>
    <row r="125" spans="1:13" s="1166" customFormat="1" ht="18" customHeight="1">
      <c r="A125" s="1168" t="s">
        <v>622</v>
      </c>
      <c r="B125" s="1472"/>
      <c r="C125" s="1473"/>
      <c r="D125" s="1472"/>
      <c r="E125" s="1490"/>
      <c r="F125" s="1482">
        <v>5000000</v>
      </c>
      <c r="G125" s="1482"/>
      <c r="H125" s="1472"/>
      <c r="I125" s="1473"/>
      <c r="J125" s="1498"/>
      <c r="K125" s="1476"/>
      <c r="L125" s="1480">
        <f t="shared" si="8"/>
        <v>5000000</v>
      </c>
      <c r="M125" s="1481"/>
    </row>
    <row r="126" spans="1:13" s="1166" customFormat="1" ht="21.75" customHeight="1">
      <c r="A126" s="1168" t="s">
        <v>623</v>
      </c>
      <c r="B126" s="1472"/>
      <c r="C126" s="1473"/>
      <c r="D126" s="1472"/>
      <c r="E126" s="1490"/>
      <c r="F126" s="1482"/>
      <c r="G126" s="1482"/>
      <c r="H126" s="1472"/>
      <c r="I126" s="1473"/>
      <c r="J126" s="1498"/>
      <c r="K126" s="1476"/>
      <c r="L126" s="1480">
        <f t="shared" si="8"/>
        <v>0</v>
      </c>
      <c r="M126" s="1481"/>
    </row>
    <row r="127" spans="1:13" s="1166" customFormat="1" ht="18" customHeight="1">
      <c r="A127" s="1168" t="s">
        <v>624</v>
      </c>
      <c r="B127" s="1482"/>
      <c r="C127" s="1482"/>
      <c r="D127" s="1476"/>
      <c r="E127" s="1471"/>
      <c r="F127" s="1482"/>
      <c r="G127" s="1482"/>
      <c r="H127" s="1472"/>
      <c r="I127" s="1473"/>
      <c r="J127" s="1498">
        <v>725000</v>
      </c>
      <c r="K127" s="1476"/>
      <c r="L127" s="1480">
        <f t="shared" si="8"/>
        <v>725000</v>
      </c>
      <c r="M127" s="1481"/>
    </row>
    <row r="128" spans="1:13" s="1166" customFormat="1" ht="18" customHeight="1">
      <c r="A128" s="1168" t="s">
        <v>625</v>
      </c>
      <c r="B128" s="1482"/>
      <c r="C128" s="1482"/>
      <c r="D128" s="1476"/>
      <c r="E128" s="1471"/>
      <c r="F128" s="1482">
        <v>250000</v>
      </c>
      <c r="G128" s="1482"/>
      <c r="H128" s="1472"/>
      <c r="I128" s="1473"/>
      <c r="J128" s="1498"/>
      <c r="K128" s="1476"/>
      <c r="L128" s="1480">
        <f t="shared" si="8"/>
        <v>250000</v>
      </c>
      <c r="M128" s="1481"/>
    </row>
    <row r="129" spans="1:13" s="1166" customFormat="1" ht="18" customHeight="1">
      <c r="A129" s="1168" t="s">
        <v>626</v>
      </c>
      <c r="B129" s="1482"/>
      <c r="C129" s="1482"/>
      <c r="D129" s="1476"/>
      <c r="E129" s="1507"/>
      <c r="F129" s="1496">
        <v>15978.27</v>
      </c>
      <c r="G129" s="1496"/>
      <c r="H129" s="1472"/>
      <c r="I129" s="1473"/>
      <c r="J129" s="1498"/>
      <c r="K129" s="1476"/>
      <c r="L129" s="1480">
        <f t="shared" si="8"/>
        <v>15978.27</v>
      </c>
      <c r="M129" s="1481"/>
    </row>
    <row r="130" spans="1:13" s="1166" customFormat="1" ht="18" customHeight="1">
      <c r="A130" s="1168" t="s">
        <v>627</v>
      </c>
      <c r="B130" s="1482"/>
      <c r="C130" s="1482"/>
      <c r="D130" s="1476"/>
      <c r="E130" s="1507"/>
      <c r="F130" s="1496">
        <v>450000</v>
      </c>
      <c r="G130" s="1496"/>
      <c r="H130" s="1472"/>
      <c r="I130" s="1473"/>
      <c r="J130" s="1498"/>
      <c r="K130" s="1476"/>
      <c r="L130" s="1480">
        <f t="shared" si="8"/>
        <v>450000</v>
      </c>
      <c r="M130" s="1481"/>
    </row>
    <row r="131" spans="1:13" s="1166" customFormat="1" ht="18" customHeight="1">
      <c r="A131" s="1168" t="s">
        <v>628</v>
      </c>
      <c r="B131" s="1482"/>
      <c r="C131" s="1482"/>
      <c r="D131" s="1476"/>
      <c r="E131" s="1507"/>
      <c r="F131" s="1496">
        <v>480085</v>
      </c>
      <c r="G131" s="1496"/>
      <c r="H131" s="1472"/>
      <c r="I131" s="1473"/>
      <c r="J131" s="1498"/>
      <c r="K131" s="1476"/>
      <c r="L131" s="1480">
        <f t="shared" si="8"/>
        <v>480085</v>
      </c>
      <c r="M131" s="1481"/>
    </row>
    <row r="132" spans="1:13" s="1166" customFormat="1" ht="18" customHeight="1">
      <c r="A132" s="1168" t="s">
        <v>629</v>
      </c>
      <c r="B132" s="1482"/>
      <c r="C132" s="1482"/>
      <c r="D132" s="1476">
        <v>520000</v>
      </c>
      <c r="E132" s="1507"/>
      <c r="F132" s="1496"/>
      <c r="G132" s="1496"/>
      <c r="H132" s="1472"/>
      <c r="I132" s="1473"/>
      <c r="J132" s="1498"/>
      <c r="K132" s="1476"/>
      <c r="L132" s="1480">
        <f t="shared" si="8"/>
        <v>0</v>
      </c>
      <c r="M132" s="1481"/>
    </row>
    <row r="133" spans="1:13" s="1166" customFormat="1" ht="18" customHeight="1">
      <c r="A133" s="1168" t="s">
        <v>630</v>
      </c>
      <c r="B133" s="1482"/>
      <c r="C133" s="1482"/>
      <c r="D133" s="1476"/>
      <c r="E133" s="1507"/>
      <c r="F133" s="1496">
        <v>1500000</v>
      </c>
      <c r="G133" s="1496"/>
      <c r="H133" s="1472"/>
      <c r="I133" s="1473"/>
      <c r="J133" s="1498"/>
      <c r="K133" s="1476"/>
      <c r="L133" s="1480">
        <f t="shared" si="8"/>
        <v>1500000</v>
      </c>
      <c r="M133" s="1481"/>
    </row>
    <row r="134" spans="1:13" s="1166" customFormat="1" ht="18" customHeight="1">
      <c r="A134" s="1168" t="s">
        <v>631</v>
      </c>
      <c r="B134" s="1482"/>
      <c r="C134" s="1482"/>
      <c r="D134" s="1476"/>
      <c r="E134" s="1507"/>
      <c r="F134" s="1496"/>
      <c r="G134" s="1496"/>
      <c r="H134" s="1472"/>
      <c r="I134" s="1473"/>
      <c r="J134" s="1498">
        <v>15000000</v>
      </c>
      <c r="K134" s="1476"/>
      <c r="L134" s="1480">
        <f t="shared" si="8"/>
        <v>15000000</v>
      </c>
      <c r="M134" s="1481"/>
    </row>
    <row r="135" spans="1:13" s="1166" customFormat="1" ht="18" customHeight="1">
      <c r="A135" s="1168" t="s">
        <v>632</v>
      </c>
      <c r="B135" s="1482"/>
      <c r="C135" s="1482"/>
      <c r="D135" s="1476">
        <v>800000</v>
      </c>
      <c r="E135" s="1507"/>
      <c r="F135" s="1496"/>
      <c r="G135" s="1496"/>
      <c r="H135" s="1472"/>
      <c r="I135" s="1473"/>
      <c r="J135" s="1498"/>
      <c r="K135" s="1476"/>
      <c r="L135" s="1480">
        <f t="shared" si="8"/>
        <v>0</v>
      </c>
      <c r="M135" s="1481"/>
    </row>
    <row r="136" spans="1:13" s="1166" customFormat="1" ht="18" customHeight="1">
      <c r="A136" s="1168" t="s">
        <v>633</v>
      </c>
      <c r="B136" s="1482"/>
      <c r="C136" s="1482"/>
      <c r="D136" s="1476"/>
      <c r="E136" s="1507"/>
      <c r="F136" s="1496">
        <v>250000</v>
      </c>
      <c r="G136" s="1496"/>
      <c r="H136" s="1472"/>
      <c r="I136" s="1473"/>
      <c r="J136" s="1498"/>
      <c r="K136" s="1476"/>
      <c r="L136" s="1480">
        <f t="shared" si="8"/>
        <v>250000</v>
      </c>
      <c r="M136" s="1481"/>
    </row>
    <row r="137" spans="1:13" s="1166" customFormat="1" ht="18" customHeight="1">
      <c r="A137" s="1168" t="s">
        <v>634</v>
      </c>
      <c r="B137" s="1482"/>
      <c r="C137" s="1482"/>
      <c r="D137" s="1476"/>
      <c r="E137" s="1471"/>
      <c r="F137" s="1478">
        <v>6000000</v>
      </c>
      <c r="G137" s="1497"/>
      <c r="H137" s="1472"/>
      <c r="I137" s="1473"/>
      <c r="J137" s="1498"/>
      <c r="K137" s="1476"/>
      <c r="L137" s="1480">
        <f>+F137+H137+J137</f>
        <v>6000000</v>
      </c>
      <c r="M137" s="1481"/>
    </row>
    <row r="138" spans="1:13" s="1166" customFormat="1" ht="18" customHeight="1">
      <c r="A138" s="1168" t="s">
        <v>635</v>
      </c>
      <c r="B138" s="1482"/>
      <c r="C138" s="1482"/>
      <c r="D138" s="1476">
        <v>800000</v>
      </c>
      <c r="E138" s="1507"/>
      <c r="F138" s="1496"/>
      <c r="G138" s="1496"/>
      <c r="H138" s="1472"/>
      <c r="I138" s="1473"/>
      <c r="J138" s="1498"/>
      <c r="K138" s="1476"/>
      <c r="L138" s="1480">
        <f t="shared" si="8"/>
        <v>0</v>
      </c>
      <c r="M138" s="1481"/>
    </row>
    <row r="139" spans="1:13" s="1166" customFormat="1" ht="18" customHeight="1">
      <c r="A139" s="1168" t="s">
        <v>653</v>
      </c>
      <c r="B139" s="1470"/>
      <c r="C139" s="1471"/>
      <c r="D139" s="1476">
        <v>2000000</v>
      </c>
      <c r="E139" s="1490"/>
      <c r="F139" s="1478"/>
      <c r="G139" s="1479"/>
      <c r="H139" s="1477"/>
      <c r="I139" s="1473"/>
      <c r="J139" s="1476"/>
      <c r="K139" s="1475"/>
      <c r="L139" s="1474"/>
      <c r="M139" s="1475"/>
    </row>
    <row r="140" spans="1:13" s="1166" customFormat="1" ht="18" customHeight="1">
      <c r="A140" s="1168" t="s">
        <v>636</v>
      </c>
      <c r="B140" s="1482"/>
      <c r="C140" s="1482"/>
      <c r="D140" s="1505"/>
      <c r="E140" s="1506"/>
      <c r="F140" s="1496"/>
      <c r="G140" s="1496"/>
      <c r="H140" s="1472"/>
      <c r="I140" s="1473"/>
      <c r="J140" s="1498"/>
      <c r="K140" s="1476"/>
      <c r="L140" s="1480">
        <f t="shared" si="8"/>
        <v>0</v>
      </c>
      <c r="M140" s="1481"/>
    </row>
    <row r="141" spans="1:13" s="1166" customFormat="1" ht="18" customHeight="1">
      <c r="A141" s="1170" t="s">
        <v>637</v>
      </c>
      <c r="B141" s="1482"/>
      <c r="C141" s="1482"/>
      <c r="D141" s="1503"/>
      <c r="E141" s="1504"/>
      <c r="F141" s="1496">
        <f>11365049-F142</f>
        <v>11065049</v>
      </c>
      <c r="G141" s="1496"/>
      <c r="H141" s="1472"/>
      <c r="I141" s="1473"/>
      <c r="J141" s="1498"/>
      <c r="K141" s="1476"/>
      <c r="L141" s="1480">
        <f t="shared" si="8"/>
        <v>11065049</v>
      </c>
      <c r="M141" s="1481"/>
    </row>
    <row r="142" spans="1:13" s="1074" customFormat="1" ht="18" customHeight="1" thickBot="1">
      <c r="A142" s="1073" t="s">
        <v>654</v>
      </c>
      <c r="B142" s="1511"/>
      <c r="C142" s="1511"/>
      <c r="D142" s="1527"/>
      <c r="E142" s="1528"/>
      <c r="F142" s="1496">
        <v>300000</v>
      </c>
      <c r="G142" s="1496"/>
      <c r="H142" s="1525"/>
      <c r="I142" s="1526"/>
      <c r="J142" s="1520"/>
      <c r="K142" s="1521"/>
      <c r="L142" s="1480">
        <f>+F142+H142+J142</f>
        <v>300000</v>
      </c>
      <c r="M142" s="1481"/>
    </row>
    <row r="143" spans="1:13" ht="14.25" customHeight="1" thickBot="1">
      <c r="A143" s="260" t="s">
        <v>148</v>
      </c>
      <c r="B143" s="1512">
        <f>+B83+B85+B89+B91+B96+B104+B111+B114+B115+B116+B117+B118+B119+B123+B124+B127+B133+B135+B138+B140+B141+B102</f>
        <v>249119</v>
      </c>
      <c r="C143" s="1513"/>
      <c r="D143" s="1512">
        <f>+D84+D86+D104+D114+D116+D117+D119+D123+D132+D135+D138+D140+D102+D96+D80+D90+D99+D139</f>
        <v>24563437</v>
      </c>
      <c r="E143" s="1513"/>
      <c r="F143" s="1396">
        <f>SUM(F79:G142)</f>
        <v>29318244.27</v>
      </c>
      <c r="G143" s="1396"/>
      <c r="H143" s="1512">
        <v>0</v>
      </c>
      <c r="I143" s="1513"/>
      <c r="J143" s="1396">
        <f>+J80+J106+J107+J122+J127+J134+J118+J90</f>
        <v>19337000</v>
      </c>
      <c r="K143" s="1418"/>
      <c r="L143" s="1427">
        <f>+L82+L84+L86+L88+L90+L94+L96+L98+L101+L106+L107+L111+L116+L120+L121+L122+L124+L125+L127+L128+L129+L130+L131+L133+L134+L136+L137+L141+L118+L142</f>
        <v>48655244.269999996</v>
      </c>
      <c r="M143" s="1397"/>
    </row>
    <row r="144" spans="2:5" s="147" customFormat="1" ht="4.5" customHeight="1" thickBot="1">
      <c r="B144" s="149"/>
      <c r="C144" s="149"/>
      <c r="D144" s="149"/>
      <c r="E144" s="149"/>
    </row>
    <row r="145" spans="1:13" ht="15.75" customHeight="1" thickBot="1">
      <c r="A145" s="260" t="s">
        <v>61</v>
      </c>
      <c r="B145" s="1512">
        <f>+B143+B75</f>
        <v>2349119</v>
      </c>
      <c r="C145" s="1513"/>
      <c r="D145" s="1512">
        <f>+D143+D75</f>
        <v>27563437</v>
      </c>
      <c r="E145" s="1513"/>
      <c r="F145" s="1531">
        <f>+F143+F75</f>
        <v>29318244.27</v>
      </c>
      <c r="G145" s="1531"/>
      <c r="H145" s="1512">
        <v>0</v>
      </c>
      <c r="I145" s="1513"/>
      <c r="J145" s="1531">
        <f>+J143+J75</f>
        <v>19337000</v>
      </c>
      <c r="K145" s="1512"/>
      <c r="L145" s="1529">
        <f>+L143+L75</f>
        <v>48655244.269999996</v>
      </c>
      <c r="M145" s="1530"/>
    </row>
    <row r="146" spans="1:13" ht="3" customHeight="1">
      <c r="A146" s="1534"/>
      <c r="B146" s="1534"/>
      <c r="C146" s="1534"/>
      <c r="D146" s="1534"/>
      <c r="E146" s="1534"/>
      <c r="F146" s="98"/>
      <c r="G146" s="98"/>
      <c r="H146" s="98"/>
      <c r="I146" s="98"/>
      <c r="J146" s="98"/>
      <c r="K146" s="98"/>
      <c r="L146" s="98"/>
      <c r="M146" s="98"/>
    </row>
    <row r="147" spans="1:10" ht="3" customHeight="1" thickBot="1">
      <c r="A147" s="99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3" ht="12.75" customHeight="1">
      <c r="A148" s="1557" t="s">
        <v>604</v>
      </c>
      <c r="B148" s="1558"/>
      <c r="C148" s="1558"/>
      <c r="D148" s="1537" t="s">
        <v>46</v>
      </c>
      <c r="E148"/>
      <c r="F148" s="1543" t="s">
        <v>605</v>
      </c>
      <c r="G148" s="1544"/>
      <c r="H148" s="1544"/>
      <c r="I148" s="1544"/>
      <c r="J148" s="1544"/>
      <c r="K148" s="1545"/>
      <c r="L148" s="1537" t="s">
        <v>47</v>
      </c>
      <c r="M148" s="77"/>
    </row>
    <row r="149" spans="1:13" ht="13.5" thickBot="1">
      <c r="A149" s="1559"/>
      <c r="B149" s="1560"/>
      <c r="C149" s="1560"/>
      <c r="D149" s="1538"/>
      <c r="E149" s="77"/>
      <c r="F149" s="1318"/>
      <c r="G149" s="1546"/>
      <c r="H149" s="1546"/>
      <c r="I149" s="1546"/>
      <c r="J149" s="1546"/>
      <c r="K149" s="1547"/>
      <c r="L149" s="1538"/>
      <c r="M149" s="77"/>
    </row>
    <row r="150" spans="1:13" ht="12.75">
      <c r="A150" s="1532" t="s">
        <v>135</v>
      </c>
      <c r="B150" s="1532"/>
      <c r="C150" s="1532"/>
      <c r="D150" s="763">
        <v>0</v>
      </c>
      <c r="E150" s="77"/>
      <c r="F150" s="766" t="s">
        <v>133</v>
      </c>
      <c r="G150" s="742"/>
      <c r="H150" s="742"/>
      <c r="I150" s="742"/>
      <c r="J150" s="743"/>
      <c r="K150" s="743"/>
      <c r="L150" s="763">
        <v>0</v>
      </c>
      <c r="M150" s="77"/>
    </row>
    <row r="151" spans="1:12" s="78" customFormat="1" ht="12.75">
      <c r="A151" s="1533" t="s">
        <v>446</v>
      </c>
      <c r="B151" s="1533"/>
      <c r="C151" s="1533"/>
      <c r="D151" s="764">
        <v>2300</v>
      </c>
      <c r="F151" s="767" t="s">
        <v>453</v>
      </c>
      <c r="G151" s="739"/>
      <c r="H151" s="739"/>
      <c r="I151" s="739"/>
      <c r="J151" s="739"/>
      <c r="K151" s="740"/>
      <c r="L151" s="763">
        <v>1300</v>
      </c>
    </row>
    <row r="152" spans="1:12" s="78" customFormat="1" ht="12.75">
      <c r="A152" s="1533" t="s">
        <v>447</v>
      </c>
      <c r="B152" s="1533"/>
      <c r="C152" s="1533"/>
      <c r="D152" s="764">
        <v>300</v>
      </c>
      <c r="F152" s="767" t="s">
        <v>454</v>
      </c>
      <c r="G152" s="739"/>
      <c r="H152" s="739"/>
      <c r="I152" s="739"/>
      <c r="J152" s="739"/>
      <c r="K152" s="740"/>
      <c r="L152" s="763">
        <v>80</v>
      </c>
    </row>
    <row r="153" spans="1:12" s="78" customFormat="1" ht="12.75">
      <c r="A153" s="1532" t="s">
        <v>134</v>
      </c>
      <c r="B153" s="1532"/>
      <c r="C153" s="1532"/>
      <c r="D153" s="765">
        <v>2500</v>
      </c>
      <c r="F153" s="767" t="s">
        <v>455</v>
      </c>
      <c r="G153" s="739"/>
      <c r="H153" s="739"/>
      <c r="I153" s="739"/>
      <c r="J153" s="739"/>
      <c r="K153" s="740"/>
      <c r="L153" s="763">
        <v>1500</v>
      </c>
    </row>
    <row r="154" spans="1:12" s="78" customFormat="1" ht="12.75">
      <c r="A154" s="1533" t="s">
        <v>448</v>
      </c>
      <c r="B154" s="1533"/>
      <c r="C154" s="1533"/>
      <c r="D154" s="764">
        <v>70</v>
      </c>
      <c r="F154" s="767" t="s">
        <v>456</v>
      </c>
      <c r="G154" s="739"/>
      <c r="H154" s="739"/>
      <c r="I154" s="739"/>
      <c r="J154" s="739"/>
      <c r="K154" s="740"/>
      <c r="L154" s="763">
        <v>100</v>
      </c>
    </row>
    <row r="155" spans="1:12" s="78" customFormat="1" ht="12.75">
      <c r="A155" s="1533" t="s">
        <v>449</v>
      </c>
      <c r="B155" s="1533"/>
      <c r="C155" s="1533"/>
      <c r="D155" s="764">
        <v>300</v>
      </c>
      <c r="F155" s="767" t="s">
        <v>457</v>
      </c>
      <c r="G155" s="739"/>
      <c r="H155" s="739"/>
      <c r="I155" s="739"/>
      <c r="J155" s="739"/>
      <c r="K155" s="740"/>
      <c r="L155" s="763">
        <v>200</v>
      </c>
    </row>
    <row r="156" spans="1:12" s="78" customFormat="1" ht="12.75">
      <c r="A156" s="761" t="s">
        <v>450</v>
      </c>
      <c r="B156" s="762"/>
      <c r="C156" s="762"/>
      <c r="D156" s="764">
        <v>400</v>
      </c>
      <c r="F156" s="768" t="s">
        <v>458</v>
      </c>
      <c r="G156" s="739"/>
      <c r="H156" s="739"/>
      <c r="I156" s="739"/>
      <c r="J156" s="739"/>
      <c r="K156" s="740"/>
      <c r="L156" s="763">
        <v>80</v>
      </c>
    </row>
    <row r="157" spans="1:12" s="78" customFormat="1" ht="12.75">
      <c r="A157" s="761" t="s">
        <v>451</v>
      </c>
      <c r="B157" s="762"/>
      <c r="C157" s="762"/>
      <c r="D157" s="764">
        <v>450</v>
      </c>
      <c r="F157" s="768" t="s">
        <v>459</v>
      </c>
      <c r="G157" s="739"/>
      <c r="H157" s="739"/>
      <c r="I157" s="739"/>
      <c r="J157" s="739"/>
      <c r="K157" s="740"/>
      <c r="L157" s="763">
        <v>80</v>
      </c>
    </row>
    <row r="158" spans="1:12" s="78" customFormat="1" ht="12.75">
      <c r="A158" s="761" t="s">
        <v>452</v>
      </c>
      <c r="B158" s="762"/>
      <c r="C158" s="762"/>
      <c r="D158" s="764">
        <v>250</v>
      </c>
      <c r="F158" s="767" t="s">
        <v>460</v>
      </c>
      <c r="G158" s="739"/>
      <c r="H158" s="739"/>
      <c r="I158" s="739"/>
      <c r="J158" s="739"/>
      <c r="K158" s="740"/>
      <c r="L158" s="763">
        <v>30</v>
      </c>
    </row>
    <row r="159" spans="1:12" s="78" customFormat="1" ht="12.75">
      <c r="A159" s="761"/>
      <c r="B159" s="762"/>
      <c r="C159" s="762"/>
      <c r="D159" s="764"/>
      <c r="F159" s="767" t="s">
        <v>164</v>
      </c>
      <c r="G159" s="739"/>
      <c r="H159" s="739"/>
      <c r="I159" s="739"/>
      <c r="J159" s="739"/>
      <c r="K159" s="740"/>
      <c r="L159" s="763">
        <v>1500</v>
      </c>
    </row>
    <row r="160" spans="1:12" s="78" customFormat="1" ht="12.75">
      <c r="A160" s="761"/>
      <c r="B160" s="762"/>
      <c r="C160" s="762"/>
      <c r="D160" s="764"/>
      <c r="F160" s="767" t="s">
        <v>461</v>
      </c>
      <c r="G160" s="739"/>
      <c r="H160" s="739"/>
      <c r="I160" s="739"/>
      <c r="J160" s="739"/>
      <c r="K160" s="740"/>
      <c r="L160" s="763">
        <v>76</v>
      </c>
    </row>
    <row r="161" spans="1:12" s="78" customFormat="1" ht="12.75">
      <c r="A161" s="761"/>
      <c r="B161" s="762"/>
      <c r="C161" s="762"/>
      <c r="D161" s="764"/>
      <c r="F161" s="767" t="s">
        <v>462</v>
      </c>
      <c r="G161" s="739"/>
      <c r="H161" s="739"/>
      <c r="I161" s="739"/>
      <c r="J161" s="739"/>
      <c r="K161" s="740"/>
      <c r="L161" s="763">
        <v>60</v>
      </c>
    </row>
    <row r="162" spans="1:12" s="78" customFormat="1" ht="13.5" thickBot="1">
      <c r="A162" s="761"/>
      <c r="B162" s="762"/>
      <c r="C162" s="762"/>
      <c r="D162" s="764"/>
      <c r="F162" s="767" t="s">
        <v>463</v>
      </c>
      <c r="G162" s="739"/>
      <c r="H162" s="739"/>
      <c r="I162" s="739"/>
      <c r="J162" s="739"/>
      <c r="K162" s="740"/>
      <c r="L162" s="763">
        <v>452</v>
      </c>
    </row>
    <row r="163" spans="1:12" s="78" customFormat="1" ht="13.5" thickBot="1">
      <c r="A163" s="1540" t="s">
        <v>4</v>
      </c>
      <c r="B163" s="1551"/>
      <c r="C163" s="1551"/>
      <c r="D163" s="48">
        <f>SUM(D150:D162)</f>
        <v>6570</v>
      </c>
      <c r="F163" s="1540" t="s">
        <v>4</v>
      </c>
      <c r="G163" s="1541"/>
      <c r="H163" s="1541"/>
      <c r="I163" s="1541"/>
      <c r="J163" s="1541"/>
      <c r="K163" s="1541"/>
      <c r="L163" s="48">
        <f>SUM(L150:L162)</f>
        <v>5458</v>
      </c>
    </row>
    <row r="164" spans="10:13" ht="13.5" thickBot="1">
      <c r="J164" s="78"/>
      <c r="M164" s="77"/>
    </row>
    <row r="165" spans="1:9" ht="14.25" customHeight="1" thickBot="1">
      <c r="A165" s="1535" t="s">
        <v>62</v>
      </c>
      <c r="B165" s="1536" t="s">
        <v>302</v>
      </c>
      <c r="C165" s="1552" t="s">
        <v>301</v>
      </c>
      <c r="D165" s="1553"/>
      <c r="E165" s="1553"/>
      <c r="F165" s="1553"/>
      <c r="G165" s="1553"/>
      <c r="H165" s="1554"/>
      <c r="I165" s="1542" t="s">
        <v>528</v>
      </c>
    </row>
    <row r="166" spans="1:13" ht="12.75" customHeight="1" thickBot="1">
      <c r="A166" s="1535"/>
      <c r="B166" s="1536"/>
      <c r="C166" s="1539" t="s">
        <v>45</v>
      </c>
      <c r="D166" s="1522" t="s">
        <v>63</v>
      </c>
      <c r="E166" s="1523"/>
      <c r="F166" s="1523"/>
      <c r="G166" s="1523"/>
      <c r="H166" s="1524"/>
      <c r="I166" s="1542"/>
      <c r="J166" s="78"/>
      <c r="M166" s="80"/>
    </row>
    <row r="167" spans="1:13" ht="12.75">
      <c r="A167" s="1535"/>
      <c r="B167" s="1536"/>
      <c r="C167" s="1539"/>
      <c r="D167" s="769">
        <v>1</v>
      </c>
      <c r="E167" s="769">
        <v>2</v>
      </c>
      <c r="F167" s="769">
        <v>3</v>
      </c>
      <c r="G167" s="769">
        <v>4</v>
      </c>
      <c r="H167" s="770">
        <v>5</v>
      </c>
      <c r="I167" s="1542"/>
      <c r="J167" s="78"/>
      <c r="M167" s="80"/>
    </row>
    <row r="168" spans="1:13" s="78" customFormat="1" ht="18" customHeight="1" thickBot="1">
      <c r="A168" s="771">
        <v>32400</v>
      </c>
      <c r="B168" s="772">
        <v>4900</v>
      </c>
      <c r="C168" s="773">
        <f>D168+E168+F168+G168+H168</f>
        <v>2200</v>
      </c>
      <c r="D168" s="772">
        <v>490</v>
      </c>
      <c r="E168" s="772">
        <v>1600</v>
      </c>
      <c r="F168" s="772">
        <v>30</v>
      </c>
      <c r="G168" s="772">
        <v>0</v>
      </c>
      <c r="H168" s="772">
        <v>80</v>
      </c>
      <c r="I168" s="774">
        <v>27500</v>
      </c>
      <c r="J168" s="545"/>
      <c r="K168" s="545"/>
      <c r="M168" s="80"/>
    </row>
    <row r="169" spans="10:13" ht="12.75">
      <c r="J169" s="78"/>
      <c r="M169" s="80"/>
    </row>
    <row r="170" spans="1:13" ht="16.5" thickBot="1">
      <c r="A170" s="102" t="s">
        <v>218</v>
      </c>
      <c r="J170" s="78"/>
      <c r="M170" s="80"/>
    </row>
    <row r="171" spans="1:12" ht="27" customHeight="1">
      <c r="A171" s="1296" t="s">
        <v>64</v>
      </c>
      <c r="B171" s="1298" t="s">
        <v>296</v>
      </c>
      <c r="C171" s="1285" t="s">
        <v>294</v>
      </c>
      <c r="D171" s="1286"/>
      <c r="E171" s="1286"/>
      <c r="F171" s="1287"/>
      <c r="G171" s="1300" t="s">
        <v>295</v>
      </c>
      <c r="H171" s="1300" t="s">
        <v>65</v>
      </c>
      <c r="I171" s="1285" t="s">
        <v>299</v>
      </c>
      <c r="J171" s="1286"/>
      <c r="K171" s="1286"/>
      <c r="L171" s="1287"/>
    </row>
    <row r="172" spans="1:13" ht="21.75" customHeight="1" thickBot="1">
      <c r="A172" s="1297"/>
      <c r="B172" s="1299"/>
      <c r="C172" s="26" t="s">
        <v>150</v>
      </c>
      <c r="D172" s="27" t="s">
        <v>66</v>
      </c>
      <c r="E172" s="27" t="s">
        <v>67</v>
      </c>
      <c r="F172" s="28" t="s">
        <v>151</v>
      </c>
      <c r="G172" s="1284"/>
      <c r="H172" s="1284"/>
      <c r="I172" s="49" t="s">
        <v>297</v>
      </c>
      <c r="J172" s="27" t="s">
        <v>66</v>
      </c>
      <c r="K172" s="27" t="s">
        <v>67</v>
      </c>
      <c r="L172" s="28" t="s">
        <v>298</v>
      </c>
      <c r="M172" s="80"/>
    </row>
    <row r="173" spans="1:19" ht="12.75">
      <c r="A173" s="775" t="s">
        <v>68</v>
      </c>
      <c r="B173" s="776">
        <v>24293</v>
      </c>
      <c r="C173" s="1128" t="s">
        <v>69</v>
      </c>
      <c r="D173" s="471" t="s">
        <v>69</v>
      </c>
      <c r="E173" s="471" t="s">
        <v>69</v>
      </c>
      <c r="F173" s="202" t="s">
        <v>69</v>
      </c>
      <c r="G173" s="784">
        <v>15084</v>
      </c>
      <c r="H173" s="1140" t="s">
        <v>69</v>
      </c>
      <c r="I173" s="1137" t="s">
        <v>69</v>
      </c>
      <c r="J173" s="1137" t="s">
        <v>69</v>
      </c>
      <c r="K173" s="1137" t="s">
        <v>69</v>
      </c>
      <c r="L173" s="1138" t="s">
        <v>69</v>
      </c>
      <c r="M173" s="778"/>
      <c r="N173" s="778"/>
      <c r="O173" s="779"/>
      <c r="P173" s="778"/>
      <c r="Q173" s="778"/>
      <c r="R173" s="778"/>
      <c r="S173" s="778"/>
    </row>
    <row r="174" spans="1:19" ht="12.75">
      <c r="A174" s="780" t="s">
        <v>70</v>
      </c>
      <c r="B174" s="781">
        <v>0</v>
      </c>
      <c r="C174" s="1129">
        <v>129</v>
      </c>
      <c r="D174" s="777">
        <v>0</v>
      </c>
      <c r="E174" s="777">
        <v>0</v>
      </c>
      <c r="F174" s="1130">
        <f>+C174+D174-E174</f>
        <v>129</v>
      </c>
      <c r="G174" s="783">
        <v>0</v>
      </c>
      <c r="H174" s="783">
        <f>+G174-F174</f>
        <v>-129</v>
      </c>
      <c r="I174" s="777">
        <f>+F174</f>
        <v>129</v>
      </c>
      <c r="J174" s="777">
        <v>0</v>
      </c>
      <c r="K174" s="777">
        <v>0</v>
      </c>
      <c r="L174" s="765">
        <f>+I174+J174-K174</f>
        <v>129</v>
      </c>
      <c r="M174" s="778"/>
      <c r="N174" s="778"/>
      <c r="O174" s="779"/>
      <c r="P174" s="778"/>
      <c r="Q174" s="778"/>
      <c r="R174" s="778"/>
      <c r="S174" s="778"/>
    </row>
    <row r="175" spans="1:19" ht="12.75">
      <c r="A175" s="780" t="s">
        <v>71</v>
      </c>
      <c r="B175" s="781">
        <v>1105</v>
      </c>
      <c r="C175" s="1134">
        <v>1173</v>
      </c>
      <c r="D175" s="1135">
        <v>31781</v>
      </c>
      <c r="E175" s="1135">
        <v>30728</v>
      </c>
      <c r="F175" s="1136">
        <v>2227</v>
      </c>
      <c r="G175" s="783">
        <v>2160</v>
      </c>
      <c r="H175" s="782">
        <f>+G175-F175</f>
        <v>-67</v>
      </c>
      <c r="I175" s="777">
        <f>+F175</f>
        <v>2227</v>
      </c>
      <c r="J175" s="777">
        <f>L182</f>
        <v>2000</v>
      </c>
      <c r="K175" s="777">
        <f>L185</f>
        <v>2000</v>
      </c>
      <c r="L175" s="765">
        <f>+I175+J175-K175</f>
        <v>2227</v>
      </c>
      <c r="M175" s="778"/>
      <c r="N175" s="778"/>
      <c r="O175" s="779"/>
      <c r="P175" s="778"/>
      <c r="Q175" s="778"/>
      <c r="R175" s="778"/>
      <c r="S175" s="778"/>
    </row>
    <row r="176" spans="1:19" ht="12.75">
      <c r="A176" s="780" t="s">
        <v>72</v>
      </c>
      <c r="B176" s="781">
        <v>23718</v>
      </c>
      <c r="C176" s="470" t="s">
        <v>69</v>
      </c>
      <c r="D176" s="319" t="s">
        <v>69</v>
      </c>
      <c r="E176" s="319" t="s">
        <v>69</v>
      </c>
      <c r="F176" s="321" t="s">
        <v>69</v>
      </c>
      <c r="G176" s="783">
        <v>14840</v>
      </c>
      <c r="H176" s="1139" t="s">
        <v>69</v>
      </c>
      <c r="I176" s="1137" t="s">
        <v>69</v>
      </c>
      <c r="J176" s="1137" t="s">
        <v>69</v>
      </c>
      <c r="K176" s="1137" t="s">
        <v>69</v>
      </c>
      <c r="L176" s="1138" t="s">
        <v>69</v>
      </c>
      <c r="M176" s="778"/>
      <c r="N176" s="778"/>
      <c r="O176" s="779"/>
      <c r="P176" s="778"/>
      <c r="Q176" s="778"/>
      <c r="R176" s="778"/>
      <c r="S176" s="778"/>
    </row>
    <row r="177" spans="1:19" ht="12.75">
      <c r="A177" s="780" t="s">
        <v>73</v>
      </c>
      <c r="B177" s="781">
        <v>587</v>
      </c>
      <c r="C177" s="1129">
        <v>15745</v>
      </c>
      <c r="D177" s="777">
        <v>36185</v>
      </c>
      <c r="E177" s="777">
        <v>22126</v>
      </c>
      <c r="F177" s="1130">
        <v>29803</v>
      </c>
      <c r="G177" s="783">
        <v>0</v>
      </c>
      <c r="H177" s="783">
        <f>+G177-F177</f>
        <v>-29803</v>
      </c>
      <c r="I177" s="777">
        <f>+F177</f>
        <v>29803</v>
      </c>
      <c r="J177" s="777">
        <f>+E184</f>
        <v>53204.244</v>
      </c>
      <c r="K177" s="777">
        <f>+E193</f>
        <v>78567.80027</v>
      </c>
      <c r="L177" s="765">
        <f>+I177+J177-K177</f>
        <v>4439.443729999999</v>
      </c>
      <c r="M177" s="778"/>
      <c r="N177" s="778"/>
      <c r="O177" s="779"/>
      <c r="P177" s="778"/>
      <c r="Q177" s="778"/>
      <c r="R177" s="778"/>
      <c r="S177" s="778"/>
    </row>
    <row r="178" spans="1:19" ht="13.5" thickBot="1">
      <c r="A178" s="785" t="s">
        <v>74</v>
      </c>
      <c r="B178" s="786">
        <v>2720</v>
      </c>
      <c r="C178" s="1131">
        <v>3144</v>
      </c>
      <c r="D178" s="1132">
        <v>5521</v>
      </c>
      <c r="E178" s="1132">
        <v>5172</v>
      </c>
      <c r="F178" s="1133">
        <f>C178+D178-E178</f>
        <v>3493</v>
      </c>
      <c r="G178" s="789">
        <v>3092</v>
      </c>
      <c r="H178" s="789">
        <f>+G178-F178</f>
        <v>-401</v>
      </c>
      <c r="I178" s="787">
        <v>3493</v>
      </c>
      <c r="J178" s="787">
        <v>5700</v>
      </c>
      <c r="K178" s="787">
        <v>7960</v>
      </c>
      <c r="L178" s="788">
        <f>+I178+J178-K178</f>
        <v>1233</v>
      </c>
      <c r="M178" s="778"/>
      <c r="N178" s="778"/>
      <c r="O178" s="779"/>
      <c r="P178" s="778"/>
      <c r="Q178" s="778"/>
      <c r="R178" s="778"/>
      <c r="S178" s="778"/>
    </row>
    <row r="179" spans="1:13" s="78" customFormat="1" ht="13.5" thickBot="1">
      <c r="A179" s="100"/>
      <c r="B179" s="101"/>
      <c r="C179" s="101"/>
      <c r="D179" s="101"/>
      <c r="E179" s="79"/>
      <c r="F179" s="79"/>
      <c r="G179" s="79"/>
      <c r="H179" s="79"/>
      <c r="I179" s="79"/>
      <c r="J179" s="79"/>
      <c r="M179" s="80"/>
    </row>
    <row r="180" spans="1:13" ht="12.75" customHeight="1" thickBot="1">
      <c r="A180" s="1018" t="s">
        <v>75</v>
      </c>
      <c r="B180" s="135">
        <v>2004</v>
      </c>
      <c r="C180" s="31">
        <v>2005</v>
      </c>
      <c r="D180" s="32">
        <v>2006</v>
      </c>
      <c r="E180" s="32">
        <v>2007</v>
      </c>
      <c r="F180" s="59" t="s">
        <v>76</v>
      </c>
      <c r="G180" s="59"/>
      <c r="H180" s="59"/>
      <c r="I180" s="31">
        <v>2004</v>
      </c>
      <c r="J180" s="31">
        <v>2005</v>
      </c>
      <c r="K180" s="32">
        <v>2006</v>
      </c>
      <c r="L180" s="32">
        <v>2007</v>
      </c>
      <c r="M180" s="77"/>
    </row>
    <row r="181" spans="1:13" ht="12.75" customHeight="1">
      <c r="A181" s="1020" t="s">
        <v>77</v>
      </c>
      <c r="B181" s="136">
        <v>109913</v>
      </c>
      <c r="C181" s="34">
        <v>112027</v>
      </c>
      <c r="D181" s="34">
        <f>C206</f>
        <v>15745</v>
      </c>
      <c r="E181" s="815">
        <v>29803</v>
      </c>
      <c r="F181" s="58" t="s">
        <v>78</v>
      </c>
      <c r="G181" s="58"/>
      <c r="H181" s="58"/>
      <c r="I181" s="54">
        <v>1664</v>
      </c>
      <c r="J181" s="54">
        <v>1930</v>
      </c>
      <c r="K181" s="1067">
        <f>J188</f>
        <v>1173</v>
      </c>
      <c r="L181" s="35">
        <f>+I175</f>
        <v>2227</v>
      </c>
      <c r="M181" s="77"/>
    </row>
    <row r="182" spans="1:13" ht="12.75" customHeight="1">
      <c r="A182" s="1017" t="s">
        <v>467</v>
      </c>
      <c r="B182" s="136"/>
      <c r="C182" s="34"/>
      <c r="D182" s="34">
        <v>19433</v>
      </c>
      <c r="E182" s="815">
        <v>27813</v>
      </c>
      <c r="F182" s="57" t="s">
        <v>66</v>
      </c>
      <c r="G182" s="57"/>
      <c r="H182" s="57"/>
      <c r="I182" s="53">
        <v>406</v>
      </c>
      <c r="J182" s="53">
        <v>1595</v>
      </c>
      <c r="K182" s="1067">
        <v>31781</v>
      </c>
      <c r="L182" s="35">
        <f>+L183+L184</f>
        <v>2000</v>
      </c>
      <c r="M182" s="77"/>
    </row>
    <row r="183" spans="1:13" ht="12.75">
      <c r="A183" s="1017" t="s">
        <v>177</v>
      </c>
      <c r="B183" s="137"/>
      <c r="C183" s="30"/>
      <c r="D183" s="30">
        <v>4425</v>
      </c>
      <c r="E183" s="833"/>
      <c r="F183" s="57" t="s">
        <v>80</v>
      </c>
      <c r="G183" s="57"/>
      <c r="H183" s="57"/>
      <c r="I183" s="53"/>
      <c r="J183" s="53">
        <v>0</v>
      </c>
      <c r="K183" s="1067">
        <v>0</v>
      </c>
      <c r="L183" s="35">
        <v>0</v>
      </c>
      <c r="M183" s="77"/>
    </row>
    <row r="184" spans="1:13" ht="12.75">
      <c r="A184" s="1019" t="s">
        <v>66</v>
      </c>
      <c r="B184" s="543">
        <v>31864</v>
      </c>
      <c r="C184" s="382">
        <v>39061</v>
      </c>
      <c r="D184" s="382">
        <v>36184</v>
      </c>
      <c r="E184" s="834">
        <f>SUM(E185:E192)</f>
        <v>53204.244</v>
      </c>
      <c r="F184" s="57" t="s">
        <v>81</v>
      </c>
      <c r="G184" s="57"/>
      <c r="H184" s="57"/>
      <c r="I184" s="53">
        <v>406</v>
      </c>
      <c r="J184" s="53">
        <v>1595</v>
      </c>
      <c r="K184" s="1067">
        <v>31781</v>
      </c>
      <c r="L184" s="35">
        <v>2000</v>
      </c>
      <c r="M184" s="77"/>
    </row>
    <row r="185" spans="1:13" ht="12.75">
      <c r="A185" s="561" t="s">
        <v>79</v>
      </c>
      <c r="B185" s="137">
        <v>2137</v>
      </c>
      <c r="C185" s="30">
        <v>1758</v>
      </c>
      <c r="D185" s="30">
        <v>1729</v>
      </c>
      <c r="E185" s="833">
        <v>2200</v>
      </c>
      <c r="F185" s="57" t="s">
        <v>67</v>
      </c>
      <c r="G185" s="57"/>
      <c r="H185" s="57"/>
      <c r="I185" s="53">
        <v>140</v>
      </c>
      <c r="J185" s="53">
        <v>2352</v>
      </c>
      <c r="K185" s="1067">
        <v>30727</v>
      </c>
      <c r="L185" s="35">
        <f>+L186+L187</f>
        <v>2000</v>
      </c>
      <c r="M185" s="77"/>
    </row>
    <row r="186" spans="1:13" ht="12.75">
      <c r="A186" s="561" t="s">
        <v>175</v>
      </c>
      <c r="B186" s="137">
        <v>20765</v>
      </c>
      <c r="C186" s="30">
        <v>35293</v>
      </c>
      <c r="D186" s="30">
        <v>33293</v>
      </c>
      <c r="E186" s="833">
        <v>29318.244</v>
      </c>
      <c r="F186" s="57" t="s">
        <v>84</v>
      </c>
      <c r="G186" s="57"/>
      <c r="H186" s="57"/>
      <c r="I186" s="53">
        <v>140</v>
      </c>
      <c r="J186" s="53">
        <v>2352</v>
      </c>
      <c r="K186" s="1067">
        <v>30727</v>
      </c>
      <c r="L186" s="35">
        <v>2000</v>
      </c>
      <c r="M186" s="77"/>
    </row>
    <row r="187" spans="1:13" ht="12.75">
      <c r="A187" s="561" t="s">
        <v>174</v>
      </c>
      <c r="B187" s="137"/>
      <c r="C187" s="30"/>
      <c r="D187" s="30">
        <v>0</v>
      </c>
      <c r="E187" s="833">
        <v>0</v>
      </c>
      <c r="F187" s="57" t="s">
        <v>85</v>
      </c>
      <c r="G187" s="57"/>
      <c r="H187" s="57"/>
      <c r="I187" s="53"/>
      <c r="J187" s="53"/>
      <c r="K187" s="1067">
        <v>0</v>
      </c>
      <c r="L187" s="35">
        <v>0</v>
      </c>
      <c r="M187" s="77"/>
    </row>
    <row r="188" spans="1:13" ht="13.5" thickBot="1">
      <c r="A188" s="561" t="s">
        <v>82</v>
      </c>
      <c r="B188" s="137">
        <v>8921</v>
      </c>
      <c r="C188" s="30">
        <v>1940</v>
      </c>
      <c r="D188" s="30">
        <v>0</v>
      </c>
      <c r="E188" s="833">
        <v>0</v>
      </c>
      <c r="F188" s="63" t="s">
        <v>86</v>
      </c>
      <c r="G188" s="63"/>
      <c r="H188" s="63"/>
      <c r="I188" s="62">
        <v>1930</v>
      </c>
      <c r="J188" s="62">
        <v>1173</v>
      </c>
      <c r="K188" s="1068">
        <f>K181+K182-K185</f>
        <v>2227</v>
      </c>
      <c r="L188" s="387">
        <f>+L181+L182-L185</f>
        <v>2227</v>
      </c>
      <c r="M188" s="77"/>
    </row>
    <row r="189" spans="1:13" ht="12.75">
      <c r="A189" s="561" t="s">
        <v>168</v>
      </c>
      <c r="B189" s="137"/>
      <c r="C189" s="30"/>
      <c r="D189" s="30">
        <v>0</v>
      </c>
      <c r="E189" s="833">
        <v>0</v>
      </c>
      <c r="F189" s="78"/>
      <c r="G189" s="78"/>
      <c r="H189" s="78"/>
      <c r="I189" s="78"/>
      <c r="J189" s="78"/>
      <c r="M189" s="77"/>
    </row>
    <row r="190" spans="1:13" ht="12.75">
      <c r="A190" s="561" t="s">
        <v>81</v>
      </c>
      <c r="B190" s="137">
        <v>41</v>
      </c>
      <c r="C190" s="30">
        <v>70</v>
      </c>
      <c r="D190" s="30">
        <v>1162</v>
      </c>
      <c r="E190" s="835">
        <f>10349-8000</f>
        <v>2349</v>
      </c>
      <c r="F190" s="78"/>
      <c r="G190" s="78"/>
      <c r="H190" s="78"/>
      <c r="I190" s="78"/>
      <c r="J190" s="1141"/>
      <c r="M190" s="77"/>
    </row>
    <row r="191" spans="1:13" ht="12.75">
      <c r="A191" s="561" t="s">
        <v>651</v>
      </c>
      <c r="B191" s="137"/>
      <c r="C191" s="30"/>
      <c r="D191" s="30"/>
      <c r="E191" s="835">
        <v>19337</v>
      </c>
      <c r="F191" s="78"/>
      <c r="G191" s="78"/>
      <c r="H191" s="78"/>
      <c r="I191" s="78"/>
      <c r="J191" s="1141"/>
      <c r="M191" s="77"/>
    </row>
    <row r="192" spans="1:13" ht="12.75">
      <c r="A192" s="561" t="s">
        <v>83</v>
      </c>
      <c r="B192" s="137"/>
      <c r="C192" s="30"/>
      <c r="D192" s="30"/>
      <c r="E192" s="833"/>
      <c r="F192" s="78"/>
      <c r="G192" s="78"/>
      <c r="H192" s="78"/>
      <c r="I192" s="78"/>
      <c r="J192" s="78"/>
      <c r="M192" s="77"/>
    </row>
    <row r="193" spans="1:13" ht="12.75">
      <c r="A193" s="1019" t="s">
        <v>67</v>
      </c>
      <c r="B193" s="543">
        <v>29750</v>
      </c>
      <c r="C193" s="382">
        <v>135343</v>
      </c>
      <c r="D193" s="382">
        <v>22126</v>
      </c>
      <c r="E193" s="834">
        <f>SUM(E194:E205)</f>
        <v>78567.80027</v>
      </c>
      <c r="F193" s="78"/>
      <c r="G193" s="78"/>
      <c r="H193" s="78"/>
      <c r="I193" s="78"/>
      <c r="J193" s="78"/>
      <c r="M193" s="77"/>
    </row>
    <row r="194" spans="1:18" ht="12.75">
      <c r="A194" s="561" t="s">
        <v>169</v>
      </c>
      <c r="B194" s="836">
        <v>16412</v>
      </c>
      <c r="C194" s="790">
        <v>1402</v>
      </c>
      <c r="D194" s="790">
        <v>15964</v>
      </c>
      <c r="E194" s="833">
        <f>+D145/1000</f>
        <v>27563.437</v>
      </c>
      <c r="F194" s="778"/>
      <c r="G194" s="778"/>
      <c r="H194" s="778"/>
      <c r="I194" s="778"/>
      <c r="J194" s="778"/>
      <c r="K194" s="778"/>
      <c r="L194" s="778"/>
      <c r="M194" s="778"/>
      <c r="N194" s="778"/>
      <c r="O194" s="779"/>
      <c r="P194" s="778"/>
      <c r="Q194" s="778"/>
      <c r="R194" s="778"/>
    </row>
    <row r="195" spans="1:18" ht="12.75">
      <c r="A195" s="561" t="s">
        <v>170</v>
      </c>
      <c r="B195" s="836">
        <v>13338</v>
      </c>
      <c r="C195" s="790">
        <v>7755</v>
      </c>
      <c r="D195" s="790">
        <v>4928</v>
      </c>
      <c r="E195" s="833">
        <v>29318.24427</v>
      </c>
      <c r="F195" s="778"/>
      <c r="G195" s="778"/>
      <c r="H195" s="778"/>
      <c r="I195" s="778"/>
      <c r="J195" s="778"/>
      <c r="K195" s="778"/>
      <c r="L195" s="778"/>
      <c r="M195" s="778"/>
      <c r="N195" s="778"/>
      <c r="O195" s="779"/>
      <c r="P195" s="778"/>
      <c r="Q195" s="778"/>
      <c r="R195" s="778"/>
    </row>
    <row r="196" spans="1:18" ht="11.25" customHeight="1">
      <c r="A196" s="561" t="s">
        <v>171</v>
      </c>
      <c r="B196" s="836"/>
      <c r="C196" s="790"/>
      <c r="D196" s="790">
        <v>0</v>
      </c>
      <c r="E196" s="833"/>
      <c r="F196" s="778"/>
      <c r="G196" s="778"/>
      <c r="H196" s="778"/>
      <c r="I196" s="778"/>
      <c r="J196" s="778"/>
      <c r="K196" s="778"/>
      <c r="L196" s="778"/>
      <c r="M196" s="778"/>
      <c r="N196" s="778"/>
      <c r="O196" s="779"/>
      <c r="P196" s="778"/>
      <c r="Q196" s="778"/>
      <c r="R196" s="778"/>
    </row>
    <row r="197" spans="1:18" ht="12.75">
      <c r="A197" s="561" t="s">
        <v>470</v>
      </c>
      <c r="B197" s="836"/>
      <c r="C197" s="790">
        <v>1565</v>
      </c>
      <c r="D197" s="790">
        <v>42</v>
      </c>
      <c r="E197" s="833">
        <v>19337</v>
      </c>
      <c r="F197" s="778"/>
      <c r="G197" s="778"/>
      <c r="H197" s="778"/>
      <c r="I197" s="778"/>
      <c r="J197" s="778"/>
      <c r="K197" s="778"/>
      <c r="L197" s="778"/>
      <c r="M197" s="778"/>
      <c r="N197" s="778"/>
      <c r="O197" s="779"/>
      <c r="P197" s="778"/>
      <c r="Q197" s="778"/>
      <c r="R197" s="778"/>
    </row>
    <row r="198" spans="1:18" ht="12.75">
      <c r="A198" s="561" t="s">
        <v>464</v>
      </c>
      <c r="B198" s="836"/>
      <c r="C198" s="790">
        <v>1951</v>
      </c>
      <c r="D198" s="790">
        <v>0</v>
      </c>
      <c r="E198" s="833">
        <v>0</v>
      </c>
      <c r="F198" s="778"/>
      <c r="G198" s="778"/>
      <c r="H198" s="778"/>
      <c r="I198" s="778"/>
      <c r="J198" s="778"/>
      <c r="K198" s="778"/>
      <c r="L198" s="778"/>
      <c r="M198" s="778"/>
      <c r="N198" s="778"/>
      <c r="O198" s="779"/>
      <c r="P198" s="778"/>
      <c r="Q198" s="778"/>
      <c r="R198" s="778"/>
    </row>
    <row r="199" spans="1:18" ht="12.75">
      <c r="A199" s="561" t="s">
        <v>281</v>
      </c>
      <c r="B199" s="836"/>
      <c r="C199" s="790">
        <v>67</v>
      </c>
      <c r="D199" s="790">
        <v>31</v>
      </c>
      <c r="E199" s="833"/>
      <c r="F199" s="778"/>
      <c r="G199" s="778"/>
      <c r="H199" s="778"/>
      <c r="I199" s="778"/>
      <c r="J199" s="778"/>
      <c r="K199" s="778"/>
      <c r="L199" s="778"/>
      <c r="M199" s="778"/>
      <c r="N199" s="778"/>
      <c r="O199" s="779"/>
      <c r="P199" s="778"/>
      <c r="Q199" s="778"/>
      <c r="R199" s="778"/>
    </row>
    <row r="200" spans="1:18" ht="12.75">
      <c r="A200" s="561" t="s">
        <v>172</v>
      </c>
      <c r="B200" s="836"/>
      <c r="C200" s="790">
        <v>5059</v>
      </c>
      <c r="D200" s="790">
        <f>E75/1000</f>
        <v>0</v>
      </c>
      <c r="E200" s="833">
        <v>0</v>
      </c>
      <c r="F200" s="778"/>
      <c r="G200" s="778"/>
      <c r="H200" s="778"/>
      <c r="I200" s="778"/>
      <c r="J200" s="778"/>
      <c r="K200" s="778"/>
      <c r="L200" s="778"/>
      <c r="M200" s="778"/>
      <c r="N200" s="778"/>
      <c r="O200" s="779"/>
      <c r="P200" s="778"/>
      <c r="Q200" s="778"/>
      <c r="R200" s="778"/>
    </row>
    <row r="201" spans="1:18" ht="12.75">
      <c r="A201" s="561" t="s">
        <v>173</v>
      </c>
      <c r="B201" s="836"/>
      <c r="C201" s="790"/>
      <c r="D201" s="790">
        <f>G75/1000</f>
        <v>0</v>
      </c>
      <c r="E201" s="833">
        <v>0</v>
      </c>
      <c r="F201" s="778"/>
      <c r="G201" s="778"/>
      <c r="H201" s="778"/>
      <c r="I201" s="778"/>
      <c r="J201" s="778"/>
      <c r="K201" s="778"/>
      <c r="L201" s="778"/>
      <c r="M201" s="778"/>
      <c r="N201" s="778"/>
      <c r="O201" s="779"/>
      <c r="P201" s="778"/>
      <c r="Q201" s="778"/>
      <c r="R201" s="778"/>
    </row>
    <row r="202" spans="1:18" ht="12.75">
      <c r="A202" s="561" t="s">
        <v>136</v>
      </c>
      <c r="B202" s="836"/>
      <c r="C202" s="790">
        <v>3463</v>
      </c>
      <c r="D202" s="790">
        <v>0</v>
      </c>
      <c r="E202" s="833"/>
      <c r="F202" s="778"/>
      <c r="G202" s="778"/>
      <c r="H202" s="778"/>
      <c r="I202" s="778"/>
      <c r="J202" s="778"/>
      <c r="K202" s="778"/>
      <c r="L202" s="778"/>
      <c r="M202" s="778"/>
      <c r="N202" s="778"/>
      <c r="O202" s="779"/>
      <c r="P202" s="778"/>
      <c r="Q202" s="778"/>
      <c r="R202" s="778"/>
    </row>
    <row r="203" spans="1:18" ht="12.75">
      <c r="A203" s="561" t="s">
        <v>465</v>
      </c>
      <c r="B203" s="837"/>
      <c r="C203" s="792">
        <v>4425</v>
      </c>
      <c r="D203" s="792"/>
      <c r="E203" s="838"/>
      <c r="F203" s="778"/>
      <c r="G203" s="778"/>
      <c r="H203" s="778"/>
      <c r="I203" s="778"/>
      <c r="J203" s="778"/>
      <c r="K203" s="778"/>
      <c r="L203" s="778"/>
      <c r="M203" s="778"/>
      <c r="N203" s="778"/>
      <c r="O203" s="779"/>
      <c r="P203" s="778"/>
      <c r="Q203" s="778"/>
      <c r="R203" s="778"/>
    </row>
    <row r="204" spans="1:18" ht="12.75">
      <c r="A204" s="561" t="s">
        <v>466</v>
      </c>
      <c r="B204" s="837"/>
      <c r="C204" s="792"/>
      <c r="D204" s="792">
        <v>1161</v>
      </c>
      <c r="E204" s="838">
        <f>+B145/1000</f>
        <v>2349.119</v>
      </c>
      <c r="F204" s="778"/>
      <c r="G204" s="778"/>
      <c r="H204" s="778"/>
      <c r="I204" s="778"/>
      <c r="J204" s="778"/>
      <c r="K204" s="778"/>
      <c r="L204" s="778"/>
      <c r="M204" s="778"/>
      <c r="N204" s="778"/>
      <c r="O204" s="779"/>
      <c r="P204" s="778"/>
      <c r="Q204" s="778"/>
      <c r="R204" s="778"/>
    </row>
    <row r="205" spans="1:18" ht="12.75">
      <c r="A205" s="877" t="s">
        <v>214</v>
      </c>
      <c r="B205" s="837"/>
      <c r="C205" s="792">
        <v>109655</v>
      </c>
      <c r="D205" s="792"/>
      <c r="E205" s="838"/>
      <c r="F205" s="778"/>
      <c r="G205" s="778"/>
      <c r="H205" s="778"/>
      <c r="I205" s="778"/>
      <c r="J205" s="778"/>
      <c r="K205" s="778"/>
      <c r="L205" s="778"/>
      <c r="M205" s="778"/>
      <c r="N205" s="778"/>
      <c r="O205" s="779"/>
      <c r="P205" s="778"/>
      <c r="Q205" s="778"/>
      <c r="R205" s="778"/>
    </row>
    <row r="206" spans="1:20" s="78" customFormat="1" ht="13.5" thickBot="1">
      <c r="A206" s="1016" t="s">
        <v>86</v>
      </c>
      <c r="B206" s="718">
        <v>112027</v>
      </c>
      <c r="C206" s="62">
        <v>15745</v>
      </c>
      <c r="D206" s="62">
        <v>29803</v>
      </c>
      <c r="E206" s="840">
        <f>+E181+E184-E193</f>
        <v>4439.443729999999</v>
      </c>
      <c r="F206" s="79"/>
      <c r="G206" s="79"/>
      <c r="M206" s="77"/>
      <c r="N206" s="77"/>
      <c r="O206" s="77"/>
      <c r="P206" s="77"/>
      <c r="Q206" s="77"/>
      <c r="R206" s="77"/>
      <c r="S206" s="77"/>
      <c r="T206" s="77"/>
    </row>
    <row r="207" spans="1:4" ht="12.75">
      <c r="A207" s="100"/>
      <c r="B207" s="101"/>
      <c r="C207" s="101"/>
      <c r="D207" s="101"/>
    </row>
    <row r="208" spans="5:13" ht="12.75">
      <c r="E208" s="101"/>
      <c r="F208" s="101"/>
      <c r="G208" s="101"/>
      <c r="H208" s="101"/>
      <c r="I208" s="101"/>
      <c r="J208" s="101"/>
      <c r="K208" s="101"/>
      <c r="L208" s="101"/>
      <c r="M208" s="101"/>
    </row>
    <row r="209" ht="16.5" thickBot="1">
      <c r="A209" s="102" t="s">
        <v>306</v>
      </c>
    </row>
    <row r="210" spans="1:8" ht="13.5" thickBot="1">
      <c r="A210" s="1565" t="s">
        <v>305</v>
      </c>
      <c r="B210" s="823" t="s">
        <v>160</v>
      </c>
      <c r="C210" s="1548" t="s">
        <v>162</v>
      </c>
      <c r="D210" s="1549"/>
      <c r="E210" s="1549"/>
      <c r="F210" s="1549"/>
      <c r="G210" s="1549"/>
      <c r="H210" s="1550"/>
    </row>
    <row r="211" spans="1:13" ht="13.5" thickBot="1">
      <c r="A211" s="1566"/>
      <c r="B211" s="824" t="s">
        <v>161</v>
      </c>
      <c r="C211" s="820" t="s">
        <v>87</v>
      </c>
      <c r="D211" s="793" t="s">
        <v>88</v>
      </c>
      <c r="E211" s="793" t="s">
        <v>89</v>
      </c>
      <c r="F211" s="793" t="s">
        <v>90</v>
      </c>
      <c r="G211" s="793" t="s">
        <v>91</v>
      </c>
      <c r="H211" s="814" t="s">
        <v>45</v>
      </c>
      <c r="I211" s="101"/>
      <c r="J211" s="77"/>
      <c r="K211" s="77"/>
      <c r="L211" s="77"/>
      <c r="M211" s="80"/>
    </row>
    <row r="212" spans="1:13" ht="12.75">
      <c r="A212" s="819" t="s">
        <v>92</v>
      </c>
      <c r="B212" s="825">
        <v>35713</v>
      </c>
      <c r="C212" s="821">
        <v>34819</v>
      </c>
      <c r="D212" s="795">
        <v>778</v>
      </c>
      <c r="E212" s="795">
        <v>52</v>
      </c>
      <c r="F212" s="795">
        <v>27</v>
      </c>
      <c r="G212" s="794">
        <v>37</v>
      </c>
      <c r="H212" s="815">
        <v>95832</v>
      </c>
      <c r="I212" s="101"/>
      <c r="J212" s="77"/>
      <c r="K212" s="77"/>
      <c r="L212" s="77"/>
      <c r="M212" s="80"/>
    </row>
    <row r="213" spans="1:13" ht="14.25" customHeight="1" thickBot="1">
      <c r="A213" s="255" t="s">
        <v>137</v>
      </c>
      <c r="B213" s="826">
        <v>62989</v>
      </c>
      <c r="C213" s="822">
        <v>13703</v>
      </c>
      <c r="D213" s="817">
        <v>24504</v>
      </c>
      <c r="E213" s="817">
        <v>24829</v>
      </c>
      <c r="F213" s="817">
        <v>-47</v>
      </c>
      <c r="G213" s="816">
        <v>0</v>
      </c>
      <c r="H213" s="818">
        <v>117097</v>
      </c>
      <c r="I213" s="101"/>
      <c r="J213" s="77"/>
      <c r="K213" s="77"/>
      <c r="L213" s="77"/>
      <c r="M213" s="80"/>
    </row>
    <row r="214" spans="9:13" ht="14.25" customHeight="1" thickBot="1">
      <c r="I214" s="101"/>
      <c r="J214" s="77"/>
      <c r="K214" s="77"/>
      <c r="L214" s="77"/>
      <c r="M214" s="80"/>
    </row>
    <row r="215" spans="1:13" ht="13.5" thickBot="1">
      <c r="A215" s="1601" t="s">
        <v>93</v>
      </c>
      <c r="B215" s="1430" t="s">
        <v>94</v>
      </c>
      <c r="C215" s="1339"/>
      <c r="D215" s="1339"/>
      <c r="E215" s="1339"/>
      <c r="F215" s="1340"/>
      <c r="G215" s="1430" t="s">
        <v>95</v>
      </c>
      <c r="H215" s="1339"/>
      <c r="I215" s="1339"/>
      <c r="J215" s="1339"/>
      <c r="K215" s="1340"/>
      <c r="L215" s="77"/>
      <c r="M215" s="77"/>
    </row>
    <row r="216" spans="1:13" ht="13.5" thickBot="1">
      <c r="A216" s="1602"/>
      <c r="B216" s="541">
        <v>2003</v>
      </c>
      <c r="C216" s="25">
        <v>2004</v>
      </c>
      <c r="D216" s="25">
        <v>2005</v>
      </c>
      <c r="E216" s="25">
        <v>2006</v>
      </c>
      <c r="F216" s="447" t="s">
        <v>7</v>
      </c>
      <c r="G216" s="55">
        <v>2003</v>
      </c>
      <c r="H216" s="56">
        <v>2004</v>
      </c>
      <c r="I216" s="56">
        <v>2005</v>
      </c>
      <c r="J216" s="25">
        <v>2006</v>
      </c>
      <c r="K216" s="40" t="s">
        <v>7</v>
      </c>
      <c r="L216" s="77"/>
      <c r="M216" s="77"/>
    </row>
    <row r="217" spans="1:13" ht="12.75">
      <c r="A217" s="1142" t="s">
        <v>96</v>
      </c>
      <c r="B217" s="1145">
        <v>124</v>
      </c>
      <c r="C217" s="103">
        <v>124</v>
      </c>
      <c r="D217" s="103">
        <v>124</v>
      </c>
      <c r="E217" s="103">
        <v>124</v>
      </c>
      <c r="F217" s="1146">
        <v>0</v>
      </c>
      <c r="G217" s="796">
        <v>79.9</v>
      </c>
      <c r="H217" s="797">
        <v>82.34</v>
      </c>
      <c r="I217" s="798">
        <v>73.98854238648269</v>
      </c>
      <c r="J217" s="799"/>
      <c r="K217" s="800">
        <f>+J217-I217</f>
        <v>-73.98854238648269</v>
      </c>
      <c r="L217" s="77"/>
      <c r="M217" s="77"/>
    </row>
    <row r="218" spans="1:13" ht="12.75">
      <c r="A218" s="1143" t="s">
        <v>97</v>
      </c>
      <c r="B218" s="1147">
        <v>40</v>
      </c>
      <c r="C218" s="104">
        <v>40</v>
      </c>
      <c r="D218" s="104">
        <v>40</v>
      </c>
      <c r="E218" s="104">
        <v>40</v>
      </c>
      <c r="F218" s="1146">
        <v>0</v>
      </c>
      <c r="G218" s="801">
        <v>79.1</v>
      </c>
      <c r="H218" s="802">
        <v>70.56</v>
      </c>
      <c r="I218" s="803">
        <v>62.690677966101696</v>
      </c>
      <c r="J218" s="804"/>
      <c r="K218" s="800">
        <f aca="true" t="shared" si="9" ref="K218:K235">+J218-I218</f>
        <v>-62.690677966101696</v>
      </c>
      <c r="L218" s="77"/>
      <c r="M218" s="77"/>
    </row>
    <row r="219" spans="1:13" ht="12.75">
      <c r="A219" s="1143" t="s">
        <v>98</v>
      </c>
      <c r="B219" s="1147">
        <v>30</v>
      </c>
      <c r="C219" s="104">
        <v>30</v>
      </c>
      <c r="D219" s="104">
        <v>30</v>
      </c>
      <c r="E219" s="104">
        <v>30</v>
      </c>
      <c r="F219" s="1146">
        <v>0</v>
      </c>
      <c r="G219" s="801">
        <v>77.4</v>
      </c>
      <c r="H219" s="802">
        <v>85.97</v>
      </c>
      <c r="I219" s="803">
        <v>69.00469483568075</v>
      </c>
      <c r="J219" s="804"/>
      <c r="K219" s="800">
        <f t="shared" si="9"/>
        <v>-69.00469483568075</v>
      </c>
      <c r="L219" s="77"/>
      <c r="M219" s="77"/>
    </row>
    <row r="220" spans="1:13" ht="12.75">
      <c r="A220" s="1143" t="s">
        <v>99</v>
      </c>
      <c r="B220" s="1147">
        <v>47</v>
      </c>
      <c r="C220" s="104">
        <v>50</v>
      </c>
      <c r="D220" s="104">
        <v>50</v>
      </c>
      <c r="E220" s="104">
        <v>50</v>
      </c>
      <c r="F220" s="1146">
        <v>0</v>
      </c>
      <c r="G220" s="801">
        <v>85.7</v>
      </c>
      <c r="H220" s="802">
        <v>99.45</v>
      </c>
      <c r="I220" s="803">
        <v>97.21103742302226</v>
      </c>
      <c r="J220" s="804"/>
      <c r="K220" s="800">
        <f t="shared" si="9"/>
        <v>-97.21103742302226</v>
      </c>
      <c r="L220" s="77"/>
      <c r="M220" s="77"/>
    </row>
    <row r="221" spans="1:13" ht="12.75">
      <c r="A221" s="1143" t="s">
        <v>100</v>
      </c>
      <c r="B221" s="1148"/>
      <c r="C221" s="104"/>
      <c r="D221" s="104"/>
      <c r="E221" s="104"/>
      <c r="F221" s="1146"/>
      <c r="G221" s="801"/>
      <c r="H221" s="802"/>
      <c r="I221" s="803"/>
      <c r="J221" s="804"/>
      <c r="K221" s="800"/>
      <c r="L221" s="77"/>
      <c r="M221" s="77"/>
    </row>
    <row r="222" spans="1:13" ht="12.75">
      <c r="A222" s="1143" t="s">
        <v>101</v>
      </c>
      <c r="B222" s="1147">
        <v>66</v>
      </c>
      <c r="C222" s="104">
        <v>66</v>
      </c>
      <c r="D222" s="104">
        <v>66</v>
      </c>
      <c r="E222" s="104">
        <v>66</v>
      </c>
      <c r="F222" s="1146">
        <v>0</v>
      </c>
      <c r="G222" s="801">
        <v>86.5</v>
      </c>
      <c r="H222" s="802">
        <v>94</v>
      </c>
      <c r="I222" s="803">
        <v>98.4274898078043</v>
      </c>
      <c r="J222" s="804"/>
      <c r="K222" s="800">
        <f t="shared" si="9"/>
        <v>-98.4274898078043</v>
      </c>
      <c r="L222" s="77"/>
      <c r="M222" s="77"/>
    </row>
    <row r="223" spans="1:13" ht="12.75">
      <c r="A223" s="1143" t="s">
        <v>102</v>
      </c>
      <c r="B223" s="1147">
        <v>54</v>
      </c>
      <c r="C223" s="104">
        <v>60</v>
      </c>
      <c r="D223" s="104">
        <v>60</v>
      </c>
      <c r="E223" s="104">
        <v>60</v>
      </c>
      <c r="F223" s="1146">
        <v>0</v>
      </c>
      <c r="G223" s="801">
        <v>66.1</v>
      </c>
      <c r="H223" s="802">
        <v>71.43</v>
      </c>
      <c r="I223" s="803">
        <v>78.95365504061157</v>
      </c>
      <c r="J223" s="804"/>
      <c r="K223" s="800">
        <f t="shared" si="9"/>
        <v>-78.95365504061157</v>
      </c>
      <c r="L223" s="77"/>
      <c r="M223" s="77"/>
    </row>
    <row r="224" spans="1:13" ht="12.75">
      <c r="A224" s="1143" t="s">
        <v>103</v>
      </c>
      <c r="B224" s="1147">
        <v>107</v>
      </c>
      <c r="C224" s="104">
        <v>107</v>
      </c>
      <c r="D224" s="104">
        <v>107</v>
      </c>
      <c r="E224" s="104">
        <v>107</v>
      </c>
      <c r="F224" s="1146">
        <v>0</v>
      </c>
      <c r="G224" s="801">
        <v>84.8</v>
      </c>
      <c r="H224" s="802">
        <v>86.17</v>
      </c>
      <c r="I224" s="803">
        <v>84.56567580436705</v>
      </c>
      <c r="J224" s="804"/>
      <c r="K224" s="800">
        <f t="shared" si="9"/>
        <v>-84.56567580436705</v>
      </c>
      <c r="L224" s="77"/>
      <c r="M224" s="77"/>
    </row>
    <row r="225" spans="1:13" ht="12.75">
      <c r="A225" s="1143" t="s">
        <v>104</v>
      </c>
      <c r="B225" s="1147">
        <v>5</v>
      </c>
      <c r="C225" s="104">
        <v>5</v>
      </c>
      <c r="D225" s="104">
        <v>5</v>
      </c>
      <c r="E225" s="104">
        <v>5</v>
      </c>
      <c r="F225" s="1146">
        <v>0</v>
      </c>
      <c r="G225" s="801">
        <v>83.3</v>
      </c>
      <c r="H225" s="802">
        <v>88.03</v>
      </c>
      <c r="I225" s="803">
        <v>88.76712328767124</v>
      </c>
      <c r="J225" s="804"/>
      <c r="K225" s="800">
        <f t="shared" si="9"/>
        <v>-88.76712328767124</v>
      </c>
      <c r="L225" s="77"/>
      <c r="M225" s="77"/>
    </row>
    <row r="226" spans="1:13" ht="12.75">
      <c r="A226" s="1143" t="s">
        <v>105</v>
      </c>
      <c r="B226" s="1147">
        <v>20</v>
      </c>
      <c r="C226" s="104">
        <v>26</v>
      </c>
      <c r="D226" s="104">
        <v>26</v>
      </c>
      <c r="E226" s="104">
        <v>26</v>
      </c>
      <c r="F226" s="1146">
        <v>0</v>
      </c>
      <c r="G226" s="801">
        <v>100</v>
      </c>
      <c r="H226" s="802">
        <v>106.73</v>
      </c>
      <c r="I226" s="803">
        <v>106.8169014084507</v>
      </c>
      <c r="J226" s="804"/>
      <c r="K226" s="800">
        <f t="shared" si="9"/>
        <v>-106.8169014084507</v>
      </c>
      <c r="L226" s="77"/>
      <c r="M226" s="77"/>
    </row>
    <row r="227" spans="1:13" ht="12.75">
      <c r="A227" s="1143" t="s">
        <v>106</v>
      </c>
      <c r="B227" s="1147">
        <v>17</v>
      </c>
      <c r="C227" s="104">
        <v>20</v>
      </c>
      <c r="D227" s="104">
        <v>20</v>
      </c>
      <c r="E227" s="104">
        <v>20</v>
      </c>
      <c r="F227" s="1146">
        <v>0</v>
      </c>
      <c r="G227" s="801">
        <v>76.7</v>
      </c>
      <c r="H227" s="802">
        <v>74.24</v>
      </c>
      <c r="I227" s="803">
        <v>74.80337078651685</v>
      </c>
      <c r="J227" s="804"/>
      <c r="K227" s="800">
        <f t="shared" si="9"/>
        <v>-74.80337078651685</v>
      </c>
      <c r="L227" s="77"/>
      <c r="M227" s="77"/>
    </row>
    <row r="228" spans="1:13" ht="12.75">
      <c r="A228" s="1143" t="s">
        <v>107</v>
      </c>
      <c r="B228" s="1147">
        <v>30</v>
      </c>
      <c r="C228" s="104">
        <v>30</v>
      </c>
      <c r="D228" s="104">
        <v>30</v>
      </c>
      <c r="E228" s="104">
        <v>30</v>
      </c>
      <c r="F228" s="1146">
        <v>0</v>
      </c>
      <c r="G228" s="801">
        <v>86.6</v>
      </c>
      <c r="H228" s="802">
        <v>79.36</v>
      </c>
      <c r="I228" s="803">
        <v>73.1324200913242</v>
      </c>
      <c r="J228" s="804"/>
      <c r="K228" s="800">
        <f t="shared" si="9"/>
        <v>-73.1324200913242</v>
      </c>
      <c r="L228" s="77"/>
      <c r="M228" s="77"/>
    </row>
    <row r="229" spans="1:13" ht="12.75">
      <c r="A229" s="1143" t="s">
        <v>108</v>
      </c>
      <c r="B229" s="1147">
        <v>20</v>
      </c>
      <c r="C229" s="104">
        <v>20</v>
      </c>
      <c r="D229" s="104">
        <v>20</v>
      </c>
      <c r="E229" s="104">
        <v>20</v>
      </c>
      <c r="F229" s="1146">
        <v>0</v>
      </c>
      <c r="G229" s="801">
        <v>76.5</v>
      </c>
      <c r="H229" s="802">
        <v>82.21</v>
      </c>
      <c r="I229" s="803">
        <v>85.50964187327824</v>
      </c>
      <c r="J229" s="804"/>
      <c r="K229" s="800">
        <f t="shared" si="9"/>
        <v>-85.50964187327824</v>
      </c>
      <c r="L229" s="77"/>
      <c r="M229" s="77"/>
    </row>
    <row r="230" spans="1:13" ht="12.75">
      <c r="A230" s="1143" t="s">
        <v>109</v>
      </c>
      <c r="B230" s="1147">
        <v>20</v>
      </c>
      <c r="C230" s="104">
        <v>20</v>
      </c>
      <c r="D230" s="104">
        <v>20</v>
      </c>
      <c r="E230" s="104">
        <v>20</v>
      </c>
      <c r="F230" s="1146">
        <v>0</v>
      </c>
      <c r="G230" s="801">
        <v>77.6</v>
      </c>
      <c r="H230" s="802">
        <v>77.98</v>
      </c>
      <c r="I230" s="803">
        <v>74.92937853107344</v>
      </c>
      <c r="J230" s="804"/>
      <c r="K230" s="800">
        <f t="shared" si="9"/>
        <v>-74.92937853107344</v>
      </c>
      <c r="L230" s="77"/>
      <c r="M230" s="77"/>
    </row>
    <row r="231" spans="1:13" ht="12.75">
      <c r="A231" s="1143" t="s">
        <v>110</v>
      </c>
      <c r="B231" s="1147">
        <v>52</v>
      </c>
      <c r="C231" s="104">
        <v>52</v>
      </c>
      <c r="D231" s="104">
        <v>52</v>
      </c>
      <c r="E231" s="104">
        <v>52</v>
      </c>
      <c r="F231" s="1146">
        <v>0</v>
      </c>
      <c r="G231" s="801">
        <v>73.8</v>
      </c>
      <c r="H231" s="802">
        <v>83.05</v>
      </c>
      <c r="I231" s="803">
        <v>79.5857356395473</v>
      </c>
      <c r="J231" s="804"/>
      <c r="K231" s="800">
        <f t="shared" si="9"/>
        <v>-79.5857356395473</v>
      </c>
      <c r="L231" s="77"/>
      <c r="M231" s="77"/>
    </row>
    <row r="232" spans="1:13" ht="12.75">
      <c r="A232" s="1143" t="s">
        <v>111</v>
      </c>
      <c r="B232" s="1147">
        <v>20</v>
      </c>
      <c r="C232" s="104">
        <v>20</v>
      </c>
      <c r="D232" s="104">
        <v>20</v>
      </c>
      <c r="E232" s="104">
        <v>20</v>
      </c>
      <c r="F232" s="1146">
        <v>0</v>
      </c>
      <c r="G232" s="801">
        <v>85</v>
      </c>
      <c r="H232" s="802">
        <v>88.48</v>
      </c>
      <c r="I232" s="803">
        <v>86.0923076923077</v>
      </c>
      <c r="J232" s="804"/>
      <c r="K232" s="800">
        <f t="shared" si="9"/>
        <v>-86.0923076923077</v>
      </c>
      <c r="L232" s="77"/>
      <c r="M232" s="77"/>
    </row>
    <row r="233" spans="1:13" ht="12.75">
      <c r="A233" s="1143" t="s">
        <v>112</v>
      </c>
      <c r="B233" s="1147">
        <v>88</v>
      </c>
      <c r="C233" s="104">
        <v>88</v>
      </c>
      <c r="D233" s="104">
        <v>88</v>
      </c>
      <c r="E233" s="104">
        <v>88</v>
      </c>
      <c r="F233" s="1146">
        <v>0</v>
      </c>
      <c r="G233" s="801">
        <v>84.3</v>
      </c>
      <c r="H233" s="802">
        <v>85.64</v>
      </c>
      <c r="I233" s="803">
        <v>80.971919476856</v>
      </c>
      <c r="J233" s="804"/>
      <c r="K233" s="800">
        <f t="shared" si="9"/>
        <v>-80.971919476856</v>
      </c>
      <c r="L233" s="77"/>
      <c r="M233" s="77"/>
    </row>
    <row r="234" spans="1:13" ht="13.5" thickBot="1">
      <c r="A234" s="1144" t="s">
        <v>113</v>
      </c>
      <c r="B234" s="1149"/>
      <c r="C234" s="105"/>
      <c r="D234" s="105"/>
      <c r="E234" s="105"/>
      <c r="F234" s="1150"/>
      <c r="G234" s="805"/>
      <c r="H234" s="806"/>
      <c r="I234" s="807"/>
      <c r="J234" s="808"/>
      <c r="K234" s="809"/>
      <c r="L234" s="77"/>
      <c r="M234" s="77"/>
    </row>
    <row r="235" spans="1:13" ht="13.5" thickBot="1">
      <c r="A235" s="841" t="s">
        <v>4</v>
      </c>
      <c r="B235" s="1151">
        <v>740</v>
      </c>
      <c r="C235" s="41">
        <v>758</v>
      </c>
      <c r="D235" s="41">
        <v>758</v>
      </c>
      <c r="E235" s="41">
        <f>SUM(E217:E234)</f>
        <v>758</v>
      </c>
      <c r="F235" s="1152">
        <v>0</v>
      </c>
      <c r="G235" s="810">
        <v>81.3</v>
      </c>
      <c r="H235" s="811">
        <v>84.57</v>
      </c>
      <c r="I235" s="811">
        <v>81.01</v>
      </c>
      <c r="J235" s="812"/>
      <c r="K235" s="813">
        <f t="shared" si="9"/>
        <v>-81.01</v>
      </c>
      <c r="L235" s="77"/>
      <c r="M235" s="77"/>
    </row>
    <row r="236" ht="13.5" thickBot="1"/>
    <row r="237" spans="1:11" s="99" customFormat="1" ht="15" customHeight="1">
      <c r="A237" s="1561" t="s">
        <v>114</v>
      </c>
      <c r="B237" s="1562"/>
      <c r="C237" s="1183" t="s">
        <v>115</v>
      </c>
      <c r="D237" s="1193"/>
      <c r="E237" s="1193"/>
      <c r="F237" s="1183" t="s">
        <v>159</v>
      </c>
      <c r="G237" s="1193"/>
      <c r="H237" s="1349"/>
      <c r="I237" s="1183" t="s">
        <v>300</v>
      </c>
      <c r="J237" s="1193"/>
      <c r="K237" s="1349"/>
    </row>
    <row r="238" spans="1:11" s="99" customFormat="1" ht="33.75" customHeight="1" thickBot="1">
      <c r="A238" s="1563"/>
      <c r="B238" s="1564"/>
      <c r="C238" s="47" t="s">
        <v>116</v>
      </c>
      <c r="D238" s="737" t="s">
        <v>117</v>
      </c>
      <c r="E238" s="113" t="s">
        <v>118</v>
      </c>
      <c r="F238" s="47" t="s">
        <v>116</v>
      </c>
      <c r="G238" s="737" t="s">
        <v>117</v>
      </c>
      <c r="H238" s="114" t="s">
        <v>118</v>
      </c>
      <c r="I238" s="47" t="s">
        <v>116</v>
      </c>
      <c r="J238" s="737" t="s">
        <v>117</v>
      </c>
      <c r="K238" s="114" t="s">
        <v>118</v>
      </c>
    </row>
    <row r="239" spans="1:11" s="125" customFormat="1" ht="21" customHeight="1">
      <c r="A239" s="1555" t="s">
        <v>119</v>
      </c>
      <c r="B239" s="1556"/>
      <c r="C239" s="830">
        <v>137.71</v>
      </c>
      <c r="D239" s="120">
        <v>55432808</v>
      </c>
      <c r="E239" s="121">
        <v>33544.40974995764</v>
      </c>
      <c r="F239" s="830">
        <v>140.62</v>
      </c>
      <c r="G239" s="120">
        <v>65135778</v>
      </c>
      <c r="H239" s="827">
        <v>38600.352012516</v>
      </c>
      <c r="I239" s="830">
        <v>145.14</v>
      </c>
      <c r="J239" s="120">
        <v>71503883</v>
      </c>
      <c r="K239" s="827">
        <f>+J239/I239/12</f>
        <v>41054.54675945065</v>
      </c>
    </row>
    <row r="240" spans="1:11" s="125" customFormat="1" ht="21" customHeight="1">
      <c r="A240" s="1570" t="s">
        <v>120</v>
      </c>
      <c r="B240" s="1571"/>
      <c r="C240" s="831">
        <v>5.84</v>
      </c>
      <c r="D240" s="93">
        <v>1655725</v>
      </c>
      <c r="E240" s="117">
        <v>23626.212899543378</v>
      </c>
      <c r="F240" s="831">
        <v>6</v>
      </c>
      <c r="G240" s="93">
        <v>2088938</v>
      </c>
      <c r="H240" s="828">
        <v>29013.027777777777</v>
      </c>
      <c r="I240" s="831">
        <v>5.86</v>
      </c>
      <c r="J240" s="93">
        <v>2311957</v>
      </c>
      <c r="K240" s="828">
        <f aca="true" t="shared" si="10" ref="K240:K249">+J240/I240/12</f>
        <v>32877.65927189988</v>
      </c>
    </row>
    <row r="241" spans="1:11" s="125" customFormat="1" ht="21" customHeight="1">
      <c r="A241" s="1570" t="s">
        <v>121</v>
      </c>
      <c r="B241" s="1571"/>
      <c r="C241" s="831">
        <v>527.76</v>
      </c>
      <c r="D241" s="93">
        <v>102641455</v>
      </c>
      <c r="E241" s="117">
        <v>16207.09144939619</v>
      </c>
      <c r="F241" s="831">
        <v>532.91</v>
      </c>
      <c r="G241" s="93">
        <v>108727090</v>
      </c>
      <c r="H241" s="828">
        <v>17002.103231940353</v>
      </c>
      <c r="I241" s="831">
        <v>529.58</v>
      </c>
      <c r="J241" s="93">
        <v>123655770</v>
      </c>
      <c r="K241" s="828">
        <f t="shared" si="10"/>
        <v>19458.150798746174</v>
      </c>
    </row>
    <row r="242" spans="1:11" s="125" customFormat="1" ht="21" customHeight="1">
      <c r="A242" s="1570" t="s">
        <v>122</v>
      </c>
      <c r="B242" s="1571"/>
      <c r="C242" s="831">
        <v>71.25</v>
      </c>
      <c r="D242" s="93">
        <v>14839822</v>
      </c>
      <c r="E242" s="117">
        <v>17356.516959064327</v>
      </c>
      <c r="F242" s="831">
        <v>77.36</v>
      </c>
      <c r="G242" s="93">
        <v>16975261</v>
      </c>
      <c r="H242" s="828">
        <v>18286.001594277837</v>
      </c>
      <c r="I242" s="831">
        <v>71.29</v>
      </c>
      <c r="J242" s="93">
        <v>18725594</v>
      </c>
      <c r="K242" s="828">
        <f t="shared" si="10"/>
        <v>21888.990975826437</v>
      </c>
    </row>
    <row r="243" spans="1:11" s="125" customFormat="1" ht="21" customHeight="1">
      <c r="A243" s="1570" t="s">
        <v>123</v>
      </c>
      <c r="B243" s="1571"/>
      <c r="C243" s="831">
        <v>23.8</v>
      </c>
      <c r="D243" s="93">
        <v>4019358</v>
      </c>
      <c r="E243" s="117">
        <v>14073.382352941177</v>
      </c>
      <c r="F243" s="831">
        <v>22.31</v>
      </c>
      <c r="G243" s="93">
        <v>4134381</v>
      </c>
      <c r="H243" s="828">
        <v>15442.929179740027</v>
      </c>
      <c r="I243" s="831">
        <v>29.03</v>
      </c>
      <c r="J243" s="93">
        <v>6535790</v>
      </c>
      <c r="K243" s="828">
        <f t="shared" si="10"/>
        <v>18761.597198300606</v>
      </c>
    </row>
    <row r="244" spans="1:11" s="125" customFormat="1" ht="21" customHeight="1">
      <c r="A244" s="1570" t="s">
        <v>124</v>
      </c>
      <c r="B244" s="1571"/>
      <c r="C244" s="831">
        <v>145.79</v>
      </c>
      <c r="D244" s="93">
        <v>18031838</v>
      </c>
      <c r="E244" s="117">
        <v>10306.970071106844</v>
      </c>
      <c r="F244" s="831">
        <v>149.9</v>
      </c>
      <c r="G244" s="93">
        <v>20504240</v>
      </c>
      <c r="H244" s="828">
        <v>11398.84367356015</v>
      </c>
      <c r="I244" s="831">
        <v>146.55</v>
      </c>
      <c r="J244" s="93">
        <v>21777292</v>
      </c>
      <c r="K244" s="828">
        <f t="shared" si="10"/>
        <v>12383.311725235983</v>
      </c>
    </row>
    <row r="245" spans="1:11" s="125" customFormat="1" ht="21" customHeight="1">
      <c r="A245" s="1570" t="s">
        <v>125</v>
      </c>
      <c r="B245" s="1571"/>
      <c r="C245" s="831">
        <v>1</v>
      </c>
      <c r="D245" s="93">
        <v>241122</v>
      </c>
      <c r="E245" s="117">
        <v>20093.5</v>
      </c>
      <c r="F245" s="831">
        <v>0.9</v>
      </c>
      <c r="G245" s="93">
        <v>236755</v>
      </c>
      <c r="H245" s="828">
        <v>21921.75925925926</v>
      </c>
      <c r="I245" s="831"/>
      <c r="J245" s="93"/>
      <c r="K245" s="828"/>
    </row>
    <row r="246" spans="1:11" s="125" customFormat="1" ht="21" customHeight="1">
      <c r="A246" s="1570" t="s">
        <v>126</v>
      </c>
      <c r="B246" s="1571"/>
      <c r="C246" s="831">
        <v>0</v>
      </c>
      <c r="D246" s="93">
        <v>0</v>
      </c>
      <c r="E246" s="117" t="s">
        <v>166</v>
      </c>
      <c r="F246" s="831"/>
      <c r="G246" s="93"/>
      <c r="H246" s="828" t="s">
        <v>166</v>
      </c>
      <c r="I246" s="831"/>
      <c r="J246" s="93"/>
      <c r="K246" s="828"/>
    </row>
    <row r="247" spans="1:11" s="125" customFormat="1" ht="21" customHeight="1">
      <c r="A247" s="1570" t="s">
        <v>127</v>
      </c>
      <c r="B247" s="1571"/>
      <c r="C247" s="831">
        <v>79.05</v>
      </c>
      <c r="D247" s="93">
        <v>13933044</v>
      </c>
      <c r="E247" s="117">
        <v>14688.00759013283</v>
      </c>
      <c r="F247" s="831">
        <v>75.71</v>
      </c>
      <c r="G247" s="93">
        <v>14598747</v>
      </c>
      <c r="H247" s="828">
        <v>16068.712851670849</v>
      </c>
      <c r="I247" s="831">
        <v>67.99</v>
      </c>
      <c r="J247" s="93">
        <v>13850353</v>
      </c>
      <c r="K247" s="828">
        <f t="shared" si="10"/>
        <v>16975.96827964897</v>
      </c>
    </row>
    <row r="248" spans="1:11" s="125" customFormat="1" ht="21" customHeight="1" thickBot="1">
      <c r="A248" s="1567" t="s">
        <v>128</v>
      </c>
      <c r="B248" s="1568"/>
      <c r="C248" s="832">
        <v>137.07</v>
      </c>
      <c r="D248" s="122">
        <v>15735439</v>
      </c>
      <c r="E248" s="123">
        <v>9566.546898178547</v>
      </c>
      <c r="F248" s="832">
        <v>124.78</v>
      </c>
      <c r="G248" s="122">
        <v>15019135</v>
      </c>
      <c r="H248" s="829">
        <v>10030.4101885986</v>
      </c>
      <c r="I248" s="832">
        <v>119.59</v>
      </c>
      <c r="J248" s="122">
        <v>15516896</v>
      </c>
      <c r="K248" s="829">
        <f t="shared" si="10"/>
        <v>10812.565153162193</v>
      </c>
    </row>
    <row r="249" spans="1:11" s="125" customFormat="1" ht="20.25" customHeight="1" thickBot="1">
      <c r="A249" s="1414" t="s">
        <v>4</v>
      </c>
      <c r="B249" s="1569"/>
      <c r="C249" s="260">
        <v>1129.27</v>
      </c>
      <c r="D249" s="115">
        <v>226530611</v>
      </c>
      <c r="E249" s="124">
        <v>16716.596488587027</v>
      </c>
      <c r="F249" s="260">
        <v>1130.49</v>
      </c>
      <c r="G249" s="115">
        <v>247420325</v>
      </c>
      <c r="H249" s="116">
        <v>18238.4279530705</v>
      </c>
      <c r="I249" s="260">
        <v>1115.03</v>
      </c>
      <c r="J249" s="115">
        <v>273877535</v>
      </c>
      <c r="K249" s="116">
        <f t="shared" si="10"/>
        <v>20468.62229416847</v>
      </c>
    </row>
  </sheetData>
  <sheetProtection/>
  <mergeCells count="511">
    <mergeCell ref="A85:A86"/>
    <mergeCell ref="D86:E86"/>
    <mergeCell ref="F86:G86"/>
    <mergeCell ref="J86:K86"/>
    <mergeCell ref="F85:G85"/>
    <mergeCell ref="H85:I85"/>
    <mergeCell ref="D85:E85"/>
    <mergeCell ref="J85:K85"/>
    <mergeCell ref="B85:C85"/>
    <mergeCell ref="A83:A84"/>
    <mergeCell ref="D84:E84"/>
    <mergeCell ref="F84:G84"/>
    <mergeCell ref="J84:K84"/>
    <mergeCell ref="J83:K83"/>
    <mergeCell ref="D83:E83"/>
    <mergeCell ref="F83:G83"/>
    <mergeCell ref="B83:C83"/>
    <mergeCell ref="H55:K55"/>
    <mergeCell ref="I4:K4"/>
    <mergeCell ref="D36:F36"/>
    <mergeCell ref="A215:A216"/>
    <mergeCell ref="D57:E57"/>
    <mergeCell ref="F56:G56"/>
    <mergeCell ref="F57:G57"/>
    <mergeCell ref="D4:F4"/>
    <mergeCell ref="D100:E100"/>
    <mergeCell ref="I171:L171"/>
    <mergeCell ref="F121:G121"/>
    <mergeCell ref="H120:I120"/>
    <mergeCell ref="H124:I124"/>
    <mergeCell ref="F125:G125"/>
    <mergeCell ref="F124:G124"/>
    <mergeCell ref="F123:G123"/>
    <mergeCell ref="H91:I91"/>
    <mergeCell ref="F93:G93"/>
    <mergeCell ref="H95:I95"/>
    <mergeCell ref="F87:G87"/>
    <mergeCell ref="F95:G95"/>
    <mergeCell ref="A42:A43"/>
    <mergeCell ref="B42:F42"/>
    <mergeCell ref="G42:K42"/>
    <mergeCell ref="D58:E58"/>
    <mergeCell ref="A55:A56"/>
    <mergeCell ref="B56:C56"/>
    <mergeCell ref="B57:C57"/>
    <mergeCell ref="B58:C58"/>
    <mergeCell ref="B55:G55"/>
    <mergeCell ref="F58:G58"/>
    <mergeCell ref="A66:B66"/>
    <mergeCell ref="D78:E78"/>
    <mergeCell ref="A71:A72"/>
    <mergeCell ref="B69:C69"/>
    <mergeCell ref="B77:C77"/>
    <mergeCell ref="B78:C78"/>
    <mergeCell ref="B70:C70"/>
    <mergeCell ref="B71:C71"/>
    <mergeCell ref="B73:C73"/>
    <mergeCell ref="B74:C74"/>
    <mergeCell ref="D77:E77"/>
    <mergeCell ref="B75:C75"/>
    <mergeCell ref="F78:G78"/>
    <mergeCell ref="D79:E79"/>
    <mergeCell ref="F77:G77"/>
    <mergeCell ref="F79:G79"/>
    <mergeCell ref="F72:G72"/>
    <mergeCell ref="B59:C59"/>
    <mergeCell ref="F69:G69"/>
    <mergeCell ref="F71:G71"/>
    <mergeCell ref="F59:G59"/>
    <mergeCell ref="B60:C60"/>
    <mergeCell ref="D60:E60"/>
    <mergeCell ref="A64:B64"/>
    <mergeCell ref="A65:B65"/>
    <mergeCell ref="D71:E71"/>
    <mergeCell ref="D72:E72"/>
    <mergeCell ref="F74:G74"/>
    <mergeCell ref="F73:G73"/>
    <mergeCell ref="G4:H4"/>
    <mergeCell ref="F5:F6"/>
    <mergeCell ref="F60:G60"/>
    <mergeCell ref="D59:E59"/>
    <mergeCell ref="D69:E69"/>
    <mergeCell ref="D70:E70"/>
    <mergeCell ref="H71:I71"/>
    <mergeCell ref="F102:G102"/>
    <mergeCell ref="D56:E56"/>
    <mergeCell ref="A3:A6"/>
    <mergeCell ref="A41:K41"/>
    <mergeCell ref="B3:M3"/>
    <mergeCell ref="B4:B6"/>
    <mergeCell ref="F37:J38"/>
    <mergeCell ref="C4:C6"/>
    <mergeCell ref="I36:K36"/>
    <mergeCell ref="L4:M4"/>
    <mergeCell ref="A240:B240"/>
    <mergeCell ref="A245:B245"/>
    <mergeCell ref="A246:B246"/>
    <mergeCell ref="A247:B247"/>
    <mergeCell ref="A243:B243"/>
    <mergeCell ref="A244:B244"/>
    <mergeCell ref="A248:B248"/>
    <mergeCell ref="A249:B249"/>
    <mergeCell ref="A241:B241"/>
    <mergeCell ref="A242:B242"/>
    <mergeCell ref="F70:G70"/>
    <mergeCell ref="A239:B239"/>
    <mergeCell ref="D95:E95"/>
    <mergeCell ref="D97:E97"/>
    <mergeCell ref="D89:E89"/>
    <mergeCell ref="D93:E93"/>
    <mergeCell ref="A148:C149"/>
    <mergeCell ref="A154:C154"/>
    <mergeCell ref="A237:B238"/>
    <mergeCell ref="A210:A211"/>
    <mergeCell ref="H69:I69"/>
    <mergeCell ref="H70:I70"/>
    <mergeCell ref="J74:K74"/>
    <mergeCell ref="L74:M74"/>
    <mergeCell ref="L72:M72"/>
    <mergeCell ref="L69:M69"/>
    <mergeCell ref="L70:M70"/>
    <mergeCell ref="L71:M71"/>
    <mergeCell ref="J70:K70"/>
    <mergeCell ref="J69:K69"/>
    <mergeCell ref="C210:H210"/>
    <mergeCell ref="C237:E237"/>
    <mergeCell ref="A171:A172"/>
    <mergeCell ref="D148:D149"/>
    <mergeCell ref="F237:H237"/>
    <mergeCell ref="G215:K215"/>
    <mergeCell ref="I237:K237"/>
    <mergeCell ref="B215:F215"/>
    <mergeCell ref="A163:C163"/>
    <mergeCell ref="C165:H165"/>
    <mergeCell ref="B171:B172"/>
    <mergeCell ref="L148:L149"/>
    <mergeCell ref="C171:F171"/>
    <mergeCell ref="C166:C167"/>
    <mergeCell ref="F163:K163"/>
    <mergeCell ref="A153:C153"/>
    <mergeCell ref="I165:I167"/>
    <mergeCell ref="G171:G172"/>
    <mergeCell ref="F148:K149"/>
    <mergeCell ref="H171:H172"/>
    <mergeCell ref="A165:A167"/>
    <mergeCell ref="B165:B167"/>
    <mergeCell ref="A152:C152"/>
    <mergeCell ref="A155:C155"/>
    <mergeCell ref="D145:E145"/>
    <mergeCell ref="A150:C150"/>
    <mergeCell ref="A151:C151"/>
    <mergeCell ref="A146:E146"/>
    <mergeCell ref="B145:C145"/>
    <mergeCell ref="L145:M145"/>
    <mergeCell ref="H145:I145"/>
    <mergeCell ref="H129:I129"/>
    <mergeCell ref="D143:E143"/>
    <mergeCell ref="L143:M143"/>
    <mergeCell ref="L129:M129"/>
    <mergeCell ref="L142:M142"/>
    <mergeCell ref="J145:K145"/>
    <mergeCell ref="F145:G145"/>
    <mergeCell ref="L135:M135"/>
    <mergeCell ref="D166:H166"/>
    <mergeCell ref="H142:I142"/>
    <mergeCell ref="J131:K131"/>
    <mergeCell ref="J143:K143"/>
    <mergeCell ref="F131:G131"/>
    <mergeCell ref="F142:G142"/>
    <mergeCell ref="F132:G132"/>
    <mergeCell ref="H132:I132"/>
    <mergeCell ref="H131:I131"/>
    <mergeCell ref="D142:E142"/>
    <mergeCell ref="H143:I143"/>
    <mergeCell ref="J140:K140"/>
    <mergeCell ref="H126:I126"/>
    <mergeCell ref="J142:K142"/>
    <mergeCell ref="J128:K128"/>
    <mergeCell ref="H137:I137"/>
    <mergeCell ref="J133:K133"/>
    <mergeCell ref="J137:K137"/>
    <mergeCell ref="J135:K135"/>
    <mergeCell ref="L118:M118"/>
    <mergeCell ref="J120:K120"/>
    <mergeCell ref="H128:I128"/>
    <mergeCell ref="H130:I130"/>
    <mergeCell ref="L89:M89"/>
    <mergeCell ref="J117:K117"/>
    <mergeCell ref="L115:M115"/>
    <mergeCell ref="J115:K115"/>
    <mergeCell ref="L116:M116"/>
    <mergeCell ref="L100:M100"/>
    <mergeCell ref="L105:M105"/>
    <mergeCell ref="L92:M92"/>
    <mergeCell ref="H75:I75"/>
    <mergeCell ref="H89:I89"/>
    <mergeCell ref="L102:M102"/>
    <mergeCell ref="H87:I87"/>
    <mergeCell ref="L78:M78"/>
    <mergeCell ref="L81:M81"/>
    <mergeCell ref="L79:M79"/>
    <mergeCell ref="J79:K79"/>
    <mergeCell ref="J78:K78"/>
    <mergeCell ref="J75:K75"/>
    <mergeCell ref="J89:K89"/>
    <mergeCell ref="J102:K102"/>
    <mergeCell ref="J95:K95"/>
    <mergeCell ref="J97:K97"/>
    <mergeCell ref="J93:K93"/>
    <mergeCell ref="J90:K90"/>
    <mergeCell ref="J96:K96"/>
    <mergeCell ref="J94:K94"/>
    <mergeCell ref="J101:K101"/>
    <mergeCell ref="D117:E117"/>
    <mergeCell ref="F114:G114"/>
    <mergeCell ref="D115:E115"/>
    <mergeCell ref="D116:E116"/>
    <mergeCell ref="F116:G116"/>
    <mergeCell ref="F117:G117"/>
    <mergeCell ref="D114:E114"/>
    <mergeCell ref="D107:E107"/>
    <mergeCell ref="D108:E108"/>
    <mergeCell ref="D110:E110"/>
    <mergeCell ref="D102:E102"/>
    <mergeCell ref="D103:E103"/>
    <mergeCell ref="D105:E105"/>
    <mergeCell ref="H108:I108"/>
    <mergeCell ref="H107:I107"/>
    <mergeCell ref="L99:M99"/>
    <mergeCell ref="L95:M95"/>
    <mergeCell ref="J107:K107"/>
    <mergeCell ref="J103:K103"/>
    <mergeCell ref="J105:K105"/>
    <mergeCell ref="H102:I102"/>
    <mergeCell ref="J108:K108"/>
    <mergeCell ref="L108:M108"/>
    <mergeCell ref="H99:I99"/>
    <mergeCell ref="H93:I93"/>
    <mergeCell ref="H103:I103"/>
    <mergeCell ref="H100:I100"/>
    <mergeCell ref="H114:I114"/>
    <mergeCell ref="L107:M107"/>
    <mergeCell ref="L110:M110"/>
    <mergeCell ref="J110:K110"/>
    <mergeCell ref="H110:I110"/>
    <mergeCell ref="H112:I112"/>
    <mergeCell ref="J113:K113"/>
    <mergeCell ref="L109:M109"/>
    <mergeCell ref="L111:M111"/>
    <mergeCell ref="L113:M113"/>
    <mergeCell ref="H119:I119"/>
    <mergeCell ref="F115:G115"/>
    <mergeCell ref="J119:K119"/>
    <mergeCell ref="H117:I117"/>
    <mergeCell ref="F118:G118"/>
    <mergeCell ref="F119:G119"/>
    <mergeCell ref="H116:I116"/>
    <mergeCell ref="H115:I115"/>
    <mergeCell ref="H118:I118"/>
    <mergeCell ref="J118:K118"/>
    <mergeCell ref="F107:G107"/>
    <mergeCell ref="L124:M124"/>
    <mergeCell ref="J124:K124"/>
    <mergeCell ref="H121:I121"/>
    <mergeCell ref="H122:I122"/>
    <mergeCell ref="H123:I123"/>
    <mergeCell ref="L123:M123"/>
    <mergeCell ref="J122:K122"/>
    <mergeCell ref="J123:K123"/>
    <mergeCell ref="L122:M122"/>
    <mergeCell ref="L93:M93"/>
    <mergeCell ref="L94:M94"/>
    <mergeCell ref="L96:M96"/>
    <mergeCell ref="L98:M98"/>
    <mergeCell ref="L97:M97"/>
    <mergeCell ref="L106:M106"/>
    <mergeCell ref="L121:M121"/>
    <mergeCell ref="L112:M112"/>
    <mergeCell ref="J112:K112"/>
    <mergeCell ref="L114:M114"/>
    <mergeCell ref="J121:K121"/>
    <mergeCell ref="J116:K116"/>
    <mergeCell ref="L117:M117"/>
    <mergeCell ref="D126:E126"/>
    <mergeCell ref="F126:G126"/>
    <mergeCell ref="J114:K114"/>
    <mergeCell ref="L127:M127"/>
    <mergeCell ref="J126:K126"/>
    <mergeCell ref="L126:M126"/>
    <mergeCell ref="L120:M120"/>
    <mergeCell ref="L119:M119"/>
    <mergeCell ref="J127:K127"/>
    <mergeCell ref="L125:M125"/>
    <mergeCell ref="D119:E119"/>
    <mergeCell ref="D120:E120"/>
    <mergeCell ref="D121:E121"/>
    <mergeCell ref="D123:E123"/>
    <mergeCell ref="L136:M136"/>
    <mergeCell ref="L128:M128"/>
    <mergeCell ref="J130:K130"/>
    <mergeCell ref="L130:M130"/>
    <mergeCell ref="L131:M131"/>
    <mergeCell ref="J132:K132"/>
    <mergeCell ref="L132:M132"/>
    <mergeCell ref="L133:M133"/>
    <mergeCell ref="J134:K134"/>
    <mergeCell ref="J129:K129"/>
    <mergeCell ref="H78:I78"/>
    <mergeCell ref="J77:K77"/>
    <mergeCell ref="J138:K138"/>
    <mergeCell ref="F129:G129"/>
    <mergeCell ref="F128:G128"/>
    <mergeCell ref="J91:K91"/>
    <mergeCell ref="J100:K100"/>
    <mergeCell ref="J99:K99"/>
    <mergeCell ref="J92:K92"/>
    <mergeCell ref="F108:G108"/>
    <mergeCell ref="D73:E73"/>
    <mergeCell ref="F75:G75"/>
    <mergeCell ref="D75:E75"/>
    <mergeCell ref="D74:E74"/>
    <mergeCell ref="F143:G143"/>
    <mergeCell ref="B129:C129"/>
    <mergeCell ref="B142:C142"/>
    <mergeCell ref="B143:C143"/>
    <mergeCell ref="F133:G133"/>
    <mergeCell ref="F130:G130"/>
    <mergeCell ref="B131:C131"/>
    <mergeCell ref="D131:E131"/>
    <mergeCell ref="D129:E129"/>
    <mergeCell ref="D139:E139"/>
    <mergeCell ref="B117:C117"/>
    <mergeCell ref="B107:C107"/>
    <mergeCell ref="B87:C87"/>
    <mergeCell ref="B99:C99"/>
    <mergeCell ref="B95:C95"/>
    <mergeCell ref="B114:C114"/>
    <mergeCell ref="B115:C115"/>
    <mergeCell ref="B116:C116"/>
    <mergeCell ref="B112:C112"/>
    <mergeCell ref="B128:C128"/>
    <mergeCell ref="F127:G127"/>
    <mergeCell ref="B124:C124"/>
    <mergeCell ref="B125:C125"/>
    <mergeCell ref="B126:C126"/>
    <mergeCell ref="B127:C127"/>
    <mergeCell ref="D128:E128"/>
    <mergeCell ref="D127:E127"/>
    <mergeCell ref="D124:E124"/>
    <mergeCell ref="D125:E125"/>
    <mergeCell ref="D104:E104"/>
    <mergeCell ref="A105:A106"/>
    <mergeCell ref="D106:E106"/>
    <mergeCell ref="J106:K106"/>
    <mergeCell ref="F105:G105"/>
    <mergeCell ref="B105:C105"/>
    <mergeCell ref="H105:I105"/>
    <mergeCell ref="D98:E98"/>
    <mergeCell ref="F98:G98"/>
    <mergeCell ref="B97:C97"/>
    <mergeCell ref="F97:G97"/>
    <mergeCell ref="A81:A82"/>
    <mergeCell ref="D82:E82"/>
    <mergeCell ref="F82:G82"/>
    <mergeCell ref="J82:K82"/>
    <mergeCell ref="B81:C81"/>
    <mergeCell ref="J81:K81"/>
    <mergeCell ref="F81:G81"/>
    <mergeCell ref="H81:I81"/>
    <mergeCell ref="D81:E81"/>
    <mergeCell ref="A79:A80"/>
    <mergeCell ref="D80:E80"/>
    <mergeCell ref="F80:G80"/>
    <mergeCell ref="J80:K80"/>
    <mergeCell ref="H79:I79"/>
    <mergeCell ref="B79:C79"/>
    <mergeCell ref="A93:A94"/>
    <mergeCell ref="D94:E94"/>
    <mergeCell ref="F94:G94"/>
    <mergeCell ref="B93:C93"/>
    <mergeCell ref="A95:A96"/>
    <mergeCell ref="A103:A104"/>
    <mergeCell ref="B108:C108"/>
    <mergeCell ref="B110:C110"/>
    <mergeCell ref="B102:C102"/>
    <mergeCell ref="B103:C103"/>
    <mergeCell ref="B100:C100"/>
    <mergeCell ref="A97:A98"/>
    <mergeCell ref="B122:C122"/>
    <mergeCell ref="B123:C123"/>
    <mergeCell ref="B118:C118"/>
    <mergeCell ref="B119:C119"/>
    <mergeCell ref="B120:C120"/>
    <mergeCell ref="B121:C121"/>
    <mergeCell ref="B130:C130"/>
    <mergeCell ref="D130:E130"/>
    <mergeCell ref="B132:C132"/>
    <mergeCell ref="D132:E132"/>
    <mergeCell ref="B135:C135"/>
    <mergeCell ref="D135:E135"/>
    <mergeCell ref="F135:G135"/>
    <mergeCell ref="H135:I135"/>
    <mergeCell ref="A112:A113"/>
    <mergeCell ref="D113:E113"/>
    <mergeCell ref="J111:K111"/>
    <mergeCell ref="F110:G110"/>
    <mergeCell ref="D112:E112"/>
    <mergeCell ref="F112:G112"/>
    <mergeCell ref="A110:A111"/>
    <mergeCell ref="F100:G100"/>
    <mergeCell ref="L134:M134"/>
    <mergeCell ref="H133:I133"/>
    <mergeCell ref="J109:K109"/>
    <mergeCell ref="J104:K104"/>
    <mergeCell ref="H125:I125"/>
    <mergeCell ref="L103:M103"/>
    <mergeCell ref="J125:K125"/>
    <mergeCell ref="L101:M101"/>
    <mergeCell ref="L104:M104"/>
    <mergeCell ref="B134:C134"/>
    <mergeCell ref="D134:E134"/>
    <mergeCell ref="F134:G134"/>
    <mergeCell ref="H134:I134"/>
    <mergeCell ref="A87:A88"/>
    <mergeCell ref="D88:E88"/>
    <mergeCell ref="F88:G88"/>
    <mergeCell ref="J88:K88"/>
    <mergeCell ref="D87:E87"/>
    <mergeCell ref="J87:K87"/>
    <mergeCell ref="D96:E96"/>
    <mergeCell ref="F96:G96"/>
    <mergeCell ref="D138:E138"/>
    <mergeCell ref="F138:G138"/>
    <mergeCell ref="D111:E111"/>
    <mergeCell ref="D99:E99"/>
    <mergeCell ref="F99:G99"/>
    <mergeCell ref="F103:G103"/>
    <mergeCell ref="D118:E118"/>
    <mergeCell ref="D122:E122"/>
    <mergeCell ref="H138:I138"/>
    <mergeCell ref="A100:A101"/>
    <mergeCell ref="D101:E101"/>
    <mergeCell ref="F101:G101"/>
    <mergeCell ref="A108:A109"/>
    <mergeCell ref="D109:E109"/>
    <mergeCell ref="B133:C133"/>
    <mergeCell ref="D133:E133"/>
    <mergeCell ref="B137:C137"/>
    <mergeCell ref="B136:C136"/>
    <mergeCell ref="H136:I136"/>
    <mergeCell ref="J136:K136"/>
    <mergeCell ref="D136:E136"/>
    <mergeCell ref="F136:G136"/>
    <mergeCell ref="L140:M140"/>
    <mergeCell ref="B141:C141"/>
    <mergeCell ref="D141:E141"/>
    <mergeCell ref="F141:G141"/>
    <mergeCell ref="H141:I141"/>
    <mergeCell ref="J141:K141"/>
    <mergeCell ref="L141:M141"/>
    <mergeCell ref="B140:C140"/>
    <mergeCell ref="D140:E140"/>
    <mergeCell ref="H140:I140"/>
    <mergeCell ref="A91:A92"/>
    <mergeCell ref="D92:E92"/>
    <mergeCell ref="F92:G92"/>
    <mergeCell ref="B91:C91"/>
    <mergeCell ref="A89:A90"/>
    <mergeCell ref="D90:E90"/>
    <mergeCell ref="F90:G90"/>
    <mergeCell ref="B89:C89"/>
    <mergeCell ref="F89:G89"/>
    <mergeCell ref="J72:K72"/>
    <mergeCell ref="J71:K71"/>
    <mergeCell ref="H83:I83"/>
    <mergeCell ref="F140:G140"/>
    <mergeCell ref="F137:G137"/>
    <mergeCell ref="J98:K98"/>
    <mergeCell ref="H97:I97"/>
    <mergeCell ref="F120:G120"/>
    <mergeCell ref="F122:G122"/>
    <mergeCell ref="H127:I127"/>
    <mergeCell ref="L75:M75"/>
    <mergeCell ref="J73:K73"/>
    <mergeCell ref="L73:M73"/>
    <mergeCell ref="D91:E91"/>
    <mergeCell ref="F91:G91"/>
    <mergeCell ref="L91:M91"/>
    <mergeCell ref="L90:M90"/>
    <mergeCell ref="H73:I73"/>
    <mergeCell ref="H74:I74"/>
    <mergeCell ref="H77:I77"/>
    <mergeCell ref="L82:M82"/>
    <mergeCell ref="L88:M88"/>
    <mergeCell ref="L85:M85"/>
    <mergeCell ref="L77:M77"/>
    <mergeCell ref="L83:M83"/>
    <mergeCell ref="L87:M87"/>
    <mergeCell ref="L86:M86"/>
    <mergeCell ref="L80:M80"/>
    <mergeCell ref="L84:M84"/>
    <mergeCell ref="B139:C139"/>
    <mergeCell ref="F111:G111"/>
    <mergeCell ref="L139:M139"/>
    <mergeCell ref="J139:K139"/>
    <mergeCell ref="H139:I139"/>
    <mergeCell ref="F139:G139"/>
    <mergeCell ref="D137:E137"/>
    <mergeCell ref="L137:M137"/>
    <mergeCell ref="B138:C138"/>
    <mergeCell ref="L138:M138"/>
  </mergeCells>
  <printOptions horizontalCentered="1"/>
  <pageMargins left="0.17" right="0.2" top="0.35433070866141736" bottom="0.2362204724409449" header="0.2362204724409449" footer="0.1968503937007874"/>
  <pageSetup horizontalDpi="600" verticalDpi="600" orientation="portrait" paperSize="9" scale="70" r:id="rId3"/>
  <rowBreaks count="1" manualBreakCount="1">
    <brk id="214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536"/>
  <sheetViews>
    <sheetView workbookViewId="0" topLeftCell="B21">
      <selection activeCell="F71" sqref="F71"/>
    </sheetView>
  </sheetViews>
  <sheetFormatPr defaultColWidth="9.00390625" defaultRowHeight="12.75"/>
  <cols>
    <col min="1" max="1" width="31.625" style="142" customWidth="1"/>
    <col min="2" max="3" width="9.875" style="162" customWidth="1"/>
    <col min="4" max="4" width="10.00390625" style="162" customWidth="1"/>
    <col min="5" max="5" width="9.00390625" style="162" customWidth="1"/>
    <col min="6" max="6" width="10.75390625" style="162" customWidth="1"/>
    <col min="7" max="7" width="9.75390625" style="162" customWidth="1"/>
    <col min="8" max="8" width="11.375" style="162" customWidth="1"/>
    <col min="9" max="9" width="11.25390625" style="162" customWidth="1"/>
    <col min="10" max="10" width="11.00390625" style="162" customWidth="1"/>
    <col min="11" max="11" width="10.625" style="162" customWidth="1"/>
    <col min="12" max="12" width="9.00390625" style="162" customWidth="1"/>
    <col min="13" max="13" width="7.875" style="142" customWidth="1"/>
    <col min="14" max="32" width="9.125" style="142" customWidth="1"/>
  </cols>
  <sheetData>
    <row r="1" spans="10:12" ht="15.75">
      <c r="J1" s="163"/>
      <c r="L1" s="164"/>
    </row>
    <row r="2" spans="1:12" ht="15.75" customHeight="1">
      <c r="A2" s="165"/>
      <c r="B2" s="166"/>
      <c r="C2" s="166"/>
      <c r="D2" s="166"/>
      <c r="E2" s="166"/>
      <c r="F2" s="166"/>
      <c r="J2" s="163"/>
      <c r="L2" s="164"/>
    </row>
    <row r="3" spans="1:12" ht="15.75" customHeight="1" thickBot="1">
      <c r="A3" s="167" t="s">
        <v>183</v>
      </c>
      <c r="B3" s="166"/>
      <c r="C3" s="166"/>
      <c r="D3" s="166"/>
      <c r="E3" s="166"/>
      <c r="F3" s="166"/>
      <c r="J3" s="163"/>
      <c r="L3" s="164"/>
    </row>
    <row r="4" spans="1:32" ht="21.75" customHeight="1" thickBot="1">
      <c r="A4" s="1325" t="s">
        <v>1</v>
      </c>
      <c r="B4" s="1338" t="s">
        <v>184</v>
      </c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40"/>
      <c r="AE4"/>
      <c r="AF4"/>
    </row>
    <row r="5" spans="1:28" s="15" customFormat="1" ht="16.5" customHeight="1" thickBot="1">
      <c r="A5" s="1326"/>
      <c r="B5" s="1283" t="s">
        <v>207</v>
      </c>
      <c r="C5" s="1579" t="s">
        <v>251</v>
      </c>
      <c r="D5" s="1348" t="s">
        <v>532</v>
      </c>
      <c r="E5" s="1677"/>
      <c r="F5" s="1678"/>
      <c r="G5" s="1303" t="s">
        <v>152</v>
      </c>
      <c r="H5" s="1304"/>
      <c r="I5" s="1679" t="s">
        <v>292</v>
      </c>
      <c r="J5" s="1286"/>
      <c r="K5" s="1287"/>
      <c r="L5" s="1303" t="s">
        <v>293</v>
      </c>
      <c r="M5" s="1304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13" s="162" customFormat="1" ht="11.25">
      <c r="A6" s="1326"/>
      <c r="B6" s="1321"/>
      <c r="C6" s="1580"/>
      <c r="D6" s="902" t="s">
        <v>2</v>
      </c>
      <c r="E6" s="903" t="s">
        <v>3</v>
      </c>
      <c r="F6" s="2" t="s">
        <v>4</v>
      </c>
      <c r="G6" s="168" t="s">
        <v>4</v>
      </c>
      <c r="H6" s="169" t="s">
        <v>5</v>
      </c>
      <c r="I6" s="1" t="s">
        <v>2</v>
      </c>
      <c r="J6" s="596" t="s">
        <v>3</v>
      </c>
      <c r="K6" s="1462" t="s">
        <v>4</v>
      </c>
      <c r="L6" s="3" t="s">
        <v>4</v>
      </c>
      <c r="M6" s="2" t="s">
        <v>5</v>
      </c>
    </row>
    <row r="7" spans="1:13" s="162" customFormat="1" ht="10.5" customHeight="1" thickBot="1">
      <c r="A7" s="1327"/>
      <c r="B7" s="1322"/>
      <c r="C7" s="1581"/>
      <c r="D7" s="904" t="s">
        <v>6</v>
      </c>
      <c r="E7" s="905" t="s">
        <v>6</v>
      </c>
      <c r="F7" s="4"/>
      <c r="G7" s="516" t="s">
        <v>7</v>
      </c>
      <c r="H7" s="515" t="s">
        <v>8</v>
      </c>
      <c r="I7" s="417" t="s">
        <v>6</v>
      </c>
      <c r="J7" s="418" t="s">
        <v>6</v>
      </c>
      <c r="K7" s="1463"/>
      <c r="L7" s="5" t="s">
        <v>7</v>
      </c>
      <c r="M7" s="4" t="s">
        <v>8</v>
      </c>
    </row>
    <row r="8" spans="1:32" ht="17.25" customHeight="1">
      <c r="A8" s="170" t="s">
        <v>9</v>
      </c>
      <c r="B8" s="227">
        <v>986</v>
      </c>
      <c r="C8" s="171">
        <v>854.17</v>
      </c>
      <c r="D8" s="906">
        <v>810</v>
      </c>
      <c r="E8" s="907"/>
      <c r="F8" s="908">
        <f aca="true" t="shared" si="0" ref="F8:F16">+D8+E8</f>
        <v>810</v>
      </c>
      <c r="G8" s="172"/>
      <c r="H8" s="173"/>
      <c r="I8" s="858">
        <v>850</v>
      </c>
      <c r="J8" s="235">
        <v>0</v>
      </c>
      <c r="K8" s="85">
        <f>+I8+J8</f>
        <v>850</v>
      </c>
      <c r="L8" s="67"/>
      <c r="M8" s="74"/>
      <c r="AC8"/>
      <c r="AD8"/>
      <c r="AE8"/>
      <c r="AF8"/>
    </row>
    <row r="9" spans="1:32" ht="17.25" customHeight="1">
      <c r="A9" s="174" t="s">
        <v>10</v>
      </c>
      <c r="B9" s="229">
        <v>458580</v>
      </c>
      <c r="C9" s="175">
        <v>480380.61</v>
      </c>
      <c r="D9" s="909">
        <v>517731</v>
      </c>
      <c r="E9" s="910">
        <v>1419</v>
      </c>
      <c r="F9" s="908">
        <f t="shared" si="0"/>
        <v>519150</v>
      </c>
      <c r="G9" s="176">
        <f aca="true" t="shared" si="1" ref="G9:G34">+F9-C9</f>
        <v>38769.390000000014</v>
      </c>
      <c r="H9" s="177">
        <f>+F9/C9</f>
        <v>1.0807055680286513</v>
      </c>
      <c r="I9" s="226">
        <v>532375</v>
      </c>
      <c r="J9" s="12">
        <v>1500</v>
      </c>
      <c r="K9" s="88">
        <f>+I9+J9</f>
        <v>533875</v>
      </c>
      <c r="L9" s="67">
        <f aca="true" t="shared" si="2" ref="L9:L14">+K9-F9</f>
        <v>14725</v>
      </c>
      <c r="M9" s="74">
        <f aca="true" t="shared" si="3" ref="M9:M14">+K9/F9</f>
        <v>1.0283636713859192</v>
      </c>
      <c r="AC9"/>
      <c r="AD9"/>
      <c r="AE9"/>
      <c r="AF9"/>
    </row>
    <row r="10" spans="1:32" ht="17.25" customHeight="1">
      <c r="A10" s="174" t="s">
        <v>11</v>
      </c>
      <c r="B10" s="229">
        <v>37313</v>
      </c>
      <c r="C10" s="175">
        <v>39297.09</v>
      </c>
      <c r="D10" s="909">
        <v>39665</v>
      </c>
      <c r="E10" s="910">
        <v>1733</v>
      </c>
      <c r="F10" s="908">
        <f t="shared" si="0"/>
        <v>41398</v>
      </c>
      <c r="G10" s="176">
        <f t="shared" si="1"/>
        <v>2100.9100000000035</v>
      </c>
      <c r="H10" s="177">
        <f>+F10/C10</f>
        <v>1.0534622283736532</v>
      </c>
      <c r="I10" s="236">
        <v>42000</v>
      </c>
      <c r="J10" s="237">
        <v>1900</v>
      </c>
      <c r="K10" s="88">
        <f aca="true" t="shared" si="4" ref="K10:K16">+I10+J10</f>
        <v>43900</v>
      </c>
      <c r="L10" s="68">
        <f t="shared" si="2"/>
        <v>2502</v>
      </c>
      <c r="M10" s="69">
        <f t="shared" si="3"/>
        <v>1.060437702304459</v>
      </c>
      <c r="AC10"/>
      <c r="AD10"/>
      <c r="AE10"/>
      <c r="AF10"/>
    </row>
    <row r="11" spans="1:32" ht="17.25" customHeight="1">
      <c r="A11" s="174" t="s">
        <v>12</v>
      </c>
      <c r="B11" s="229">
        <v>129.93</v>
      </c>
      <c r="C11" s="175">
        <v>151.33</v>
      </c>
      <c r="D11" s="909">
        <v>368</v>
      </c>
      <c r="E11" s="910">
        <v>101</v>
      </c>
      <c r="F11" s="908">
        <v>470</v>
      </c>
      <c r="G11" s="176">
        <f t="shared" si="1"/>
        <v>318.66999999999996</v>
      </c>
      <c r="H11" s="177">
        <f>+F11/C11</f>
        <v>3.1057952818344012</v>
      </c>
      <c r="I11" s="236">
        <v>400</v>
      </c>
      <c r="J11" s="237">
        <v>120</v>
      </c>
      <c r="K11" s="88">
        <f t="shared" si="4"/>
        <v>520</v>
      </c>
      <c r="L11" s="68">
        <f t="shared" si="2"/>
        <v>50</v>
      </c>
      <c r="M11" s="69">
        <f t="shared" si="3"/>
        <v>1.1063829787234043</v>
      </c>
      <c r="AC11"/>
      <c r="AD11"/>
      <c r="AE11"/>
      <c r="AF11"/>
    </row>
    <row r="12" spans="1:32" ht="17.25" customHeight="1">
      <c r="A12" s="174" t="s">
        <v>13</v>
      </c>
      <c r="B12" s="229">
        <v>1474.87</v>
      </c>
      <c r="C12" s="175">
        <v>3602.79</v>
      </c>
      <c r="D12" s="909">
        <v>6101</v>
      </c>
      <c r="E12" s="910">
        <v>29</v>
      </c>
      <c r="F12" s="908">
        <f t="shared" si="0"/>
        <v>6130</v>
      </c>
      <c r="G12" s="176">
        <f t="shared" si="1"/>
        <v>2527.21</v>
      </c>
      <c r="H12" s="177">
        <f>+F12/C12</f>
        <v>1.7014591469389002</v>
      </c>
      <c r="I12" s="236">
        <v>4800</v>
      </c>
      <c r="J12" s="237">
        <v>22</v>
      </c>
      <c r="K12" s="88">
        <f t="shared" si="4"/>
        <v>4822</v>
      </c>
      <c r="L12" s="68">
        <f t="shared" si="2"/>
        <v>-1308</v>
      </c>
      <c r="M12" s="69">
        <f t="shared" si="3"/>
        <v>0.7866231647634584</v>
      </c>
      <c r="AC12"/>
      <c r="AD12"/>
      <c r="AE12"/>
      <c r="AF12"/>
    </row>
    <row r="13" spans="1:32" ht="17.25" customHeight="1">
      <c r="A13" s="174" t="s">
        <v>14</v>
      </c>
      <c r="B13" s="229">
        <v>559</v>
      </c>
      <c r="C13" s="175">
        <v>525.79</v>
      </c>
      <c r="D13" s="909">
        <v>3730</v>
      </c>
      <c r="E13" s="910">
        <v>19</v>
      </c>
      <c r="F13" s="908">
        <f t="shared" si="0"/>
        <v>3749</v>
      </c>
      <c r="G13" s="176">
        <f t="shared" si="1"/>
        <v>3223.21</v>
      </c>
      <c r="H13" s="177">
        <f>+F13/C13</f>
        <v>7.130223092869778</v>
      </c>
      <c r="I13" s="236">
        <v>2400</v>
      </c>
      <c r="J13" s="237">
        <v>0</v>
      </c>
      <c r="K13" s="88">
        <f t="shared" si="4"/>
        <v>2400</v>
      </c>
      <c r="L13" s="68">
        <f t="shared" si="2"/>
        <v>-1349</v>
      </c>
      <c r="M13" s="69">
        <f t="shared" si="3"/>
        <v>0.6401707121899173</v>
      </c>
      <c r="AC13"/>
      <c r="AD13"/>
      <c r="AE13"/>
      <c r="AF13"/>
    </row>
    <row r="14" spans="1:32" ht="17.25" customHeight="1">
      <c r="A14" s="174" t="s">
        <v>15</v>
      </c>
      <c r="B14" s="229">
        <v>0</v>
      </c>
      <c r="C14" s="175">
        <v>0</v>
      </c>
      <c r="D14" s="909">
        <v>0</v>
      </c>
      <c r="E14" s="910">
        <v>0</v>
      </c>
      <c r="F14" s="908">
        <f t="shared" si="0"/>
        <v>0</v>
      </c>
      <c r="G14" s="176">
        <f t="shared" si="1"/>
        <v>0</v>
      </c>
      <c r="H14" s="177"/>
      <c r="I14" s="236">
        <v>0</v>
      </c>
      <c r="J14" s="237">
        <v>0</v>
      </c>
      <c r="K14" s="88">
        <f t="shared" si="4"/>
        <v>0</v>
      </c>
      <c r="L14" s="68">
        <f t="shared" si="2"/>
        <v>0</v>
      </c>
      <c r="M14" s="69" t="e">
        <f t="shared" si="3"/>
        <v>#DIV/0!</v>
      </c>
      <c r="AC14"/>
      <c r="AD14"/>
      <c r="AE14"/>
      <c r="AF14"/>
    </row>
    <row r="15" spans="1:32" ht="21" customHeight="1">
      <c r="A15" s="174" t="s">
        <v>16</v>
      </c>
      <c r="B15" s="229">
        <v>0</v>
      </c>
      <c r="C15" s="175">
        <v>0</v>
      </c>
      <c r="D15" s="909">
        <v>0</v>
      </c>
      <c r="E15" s="910">
        <v>0</v>
      </c>
      <c r="F15" s="908">
        <f t="shared" si="0"/>
        <v>0</v>
      </c>
      <c r="G15" s="176">
        <f t="shared" si="1"/>
        <v>0</v>
      </c>
      <c r="H15" s="177"/>
      <c r="I15" s="236">
        <v>0</v>
      </c>
      <c r="J15" s="237">
        <v>0</v>
      </c>
      <c r="K15" s="88">
        <f t="shared" si="4"/>
        <v>0</v>
      </c>
      <c r="L15" s="68"/>
      <c r="M15" s="69"/>
      <c r="AC15"/>
      <c r="AD15"/>
      <c r="AE15"/>
      <c r="AF15"/>
    </row>
    <row r="16" spans="1:32" ht="18.75" customHeight="1" thickBot="1">
      <c r="A16" s="178" t="s">
        <v>17</v>
      </c>
      <c r="B16" s="232">
        <v>3786</v>
      </c>
      <c r="C16" s="179">
        <v>1722.86</v>
      </c>
      <c r="D16" s="911">
        <v>1982</v>
      </c>
      <c r="E16" s="912">
        <v>0</v>
      </c>
      <c r="F16" s="908">
        <f t="shared" si="0"/>
        <v>1982</v>
      </c>
      <c r="G16" s="180">
        <f t="shared" si="1"/>
        <v>259.1400000000001</v>
      </c>
      <c r="H16" s="181">
        <f>+F16/C16</f>
        <v>1.1504126858827763</v>
      </c>
      <c r="I16" s="230">
        <v>1557</v>
      </c>
      <c r="J16" s="284">
        <v>0</v>
      </c>
      <c r="K16" s="88">
        <f t="shared" si="4"/>
        <v>1557</v>
      </c>
      <c r="L16" s="70">
        <f>+K16-F16</f>
        <v>-425</v>
      </c>
      <c r="M16" s="71">
        <f>+K16/F16</f>
        <v>0.7855701311806257</v>
      </c>
      <c r="AC16"/>
      <c r="AD16"/>
      <c r="AE16"/>
      <c r="AF16"/>
    </row>
    <row r="17" spans="1:32" ht="14.25" customHeight="1" thickBot="1">
      <c r="A17" s="182" t="s">
        <v>18</v>
      </c>
      <c r="B17" s="233">
        <v>502270</v>
      </c>
      <c r="C17" s="183">
        <v>526008.85</v>
      </c>
      <c r="D17" s="8">
        <f>SUM(D8+D9+D10+D11+D12+D14+D16)</f>
        <v>566657</v>
      </c>
      <c r="E17" s="24">
        <f>SUM(E8+E9+E10+E11+E12+E14+E16)</f>
        <v>3282</v>
      </c>
      <c r="F17" s="233">
        <v>569939.37</v>
      </c>
      <c r="G17" s="184">
        <f t="shared" si="1"/>
        <v>43930.52000000002</v>
      </c>
      <c r="H17" s="185">
        <f>+F17/C17</f>
        <v>1.0835166936830056</v>
      </c>
      <c r="I17" s="8">
        <f>SUM(I8+I9+I10+I11+I12+I14+I16)</f>
        <v>581982</v>
      </c>
      <c r="J17" s="24">
        <f>SUM(J8+J9+J10+J11+J12+J14+J16)</f>
        <v>3542</v>
      </c>
      <c r="K17" s="233">
        <f>SUM(K8+K9+K10+K11+K12+K14+K16)</f>
        <v>585524</v>
      </c>
      <c r="L17" s="72">
        <f>+K17-F17</f>
        <v>15584.630000000005</v>
      </c>
      <c r="M17" s="73">
        <f>+K17/F17</f>
        <v>1.0273443647172507</v>
      </c>
      <c r="AC17"/>
      <c r="AD17"/>
      <c r="AE17"/>
      <c r="AF17"/>
    </row>
    <row r="18" spans="1:28" s="15" customFormat="1" ht="18.75" customHeight="1">
      <c r="A18" s="170" t="s">
        <v>19</v>
      </c>
      <c r="B18" s="227">
        <v>108978.62</v>
      </c>
      <c r="C18" s="171">
        <v>117329.18</v>
      </c>
      <c r="D18" s="913">
        <v>119374</v>
      </c>
      <c r="E18" s="914">
        <v>271</v>
      </c>
      <c r="F18" s="908">
        <v>119646</v>
      </c>
      <c r="G18" s="172">
        <f t="shared" si="1"/>
        <v>2316.820000000007</v>
      </c>
      <c r="H18" s="186">
        <f>+F18/C18</f>
        <v>1.0197463239749909</v>
      </c>
      <c r="I18" s="278">
        <v>128282.942</v>
      </c>
      <c r="J18" s="279">
        <v>289.2</v>
      </c>
      <c r="K18" s="85">
        <f>+I18+J18</f>
        <v>128572.14199999999</v>
      </c>
      <c r="L18" s="67">
        <f>+K18-F18</f>
        <v>8926.141999999993</v>
      </c>
      <c r="M18" s="74">
        <f>+K18/F18</f>
        <v>1.0746046002373668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</row>
    <row r="19" spans="1:32" ht="18.75" customHeight="1">
      <c r="A19" s="174" t="s">
        <v>20</v>
      </c>
      <c r="B19" s="227">
        <v>3513</v>
      </c>
      <c r="C19" s="171">
        <v>9716</v>
      </c>
      <c r="D19" s="909">
        <v>2336</v>
      </c>
      <c r="E19" s="910">
        <v>90</v>
      </c>
      <c r="F19" s="908">
        <v>2427</v>
      </c>
      <c r="G19" s="172">
        <f t="shared" si="1"/>
        <v>-7289</v>
      </c>
      <c r="H19" s="186"/>
      <c r="I19" s="236">
        <v>8036.354</v>
      </c>
      <c r="J19" s="237">
        <v>91</v>
      </c>
      <c r="K19" s="85">
        <f aca="true" t="shared" si="5" ref="K19:K34">+I19+J19</f>
        <v>8127.354</v>
      </c>
      <c r="L19" s="67">
        <f aca="true" t="shared" si="6" ref="L19:L36">+K19-F19</f>
        <v>5700.354</v>
      </c>
      <c r="M19" s="74">
        <f aca="true" t="shared" si="7" ref="M19:M36">+K19/F19</f>
        <v>3.34872435105068</v>
      </c>
      <c r="AC19"/>
      <c r="AD19"/>
      <c r="AE19"/>
      <c r="AF19"/>
    </row>
    <row r="20" spans="1:32" ht="18.75" customHeight="1">
      <c r="A20" s="174" t="s">
        <v>21</v>
      </c>
      <c r="B20" s="227">
        <v>18594.02</v>
      </c>
      <c r="C20" s="171">
        <v>19336.88</v>
      </c>
      <c r="D20" s="909">
        <v>24234</v>
      </c>
      <c r="E20" s="910">
        <v>16</v>
      </c>
      <c r="F20" s="908">
        <f aca="true" t="shared" si="8" ref="F20:F34">+D20+E20</f>
        <v>24250</v>
      </c>
      <c r="G20" s="172">
        <f t="shared" si="1"/>
        <v>4913.119999999999</v>
      </c>
      <c r="H20" s="186">
        <f>+F20/C20</f>
        <v>1.254080285961334</v>
      </c>
      <c r="I20" s="236">
        <v>28280</v>
      </c>
      <c r="J20" s="237">
        <v>20</v>
      </c>
      <c r="K20" s="85">
        <f t="shared" si="5"/>
        <v>28300</v>
      </c>
      <c r="L20" s="67">
        <f t="shared" si="6"/>
        <v>4050</v>
      </c>
      <c r="M20" s="74">
        <f t="shared" si="7"/>
        <v>1.1670103092783506</v>
      </c>
      <c r="AC20"/>
      <c r="AD20"/>
      <c r="AE20"/>
      <c r="AF20"/>
    </row>
    <row r="21" spans="1:32" ht="18.75" customHeight="1">
      <c r="A21" s="174" t="s">
        <v>22</v>
      </c>
      <c r="B21" s="227">
        <v>0</v>
      </c>
      <c r="C21" s="171">
        <v>0</v>
      </c>
      <c r="D21" s="909">
        <v>0</v>
      </c>
      <c r="E21" s="910">
        <v>0</v>
      </c>
      <c r="F21" s="908">
        <f t="shared" si="8"/>
        <v>0</v>
      </c>
      <c r="G21" s="172">
        <f t="shared" si="1"/>
        <v>0</v>
      </c>
      <c r="H21" s="186"/>
      <c r="I21" s="236">
        <v>0</v>
      </c>
      <c r="J21" s="237">
        <v>0</v>
      </c>
      <c r="K21" s="85">
        <f t="shared" si="5"/>
        <v>0</v>
      </c>
      <c r="L21" s="67">
        <f t="shared" si="6"/>
        <v>0</v>
      </c>
      <c r="M21" s="74" t="e">
        <f t="shared" si="7"/>
        <v>#DIV/0!</v>
      </c>
      <c r="AC21"/>
      <c r="AD21"/>
      <c r="AE21"/>
      <c r="AF21"/>
    </row>
    <row r="22" spans="1:32" ht="18.75" customHeight="1">
      <c r="A22" s="174" t="s">
        <v>23</v>
      </c>
      <c r="B22" s="227">
        <v>31065.37</v>
      </c>
      <c r="C22" s="171">
        <v>33065.25</v>
      </c>
      <c r="D22" s="909">
        <v>33523</v>
      </c>
      <c r="E22" s="910">
        <v>1461</v>
      </c>
      <c r="F22" s="908">
        <f t="shared" si="8"/>
        <v>34984</v>
      </c>
      <c r="G22" s="172">
        <f t="shared" si="1"/>
        <v>1918.75</v>
      </c>
      <c r="H22" s="186">
        <f aca="true" t="shared" si="9" ref="H22:H34">+F22/C22</f>
        <v>1.0580291998397109</v>
      </c>
      <c r="I22" s="236">
        <v>35000</v>
      </c>
      <c r="J22" s="237">
        <v>1500</v>
      </c>
      <c r="K22" s="85">
        <f t="shared" si="5"/>
        <v>36500</v>
      </c>
      <c r="L22" s="67">
        <f t="shared" si="6"/>
        <v>1516</v>
      </c>
      <c r="M22" s="74">
        <f t="shared" si="7"/>
        <v>1.0433340955865538</v>
      </c>
      <c r="AC22"/>
      <c r="AD22"/>
      <c r="AE22"/>
      <c r="AF22"/>
    </row>
    <row r="23" spans="1:32" ht="18.75" customHeight="1">
      <c r="A23" s="174" t="s">
        <v>24</v>
      </c>
      <c r="B23" s="227">
        <v>71759.3</v>
      </c>
      <c r="C23" s="171">
        <v>78767.75</v>
      </c>
      <c r="D23" s="909">
        <f>567271-488648</f>
        <v>78623</v>
      </c>
      <c r="E23" s="910">
        <f>2667-2187</f>
        <v>480</v>
      </c>
      <c r="F23" s="908">
        <v>79104</v>
      </c>
      <c r="G23" s="172">
        <f t="shared" si="1"/>
        <v>336.25</v>
      </c>
      <c r="H23" s="186">
        <f t="shared" si="9"/>
        <v>1.0042688790780492</v>
      </c>
      <c r="I23" s="236">
        <v>84051.223</v>
      </c>
      <c r="J23" s="237">
        <v>482.716</v>
      </c>
      <c r="K23" s="85">
        <f t="shared" si="5"/>
        <v>84533.939</v>
      </c>
      <c r="L23" s="67">
        <f t="shared" si="6"/>
        <v>5429.9389999999985</v>
      </c>
      <c r="M23" s="74">
        <f t="shared" si="7"/>
        <v>1.0686430395428803</v>
      </c>
      <c r="AC23"/>
      <c r="AD23"/>
      <c r="AE23"/>
      <c r="AF23"/>
    </row>
    <row r="24" spans="1:32" ht="18.75" customHeight="1">
      <c r="A24" s="174" t="s">
        <v>25</v>
      </c>
      <c r="B24" s="227">
        <v>11855</v>
      </c>
      <c r="C24" s="171">
        <v>12060.23</v>
      </c>
      <c r="D24" s="915">
        <v>13527</v>
      </c>
      <c r="E24" s="910">
        <v>116</v>
      </c>
      <c r="F24" s="908">
        <f t="shared" si="8"/>
        <v>13643</v>
      </c>
      <c r="G24" s="172">
        <f t="shared" si="1"/>
        <v>1582.7700000000004</v>
      </c>
      <c r="H24" s="186">
        <f t="shared" si="9"/>
        <v>1.1312387906366628</v>
      </c>
      <c r="I24" s="236">
        <v>17211.4</v>
      </c>
      <c r="J24" s="237">
        <v>118.6</v>
      </c>
      <c r="K24" s="85">
        <f t="shared" si="5"/>
        <v>17330</v>
      </c>
      <c r="L24" s="67">
        <f t="shared" si="6"/>
        <v>3687</v>
      </c>
      <c r="M24" s="74">
        <f t="shared" si="7"/>
        <v>1.2702484790735176</v>
      </c>
      <c r="AC24"/>
      <c r="AD24"/>
      <c r="AE24"/>
      <c r="AF24"/>
    </row>
    <row r="25" spans="1:32" ht="18.75" customHeight="1">
      <c r="A25" s="174" t="s">
        <v>26</v>
      </c>
      <c r="B25" s="227">
        <v>59361</v>
      </c>
      <c r="C25" s="171">
        <v>66188.41</v>
      </c>
      <c r="D25" s="915">
        <v>64467</v>
      </c>
      <c r="E25" s="910">
        <v>364</v>
      </c>
      <c r="F25" s="908">
        <f t="shared" si="8"/>
        <v>64831</v>
      </c>
      <c r="G25" s="172">
        <f t="shared" si="1"/>
        <v>-1357.4100000000035</v>
      </c>
      <c r="H25" s="186">
        <f t="shared" si="9"/>
        <v>0.9794917267237572</v>
      </c>
      <c r="I25" s="236">
        <v>66229.823</v>
      </c>
      <c r="J25" s="237">
        <v>364.116</v>
      </c>
      <c r="K25" s="85">
        <f t="shared" si="5"/>
        <v>66593.939</v>
      </c>
      <c r="L25" s="67">
        <f t="shared" si="6"/>
        <v>1762.9389999999985</v>
      </c>
      <c r="M25" s="74">
        <f t="shared" si="7"/>
        <v>1.0271928398451358</v>
      </c>
      <c r="AC25"/>
      <c r="AD25"/>
      <c r="AE25"/>
      <c r="AF25"/>
    </row>
    <row r="26" spans="1:32" ht="18.75" customHeight="1">
      <c r="A26" s="188" t="s">
        <v>27</v>
      </c>
      <c r="B26" s="227">
        <v>261963.46</v>
      </c>
      <c r="C26" s="171">
        <v>272417.22</v>
      </c>
      <c r="D26" s="909">
        <v>306590</v>
      </c>
      <c r="E26" s="910">
        <v>426</v>
      </c>
      <c r="F26" s="908">
        <f t="shared" si="8"/>
        <v>307016</v>
      </c>
      <c r="G26" s="172">
        <f t="shared" si="1"/>
        <v>34598.78000000003</v>
      </c>
      <c r="H26" s="186">
        <f t="shared" si="9"/>
        <v>1.1270065820361872</v>
      </c>
      <c r="I26" s="236">
        <v>336198.451</v>
      </c>
      <c r="J26" s="237">
        <v>482.5</v>
      </c>
      <c r="K26" s="85">
        <f t="shared" si="5"/>
        <v>336680.951</v>
      </c>
      <c r="L26" s="67">
        <f t="shared" si="6"/>
        <v>29664.951</v>
      </c>
      <c r="M26" s="74">
        <f t="shared" si="7"/>
        <v>1.096623469135159</v>
      </c>
      <c r="AC26"/>
      <c r="AD26"/>
      <c r="AE26"/>
      <c r="AF26"/>
    </row>
    <row r="27" spans="1:32" ht="18.75" customHeight="1">
      <c r="A27" s="174" t="s">
        <v>28</v>
      </c>
      <c r="B27" s="227">
        <v>191251</v>
      </c>
      <c r="C27" s="171">
        <v>198624.02</v>
      </c>
      <c r="D27" s="915">
        <v>224224</v>
      </c>
      <c r="E27" s="916">
        <v>311</v>
      </c>
      <c r="F27" s="908">
        <f t="shared" si="8"/>
        <v>224535</v>
      </c>
      <c r="G27" s="172">
        <f t="shared" si="1"/>
        <v>25910.98000000001</v>
      </c>
      <c r="H27" s="186">
        <f t="shared" si="9"/>
        <v>1.130452399463066</v>
      </c>
      <c r="I27" s="277">
        <v>246774.855</v>
      </c>
      <c r="J27" s="6">
        <v>350</v>
      </c>
      <c r="K27" s="85">
        <f t="shared" si="5"/>
        <v>247124.855</v>
      </c>
      <c r="L27" s="67">
        <f t="shared" si="6"/>
        <v>22589.85500000001</v>
      </c>
      <c r="M27" s="74">
        <f t="shared" si="7"/>
        <v>1.1006072772618969</v>
      </c>
      <c r="AC27"/>
      <c r="AD27"/>
      <c r="AE27"/>
      <c r="AF27"/>
    </row>
    <row r="28" spans="1:32" ht="18.75" customHeight="1">
      <c r="A28" s="188" t="s">
        <v>29</v>
      </c>
      <c r="B28" s="227">
        <v>189783</v>
      </c>
      <c r="C28" s="171">
        <v>197075</v>
      </c>
      <c r="D28" s="909">
        <v>222145</v>
      </c>
      <c r="E28" s="910">
        <v>311</v>
      </c>
      <c r="F28" s="908">
        <f t="shared" si="8"/>
        <v>222456</v>
      </c>
      <c r="G28" s="172">
        <f t="shared" si="1"/>
        <v>25381</v>
      </c>
      <c r="H28" s="186">
        <f t="shared" si="9"/>
        <v>1.1287885322846631</v>
      </c>
      <c r="I28" s="277">
        <v>243674.855</v>
      </c>
      <c r="J28" s="6">
        <v>350</v>
      </c>
      <c r="K28" s="85">
        <f t="shared" si="5"/>
        <v>244024.855</v>
      </c>
      <c r="L28" s="67">
        <f t="shared" si="6"/>
        <v>21568.85500000001</v>
      </c>
      <c r="M28" s="74">
        <f t="shared" si="7"/>
        <v>1.096957847844068</v>
      </c>
      <c r="AC28"/>
      <c r="AD28"/>
      <c r="AE28"/>
      <c r="AF28"/>
    </row>
    <row r="29" spans="1:32" ht="18.75" customHeight="1">
      <c r="A29" s="174" t="s">
        <v>30</v>
      </c>
      <c r="B29" s="227">
        <v>1378</v>
      </c>
      <c r="C29" s="171">
        <v>1549</v>
      </c>
      <c r="D29" s="909">
        <f>+D27-D28</f>
        <v>2079</v>
      </c>
      <c r="E29" s="910"/>
      <c r="F29" s="908">
        <f t="shared" si="8"/>
        <v>2079</v>
      </c>
      <c r="G29" s="172">
        <f t="shared" si="1"/>
        <v>530</v>
      </c>
      <c r="H29" s="186">
        <f t="shared" si="9"/>
        <v>1.342156229825694</v>
      </c>
      <c r="I29" s="236">
        <v>3100</v>
      </c>
      <c r="J29" s="237">
        <v>0</v>
      </c>
      <c r="K29" s="85">
        <f t="shared" si="5"/>
        <v>3100</v>
      </c>
      <c r="L29" s="67">
        <f t="shared" si="6"/>
        <v>1021</v>
      </c>
      <c r="M29" s="74">
        <f t="shared" si="7"/>
        <v>1.491101491101491</v>
      </c>
      <c r="AC29"/>
      <c r="AD29"/>
      <c r="AE29"/>
      <c r="AF29"/>
    </row>
    <row r="30" spans="1:32" ht="18.75" customHeight="1">
      <c r="A30" s="174" t="s">
        <v>31</v>
      </c>
      <c r="B30" s="227">
        <v>70711.98</v>
      </c>
      <c r="C30" s="171">
        <v>73792.88</v>
      </c>
      <c r="D30" s="909">
        <v>82365</v>
      </c>
      <c r="E30" s="910">
        <f>+E26-E27</f>
        <v>115</v>
      </c>
      <c r="F30" s="908">
        <f t="shared" si="8"/>
        <v>82480</v>
      </c>
      <c r="G30" s="172">
        <f t="shared" si="1"/>
        <v>8687.119999999995</v>
      </c>
      <c r="H30" s="186">
        <f t="shared" si="9"/>
        <v>1.1177230106752847</v>
      </c>
      <c r="I30" s="236">
        <v>89423.596</v>
      </c>
      <c r="J30" s="237">
        <v>132.5</v>
      </c>
      <c r="K30" s="85">
        <f t="shared" si="5"/>
        <v>89556.096</v>
      </c>
      <c r="L30" s="67">
        <f t="shared" si="6"/>
        <v>7076.096000000005</v>
      </c>
      <c r="M30" s="74">
        <f t="shared" si="7"/>
        <v>1.0857916585838991</v>
      </c>
      <c r="AC30"/>
      <c r="AD30"/>
      <c r="AE30"/>
      <c r="AF30"/>
    </row>
    <row r="31" spans="1:32" ht="18.75" customHeight="1">
      <c r="A31" s="188" t="s">
        <v>32</v>
      </c>
      <c r="B31" s="227">
        <v>0.89</v>
      </c>
      <c r="C31" s="171">
        <v>0.77</v>
      </c>
      <c r="D31" s="909">
        <v>48</v>
      </c>
      <c r="E31" s="910">
        <v>0</v>
      </c>
      <c r="F31" s="908">
        <f t="shared" si="8"/>
        <v>48</v>
      </c>
      <c r="G31" s="172">
        <f t="shared" si="1"/>
        <v>47.23</v>
      </c>
      <c r="H31" s="186">
        <f t="shared" si="9"/>
        <v>62.33766233766234</v>
      </c>
      <c r="I31" s="236">
        <v>49</v>
      </c>
      <c r="J31" s="237">
        <v>0</v>
      </c>
      <c r="K31" s="85">
        <f t="shared" si="5"/>
        <v>49</v>
      </c>
      <c r="L31" s="67">
        <f t="shared" si="6"/>
        <v>1</v>
      </c>
      <c r="M31" s="74">
        <f t="shared" si="7"/>
        <v>1.0208333333333333</v>
      </c>
      <c r="AC31"/>
      <c r="AD31"/>
      <c r="AE31"/>
      <c r="AF31"/>
    </row>
    <row r="32" spans="1:32" ht="18.75" customHeight="1">
      <c r="A32" s="188" t="s">
        <v>33</v>
      </c>
      <c r="B32" s="227">
        <v>5038.34</v>
      </c>
      <c r="C32" s="171">
        <v>2273.28</v>
      </c>
      <c r="D32" s="909">
        <v>2934</v>
      </c>
      <c r="E32" s="910">
        <v>13</v>
      </c>
      <c r="F32" s="908">
        <f t="shared" si="8"/>
        <v>2947</v>
      </c>
      <c r="G32" s="172">
        <f t="shared" si="1"/>
        <v>673.7199999999998</v>
      </c>
      <c r="H32" s="186">
        <f t="shared" si="9"/>
        <v>1.296364724099099</v>
      </c>
      <c r="I32" s="236">
        <v>3017</v>
      </c>
      <c r="J32" s="237">
        <v>13</v>
      </c>
      <c r="K32" s="85">
        <f t="shared" si="5"/>
        <v>3030</v>
      </c>
      <c r="L32" s="67">
        <f t="shared" si="6"/>
        <v>83</v>
      </c>
      <c r="M32" s="74">
        <f t="shared" si="7"/>
        <v>1.0281642348150661</v>
      </c>
      <c r="AC32"/>
      <c r="AD32"/>
      <c r="AE32"/>
      <c r="AF32"/>
    </row>
    <row r="33" spans="1:32" ht="18.75" customHeight="1">
      <c r="A33" s="174" t="s">
        <v>34</v>
      </c>
      <c r="B33" s="227">
        <v>3359.6</v>
      </c>
      <c r="C33" s="171">
        <v>2303.56</v>
      </c>
      <c r="D33" s="915">
        <v>451</v>
      </c>
      <c r="E33" s="910">
        <v>0</v>
      </c>
      <c r="F33" s="908">
        <f t="shared" si="8"/>
        <v>451</v>
      </c>
      <c r="G33" s="172">
        <f t="shared" si="1"/>
        <v>-1852.56</v>
      </c>
      <c r="H33" s="186">
        <f t="shared" si="9"/>
        <v>0.19578391706749554</v>
      </c>
      <c r="I33" s="236">
        <v>6683</v>
      </c>
      <c r="J33" s="237">
        <v>0</v>
      </c>
      <c r="K33" s="85">
        <f t="shared" si="5"/>
        <v>6683</v>
      </c>
      <c r="L33" s="67">
        <f t="shared" si="6"/>
        <v>6232</v>
      </c>
      <c r="M33" s="74">
        <f t="shared" si="7"/>
        <v>14.818181818181818</v>
      </c>
      <c r="AC33"/>
      <c r="AD33"/>
      <c r="AE33"/>
      <c r="AF33"/>
    </row>
    <row r="34" spans="1:32" ht="18.75" customHeight="1">
      <c r="A34" s="174" t="s">
        <v>35</v>
      </c>
      <c r="B34" s="227">
        <v>3360</v>
      </c>
      <c r="C34" s="171">
        <v>2303.56</v>
      </c>
      <c r="D34" s="915">
        <v>451</v>
      </c>
      <c r="E34" s="910">
        <v>0</v>
      </c>
      <c r="F34" s="908">
        <f t="shared" si="8"/>
        <v>451</v>
      </c>
      <c r="G34" s="172">
        <f t="shared" si="1"/>
        <v>-1852.56</v>
      </c>
      <c r="H34" s="186">
        <f t="shared" si="9"/>
        <v>0.19578391706749554</v>
      </c>
      <c r="I34" s="230">
        <v>6683</v>
      </c>
      <c r="J34" s="284">
        <v>0</v>
      </c>
      <c r="K34" s="85">
        <f t="shared" si="5"/>
        <v>6683</v>
      </c>
      <c r="L34" s="67">
        <f t="shared" si="6"/>
        <v>6232</v>
      </c>
      <c r="M34" s="74">
        <f t="shared" si="7"/>
        <v>14.818181818181818</v>
      </c>
      <c r="AC34"/>
      <c r="AD34"/>
      <c r="AE34"/>
      <c r="AF34"/>
    </row>
    <row r="35" spans="1:32" ht="18.75" customHeight="1" thickBot="1">
      <c r="A35" s="189" t="s">
        <v>36</v>
      </c>
      <c r="B35" s="239">
        <v>1242.08</v>
      </c>
      <c r="C35" s="190">
        <v>510.82</v>
      </c>
      <c r="D35" s="917">
        <v>1494</v>
      </c>
      <c r="E35" s="912">
        <v>0</v>
      </c>
      <c r="F35" s="908">
        <f>+D35+E35</f>
        <v>1494</v>
      </c>
      <c r="G35" s="172"/>
      <c r="H35" s="186"/>
      <c r="I35" s="238">
        <v>0</v>
      </c>
      <c r="J35" s="231">
        <v>0</v>
      </c>
      <c r="K35" s="85"/>
      <c r="L35" s="67"/>
      <c r="M35" s="74"/>
      <c r="AC35"/>
      <c r="AD35"/>
      <c r="AE35"/>
      <c r="AF35"/>
    </row>
    <row r="36" spans="1:32" ht="20.25" customHeight="1" thickBot="1">
      <c r="A36" s="182" t="s">
        <v>37</v>
      </c>
      <c r="B36" s="10">
        <v>502001.68</v>
      </c>
      <c r="C36" s="191">
        <v>526004.71</v>
      </c>
      <c r="D36" s="918">
        <f>SUM(D18+D20+D21+D22+D23+D26+D31+D32+D33+D35)</f>
        <v>567271</v>
      </c>
      <c r="E36" s="919">
        <f>SUM(E18+E20+E21+E22+E23+E26+E31+E32+E33+E35)</f>
        <v>2667</v>
      </c>
      <c r="F36" s="920">
        <v>569937.76</v>
      </c>
      <c r="G36" s="184">
        <f>+F36-C36</f>
        <v>43933.05000000005</v>
      </c>
      <c r="H36" s="185">
        <f>+F36/C36</f>
        <v>1.0835221608566965</v>
      </c>
      <c r="I36" s="8">
        <f>SUM(I18+I20+I21+I22+I23+I26+I31+I32+I33+I35)</f>
        <v>621561.6159999999</v>
      </c>
      <c r="J36" s="24">
        <f>SUM(J18+J20+J21+J22+J23+J26+J31+J32+J33+J35)</f>
        <v>2787.416</v>
      </c>
      <c r="K36" s="23">
        <f>SUM(K18+K20+K21+K22+K23+K26+K31+K32+K33+K35)</f>
        <v>624349.032</v>
      </c>
      <c r="L36" s="72">
        <f t="shared" si="6"/>
        <v>54411.272</v>
      </c>
      <c r="M36" s="73">
        <f t="shared" si="7"/>
        <v>1.0954687964524408</v>
      </c>
      <c r="AC36"/>
      <c r="AD36"/>
      <c r="AE36"/>
      <c r="AF36"/>
    </row>
    <row r="37" spans="1:32" ht="18.75" customHeight="1" thickBot="1">
      <c r="A37" s="182" t="s">
        <v>38</v>
      </c>
      <c r="B37" s="8">
        <v>269</v>
      </c>
      <c r="C37" s="129">
        <v>4.14000000001397</v>
      </c>
      <c r="D37" s="1674">
        <f>+F17-F36</f>
        <v>1.6099999999860302</v>
      </c>
      <c r="E37" s="1675"/>
      <c r="F37" s="1676"/>
      <c r="G37" s="192"/>
      <c r="H37" s="193"/>
      <c r="I37" s="1290">
        <f>+K17-K36</f>
        <v>-38825.03200000001</v>
      </c>
      <c r="J37" s="1671">
        <v>647.8363636363636</v>
      </c>
      <c r="K37" s="1672">
        <v>-9900.402006363729</v>
      </c>
      <c r="L37" s="142"/>
      <c r="AC37"/>
      <c r="AD37"/>
      <c r="AE37"/>
      <c r="AF37"/>
    </row>
    <row r="38" spans="1:32" ht="19.5" customHeight="1" thickBot="1">
      <c r="A38" s="13" t="s">
        <v>39</v>
      </c>
      <c r="B38" s="8">
        <v>-52907.81</v>
      </c>
      <c r="C38" s="129">
        <f>+B39+C37</f>
        <v>-52634.55000000005</v>
      </c>
      <c r="D38"/>
      <c r="E38"/>
      <c r="F38" s="444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3.5" customHeight="1" thickBot="1">
      <c r="A39" s="14" t="s">
        <v>40</v>
      </c>
      <c r="B39" s="955">
        <v>-52638.69000000006</v>
      </c>
      <c r="C39" s="866">
        <f>+C38+C37</f>
        <v>-52630.41000000003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ht="7.5" customHeight="1">
      <c r="A40" s="194"/>
    </row>
    <row r="43" ht="13.5" thickBot="1"/>
    <row r="44" spans="1:34" ht="17.25" customHeight="1" thickBot="1">
      <c r="A44" s="1673" t="s">
        <v>427</v>
      </c>
      <c r="B44" s="1339"/>
      <c r="C44" s="1339"/>
      <c r="D44" s="1339"/>
      <c r="E44" s="1339"/>
      <c r="F44" s="1339"/>
      <c r="G44" s="1339"/>
      <c r="H44" s="1339"/>
      <c r="I44" s="1339"/>
      <c r="J44" s="1339"/>
      <c r="K44" s="1340"/>
      <c r="L44"/>
      <c r="M44"/>
      <c r="N44"/>
      <c r="AG44" s="142"/>
      <c r="AH44" s="142"/>
    </row>
    <row r="45" spans="1:32" s="15" customFormat="1" ht="22.5" customHeight="1">
      <c r="A45" s="1330" t="s">
        <v>42</v>
      </c>
      <c r="B45" s="1596" t="s">
        <v>145</v>
      </c>
      <c r="C45" s="1596"/>
      <c r="D45" s="1596"/>
      <c r="E45" s="1596"/>
      <c r="F45" s="1333"/>
      <c r="G45" s="1348" t="s">
        <v>146</v>
      </c>
      <c r="H45" s="1425"/>
      <c r="I45" s="1425"/>
      <c r="J45" s="1425"/>
      <c r="K45" s="1329"/>
      <c r="L45"/>
      <c r="M45" s="187"/>
      <c r="N45" s="187"/>
      <c r="O45"/>
      <c r="P45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</row>
    <row r="46" spans="1:32" ht="13.5" thickBot="1">
      <c r="A46" s="1269"/>
      <c r="B46" s="18">
        <v>2004</v>
      </c>
      <c r="C46" s="16">
        <v>2005</v>
      </c>
      <c r="D46" s="16">
        <v>2006</v>
      </c>
      <c r="E46" s="17">
        <v>2007</v>
      </c>
      <c r="F46" s="632" t="s">
        <v>7</v>
      </c>
      <c r="G46" s="18">
        <v>2004</v>
      </c>
      <c r="H46" s="16">
        <v>2005</v>
      </c>
      <c r="I46" s="16">
        <v>2006</v>
      </c>
      <c r="J46" s="17">
        <v>2007</v>
      </c>
      <c r="K46" s="632" t="s">
        <v>7</v>
      </c>
      <c r="L46" s="142"/>
      <c r="O46"/>
      <c r="P46"/>
      <c r="AE46"/>
      <c r="AF46"/>
    </row>
    <row r="47" spans="1:30" s="15" customFormat="1" ht="25.5" customHeight="1">
      <c r="A47" s="240" t="s">
        <v>139</v>
      </c>
      <c r="B47" s="45">
        <v>1657000</v>
      </c>
      <c r="C47" s="19">
        <v>1680000</v>
      </c>
      <c r="D47" s="19">
        <v>1981700</v>
      </c>
      <c r="E47" s="656">
        <v>1557000</v>
      </c>
      <c r="F47" s="227">
        <f>+E47-D47</f>
        <v>-424700</v>
      </c>
      <c r="G47" s="20">
        <v>0</v>
      </c>
      <c r="H47" s="21">
        <v>0</v>
      </c>
      <c r="I47" s="21">
        <v>0</v>
      </c>
      <c r="J47" s="656"/>
      <c r="K47" s="634"/>
      <c r="L47" s="187"/>
      <c r="M47" s="187"/>
      <c r="N47" s="187"/>
      <c r="O47"/>
      <c r="P4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</row>
    <row r="48" spans="1:30" s="15" customFormat="1" ht="21" customHeight="1">
      <c r="A48" s="242" t="s">
        <v>140</v>
      </c>
      <c r="B48" s="20">
        <v>1232000</v>
      </c>
      <c r="C48" s="19">
        <v>0</v>
      </c>
      <c r="D48" s="19">
        <v>0</v>
      </c>
      <c r="E48" s="656"/>
      <c r="F48" s="227"/>
      <c r="G48" s="20">
        <v>21068000</v>
      </c>
      <c r="H48" s="21">
        <v>24400000</v>
      </c>
      <c r="I48" s="21">
        <f>+B61</f>
        <v>24400000</v>
      </c>
      <c r="J48" s="656">
        <v>24400000</v>
      </c>
      <c r="K48" s="227">
        <f>+J48-I48</f>
        <v>0</v>
      </c>
      <c r="L48" s="187"/>
      <c r="M48" s="187"/>
      <c r="N48" s="187"/>
      <c r="O48"/>
      <c r="P48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</row>
    <row r="49" spans="1:30" s="15" customFormat="1" ht="21" customHeight="1">
      <c r="A49" s="242" t="s">
        <v>141</v>
      </c>
      <c r="B49" s="20">
        <v>775240.42</v>
      </c>
      <c r="C49" s="19">
        <v>0</v>
      </c>
      <c r="D49" s="19">
        <v>0</v>
      </c>
      <c r="E49" s="656"/>
      <c r="F49" s="227"/>
      <c r="G49" s="20">
        <v>1690747.04</v>
      </c>
      <c r="H49" s="21">
        <v>1564896.93</v>
      </c>
      <c r="I49" s="21">
        <v>894800.15</v>
      </c>
      <c r="J49" s="656"/>
      <c r="K49" s="634"/>
      <c r="L49" s="187"/>
      <c r="M49" s="187"/>
      <c r="N49" s="187"/>
      <c r="O49"/>
      <c r="P49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</row>
    <row r="50" spans="1:30" s="15" customFormat="1" ht="21" customHeight="1">
      <c r="A50" s="242" t="s">
        <v>142</v>
      </c>
      <c r="B50" s="20">
        <v>68651</v>
      </c>
      <c r="C50" s="19"/>
      <c r="D50" s="19">
        <v>0</v>
      </c>
      <c r="E50" s="656"/>
      <c r="F50" s="227"/>
      <c r="G50" s="20">
        <v>83322</v>
      </c>
      <c r="H50" s="21">
        <v>124412.1</v>
      </c>
      <c r="I50" s="21">
        <v>60773</v>
      </c>
      <c r="J50" s="656"/>
      <c r="K50" s="634"/>
      <c r="L50" s="187"/>
      <c r="M50" s="187"/>
      <c r="N50" s="187"/>
      <c r="O50"/>
      <c r="P50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</row>
    <row r="51" spans="1:30" s="15" customFormat="1" ht="21" customHeight="1">
      <c r="A51" s="756" t="s">
        <v>49</v>
      </c>
      <c r="B51" s="22"/>
      <c r="C51" s="19">
        <v>0</v>
      </c>
      <c r="D51" s="19">
        <v>0</v>
      </c>
      <c r="E51" s="656"/>
      <c r="F51" s="227"/>
      <c r="G51" s="22">
        <v>1575000</v>
      </c>
      <c r="H51" s="243"/>
      <c r="I51" s="21">
        <v>6000000</v>
      </c>
      <c r="J51" s="656"/>
      <c r="K51" s="634"/>
      <c r="L51" s="187"/>
      <c r="M51" s="187"/>
      <c r="N51" s="187"/>
      <c r="O51"/>
      <c r="P51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</row>
    <row r="52" spans="1:30" s="15" customFormat="1" ht="21" customHeight="1">
      <c r="A52" s="225" t="s">
        <v>468</v>
      </c>
      <c r="B52" s="20"/>
      <c r="C52" s="19"/>
      <c r="D52" s="19">
        <v>0</v>
      </c>
      <c r="E52" s="656"/>
      <c r="F52" s="227"/>
      <c r="G52" s="20"/>
      <c r="H52" s="21">
        <v>7743000</v>
      </c>
      <c r="I52" s="21">
        <v>0</v>
      </c>
      <c r="J52" s="656">
        <f>1557000</f>
        <v>1557000</v>
      </c>
      <c r="K52" s="634"/>
      <c r="L52" s="187"/>
      <c r="M52" s="187"/>
      <c r="N52" s="187"/>
      <c r="O52"/>
      <c r="P52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</row>
    <row r="53" spans="1:30" s="15" customFormat="1" ht="21" customHeight="1">
      <c r="A53" s="225" t="s">
        <v>469</v>
      </c>
      <c r="B53" s="20"/>
      <c r="C53" s="19">
        <v>0</v>
      </c>
      <c r="D53" s="19">
        <v>0</v>
      </c>
      <c r="E53" s="656"/>
      <c r="F53" s="227"/>
      <c r="G53" s="20"/>
      <c r="H53" s="21">
        <v>38425000</v>
      </c>
      <c r="I53" s="21">
        <v>7533000</v>
      </c>
      <c r="J53" s="656">
        <v>15542000</v>
      </c>
      <c r="K53" s="227">
        <f>+J53-I53</f>
        <v>8009000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</row>
    <row r="54" spans="1:30" s="15" customFormat="1" ht="21" customHeight="1" thickBot="1">
      <c r="A54" s="258" t="s">
        <v>185</v>
      </c>
      <c r="B54" s="22">
        <v>53143</v>
      </c>
      <c r="C54" s="259">
        <v>42857</v>
      </c>
      <c r="D54" s="259">
        <v>0</v>
      </c>
      <c r="E54" s="656"/>
      <c r="F54" s="239"/>
      <c r="G54" s="22"/>
      <c r="H54" s="243"/>
      <c r="I54" s="21">
        <v>2122000</v>
      </c>
      <c r="J54" s="656"/>
      <c r="K54" s="634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</row>
    <row r="55" spans="1:30" s="15" customFormat="1" ht="18.75" customHeight="1" thickBot="1">
      <c r="A55" s="46" t="s">
        <v>54</v>
      </c>
      <c r="B55" s="11">
        <f>SUM(B47:B54)</f>
        <v>3786034.42</v>
      </c>
      <c r="C55" s="24">
        <f>SUM(C47:C54)</f>
        <v>1722857</v>
      </c>
      <c r="D55" s="24">
        <f>SUM(D47:D54)</f>
        <v>1981700</v>
      </c>
      <c r="E55" s="24">
        <f>SUM(E47:E54)</f>
        <v>1557000</v>
      </c>
      <c r="F55" s="10">
        <f>+E55-D55</f>
        <v>-424700</v>
      </c>
      <c r="G55" s="11">
        <f>SUM(G47:G54)</f>
        <v>24417069.04</v>
      </c>
      <c r="H55" s="24">
        <f>SUM(H47:H54)</f>
        <v>72257309.03</v>
      </c>
      <c r="I55" s="24">
        <f>SUM(I47:I54)</f>
        <v>41010573.15</v>
      </c>
      <c r="J55" s="24">
        <f>SUM(J47:J54)</f>
        <v>41499000</v>
      </c>
      <c r="K55" s="10">
        <f>+J55-I55</f>
        <v>488426.8500000015</v>
      </c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</row>
    <row r="56" spans="1:32" ht="10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3.5" thickBo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11" s="142" customFormat="1" ht="18" customHeight="1">
      <c r="A58" s="1561" t="s">
        <v>44</v>
      </c>
      <c r="B58" s="1183" t="s">
        <v>41</v>
      </c>
      <c r="C58" s="1193"/>
      <c r="D58" s="1193"/>
      <c r="E58" s="1193"/>
      <c r="F58" s="1193"/>
      <c r="G58" s="1349"/>
      <c r="H58" s="1183" t="s">
        <v>144</v>
      </c>
      <c r="I58" s="1599"/>
      <c r="J58" s="1599"/>
      <c r="K58" s="1600"/>
    </row>
    <row r="59" spans="1:11" s="142" customFormat="1" ht="25.5" customHeight="1" thickBot="1">
      <c r="A59" s="1597"/>
      <c r="B59" s="1379" t="s">
        <v>45</v>
      </c>
      <c r="C59" s="1380"/>
      <c r="D59" s="1381" t="s">
        <v>46</v>
      </c>
      <c r="E59" s="1380"/>
      <c r="F59" s="1381" t="s">
        <v>47</v>
      </c>
      <c r="G59" s="1382"/>
      <c r="H59" s="158" t="s">
        <v>50</v>
      </c>
      <c r="I59" s="156" t="s">
        <v>52</v>
      </c>
      <c r="J59" s="157" t="s">
        <v>51</v>
      </c>
      <c r="K59" s="114" t="s">
        <v>53</v>
      </c>
    </row>
    <row r="60" spans="1:11" s="142" customFormat="1" ht="18" customHeight="1">
      <c r="A60" s="159">
        <v>2004</v>
      </c>
      <c r="B60" s="1598">
        <f>SUM(D60:G60)</f>
        <v>22300000</v>
      </c>
      <c r="C60" s="1452"/>
      <c r="D60" s="1451">
        <v>15000000</v>
      </c>
      <c r="E60" s="1452"/>
      <c r="F60" s="1451">
        <v>7300000</v>
      </c>
      <c r="G60" s="1603"/>
      <c r="H60" s="153">
        <f>+G48/B60</f>
        <v>0.9447533632286995</v>
      </c>
      <c r="I60" s="154">
        <v>0.2238</v>
      </c>
      <c r="J60" s="154">
        <v>0.7209</v>
      </c>
      <c r="K60" s="155">
        <f>+B48/B60</f>
        <v>0.05524663677130045</v>
      </c>
    </row>
    <row r="61" spans="1:11" s="142" customFormat="1" ht="18" customHeight="1">
      <c r="A61" s="160">
        <v>2005</v>
      </c>
      <c r="B61" s="1588">
        <f>SUM(D61:G61)</f>
        <v>24400000</v>
      </c>
      <c r="C61" s="1447"/>
      <c r="D61" s="1446">
        <v>17000000</v>
      </c>
      <c r="E61" s="1447"/>
      <c r="F61" s="1446">
        <v>7400000</v>
      </c>
      <c r="G61" s="1589"/>
      <c r="H61" s="143">
        <f>+H48/B61</f>
        <v>1</v>
      </c>
      <c r="I61" s="144">
        <f>11966957.59/B61</f>
        <v>0.49044908155737704</v>
      </c>
      <c r="J61" s="144">
        <f>12433042.41/B61</f>
        <v>0.5095509184426229</v>
      </c>
      <c r="K61" s="145">
        <v>0</v>
      </c>
    </row>
    <row r="62" spans="1:11" s="142" customFormat="1" ht="18" customHeight="1">
      <c r="A62" s="160">
        <v>2006</v>
      </c>
      <c r="B62" s="1588">
        <f>SUM(D62:G62)</f>
        <v>24400000</v>
      </c>
      <c r="C62" s="1447"/>
      <c r="D62" s="1446">
        <v>17000000</v>
      </c>
      <c r="E62" s="1447"/>
      <c r="F62" s="1446">
        <v>7400000</v>
      </c>
      <c r="G62" s="1589"/>
      <c r="H62" s="143">
        <f>24400000/B62</f>
        <v>1</v>
      </c>
      <c r="I62" s="922">
        <v>0.4575</v>
      </c>
      <c r="J62" s="922">
        <v>0.5425</v>
      </c>
      <c r="K62" s="145">
        <v>0</v>
      </c>
    </row>
    <row r="63" spans="1:11" s="142" customFormat="1" ht="18" customHeight="1" thickBot="1">
      <c r="A63" s="161">
        <v>2007</v>
      </c>
      <c r="B63" s="1590">
        <f>+B62</f>
        <v>24400000</v>
      </c>
      <c r="C63" s="1468"/>
      <c r="D63" s="1467">
        <f>+D62</f>
        <v>17000000</v>
      </c>
      <c r="E63" s="1468"/>
      <c r="F63" s="1467">
        <f>+F62</f>
        <v>7400000</v>
      </c>
      <c r="G63" s="1585"/>
      <c r="H63" s="150">
        <f>+D100/B63</f>
        <v>1</v>
      </c>
      <c r="I63" s="151">
        <f>+D83/B63</f>
        <v>0.24379641393442622</v>
      </c>
      <c r="J63" s="151">
        <f>+D98/B63</f>
        <v>0.7562035860655738</v>
      </c>
      <c r="K63" s="152">
        <v>0</v>
      </c>
    </row>
    <row r="64" spans="1:3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6.5" thickBot="1">
      <c r="A65" s="102" t="s">
        <v>179</v>
      </c>
      <c r="B65" s="79"/>
      <c r="C65" s="79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3.5" thickBot="1">
      <c r="A66" s="66" t="s">
        <v>149</v>
      </c>
      <c r="B66" s="60"/>
      <c r="C66" s="6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8" customHeight="1">
      <c r="A67" s="1449" t="s">
        <v>129</v>
      </c>
      <c r="B67" s="1450"/>
      <c r="C67" s="395">
        <f>+I16</f>
        <v>1557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8" customHeight="1">
      <c r="A68" s="1419" t="s">
        <v>43</v>
      </c>
      <c r="B68" s="1420"/>
      <c r="C68" s="396">
        <f>+J55/1000</f>
        <v>41499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8" customHeight="1" thickBot="1">
      <c r="A69" s="1421" t="s">
        <v>130</v>
      </c>
      <c r="B69" s="1422"/>
      <c r="C69" s="1159">
        <f>+I28</f>
        <v>243674.855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3:34" ht="12.75">
      <c r="M70" s="162"/>
      <c r="N70" s="162"/>
      <c r="AG70" s="142"/>
      <c r="AH70" s="142"/>
    </row>
    <row r="71" spans="1:32" ht="15" customHeight="1" thickBot="1">
      <c r="A71" s="102" t="s">
        <v>217</v>
      </c>
      <c r="B71"/>
      <c r="C71"/>
      <c r="D71"/>
      <c r="E71"/>
      <c r="F71" s="30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35.25" customHeight="1">
      <c r="A72" s="1666" t="s">
        <v>482</v>
      </c>
      <c r="B72" s="1248" t="s">
        <v>483</v>
      </c>
      <c r="C72" s="1668"/>
      <c r="D72" s="1384" t="s">
        <v>484</v>
      </c>
      <c r="E72" s="1384"/>
      <c r="F72" s="1248" t="s">
        <v>485</v>
      </c>
      <c r="G72" s="738" t="s">
        <v>501</v>
      </c>
      <c r="H72" s="1071" t="s">
        <v>502</v>
      </c>
      <c r="I72" s="1086" t="s">
        <v>486</v>
      </c>
      <c r="J72" s="1348" t="s">
        <v>644</v>
      </c>
      <c r="K72" s="1670"/>
      <c r="L72" s="14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23.25" customHeight="1" thickBot="1">
      <c r="A73" s="1667"/>
      <c r="B73" s="1669"/>
      <c r="C73" s="1669"/>
      <c r="D73" s="1665" t="s">
        <v>58</v>
      </c>
      <c r="E73" s="1665"/>
      <c r="F73" s="1381"/>
      <c r="G73" s="112" t="s">
        <v>500</v>
      </c>
      <c r="H73" s="113" t="s">
        <v>325</v>
      </c>
      <c r="I73" s="1087" t="s">
        <v>60</v>
      </c>
      <c r="J73" s="47" t="s">
        <v>59</v>
      </c>
      <c r="K73" s="114" t="s">
        <v>196</v>
      </c>
      <c r="L73" s="142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11" s="398" customFormat="1" ht="21.75" customHeight="1">
      <c r="A74" s="855" t="s">
        <v>487</v>
      </c>
      <c r="B74" s="1625">
        <v>2261000</v>
      </c>
      <c r="C74" s="1626"/>
      <c r="D74" s="1625"/>
      <c r="E74" s="1626"/>
      <c r="F74" s="751"/>
      <c r="G74" s="751"/>
      <c r="H74" s="1090"/>
      <c r="I74" s="1093">
        <f>+D74+G74+H74</f>
        <v>0</v>
      </c>
      <c r="J74" s="1078"/>
      <c r="K74" s="752"/>
    </row>
    <row r="75" spans="1:11" s="398" customFormat="1" ht="21.75" customHeight="1">
      <c r="A75" s="856" t="s">
        <v>245</v>
      </c>
      <c r="B75" s="1627">
        <v>13046515.72</v>
      </c>
      <c r="C75" s="1628"/>
      <c r="D75" s="1627">
        <v>5086182.5</v>
      </c>
      <c r="E75" s="1628"/>
      <c r="F75" s="1094">
        <v>3000000</v>
      </c>
      <c r="G75" s="1094"/>
      <c r="H75" s="1095">
        <v>15542000</v>
      </c>
      <c r="I75" s="1093">
        <f aca="true" t="shared" si="10" ref="I75:I82">+D75+G75+H75</f>
        <v>20628182.5</v>
      </c>
      <c r="J75" s="1096">
        <v>734502.57</v>
      </c>
      <c r="K75" s="1097">
        <v>3840</v>
      </c>
    </row>
    <row r="76" spans="1:11" s="246" customFormat="1" ht="21.75" customHeight="1">
      <c r="A76" s="856" t="s">
        <v>503</v>
      </c>
      <c r="B76" s="1627"/>
      <c r="C76" s="1628"/>
      <c r="D76" s="1627">
        <v>155890</v>
      </c>
      <c r="E76" s="1628"/>
      <c r="F76" s="750"/>
      <c r="G76" s="750"/>
      <c r="H76" s="1084"/>
      <c r="I76" s="1093">
        <f t="shared" si="10"/>
        <v>155890</v>
      </c>
      <c r="J76" s="1079"/>
      <c r="K76" s="749"/>
    </row>
    <row r="77" spans="1:11" s="246" customFormat="1" ht="21.75" customHeight="1">
      <c r="A77" s="856" t="s">
        <v>504</v>
      </c>
      <c r="B77" s="1627"/>
      <c r="C77" s="1628"/>
      <c r="D77" s="1627">
        <v>45000</v>
      </c>
      <c r="E77" s="1628"/>
      <c r="F77" s="750"/>
      <c r="G77" s="750"/>
      <c r="H77" s="1084"/>
      <c r="I77" s="1093">
        <f t="shared" si="10"/>
        <v>45000</v>
      </c>
      <c r="J77" s="1079"/>
      <c r="K77" s="749"/>
    </row>
    <row r="78" spans="1:11" s="246" customFormat="1" ht="21.75" customHeight="1">
      <c r="A78" s="856" t="s">
        <v>505</v>
      </c>
      <c r="B78" s="1627"/>
      <c r="C78" s="1628"/>
      <c r="D78" s="1627">
        <v>47600</v>
      </c>
      <c r="E78" s="1628"/>
      <c r="F78" s="750"/>
      <c r="G78" s="750"/>
      <c r="H78" s="1084"/>
      <c r="I78" s="1093">
        <f t="shared" si="10"/>
        <v>47600</v>
      </c>
      <c r="J78" s="1079"/>
      <c r="K78" s="749"/>
    </row>
    <row r="79" spans="1:11" s="246" customFormat="1" ht="21.75" customHeight="1">
      <c r="A79" s="921" t="s">
        <v>540</v>
      </c>
      <c r="B79" s="1627"/>
      <c r="C79" s="1628"/>
      <c r="D79" s="1627">
        <v>273000</v>
      </c>
      <c r="E79" s="1628"/>
      <c r="F79" s="956"/>
      <c r="G79" s="956"/>
      <c r="H79" s="1091"/>
      <c r="I79" s="1093">
        <f t="shared" si="10"/>
        <v>273000</v>
      </c>
      <c r="J79" s="1080"/>
      <c r="K79" s="957"/>
    </row>
    <row r="80" spans="1:11" s="246" customFormat="1" ht="21.75" customHeight="1">
      <c r="A80" s="958" t="s">
        <v>541</v>
      </c>
      <c r="B80" s="1627"/>
      <c r="C80" s="1628"/>
      <c r="D80" s="1627"/>
      <c r="E80" s="1628"/>
      <c r="F80" s="956"/>
      <c r="G80" s="956"/>
      <c r="H80" s="1091"/>
      <c r="I80" s="1093">
        <f t="shared" si="10"/>
        <v>0</v>
      </c>
      <c r="J80" s="1081">
        <v>450</v>
      </c>
      <c r="K80" s="957"/>
    </row>
    <row r="81" spans="1:11" s="246" customFormat="1" ht="21.75" customHeight="1">
      <c r="A81" s="856" t="s">
        <v>488</v>
      </c>
      <c r="B81" s="1627"/>
      <c r="C81" s="1628"/>
      <c r="D81" s="1627">
        <v>3000</v>
      </c>
      <c r="E81" s="1628"/>
      <c r="F81" s="750"/>
      <c r="G81" s="750"/>
      <c r="H81" s="1084"/>
      <c r="I81" s="1093">
        <f t="shared" si="10"/>
        <v>3000</v>
      </c>
      <c r="J81" s="1079"/>
      <c r="K81" s="749"/>
    </row>
    <row r="82" spans="1:11" s="246" customFormat="1" ht="21.75" customHeight="1" thickBot="1">
      <c r="A82" s="857" t="s">
        <v>489</v>
      </c>
      <c r="B82" s="1629"/>
      <c r="C82" s="1630"/>
      <c r="D82" s="1629">
        <v>337960</v>
      </c>
      <c r="E82" s="1630"/>
      <c r="F82" s="748"/>
      <c r="G82" s="748"/>
      <c r="H82" s="1092"/>
      <c r="I82" s="1093">
        <f t="shared" si="10"/>
        <v>337960</v>
      </c>
      <c r="J82" s="1082"/>
      <c r="K82" s="747"/>
    </row>
    <row r="83" spans="1:11" s="246" customFormat="1" ht="23.25" customHeight="1" thickBot="1">
      <c r="A83" s="852" t="s">
        <v>490</v>
      </c>
      <c r="B83" s="1631">
        <f>SUM(B74:B82)</f>
        <v>15307515.72</v>
      </c>
      <c r="C83" s="1632"/>
      <c r="D83" s="1631">
        <f>SUM(D74:D82)</f>
        <v>5948632.5</v>
      </c>
      <c r="E83" s="1632"/>
      <c r="F83" s="853">
        <f aca="true" t="shared" si="11" ref="F83:K83">SUM(F74:F82)</f>
        <v>3000000</v>
      </c>
      <c r="G83" s="853">
        <f t="shared" si="11"/>
        <v>0</v>
      </c>
      <c r="H83" s="1085">
        <f t="shared" si="11"/>
        <v>15542000</v>
      </c>
      <c r="I83" s="1089">
        <f t="shared" si="11"/>
        <v>21490632.5</v>
      </c>
      <c r="J83" s="1083">
        <f t="shared" si="11"/>
        <v>734952.57</v>
      </c>
      <c r="K83" s="854">
        <f t="shared" si="11"/>
        <v>3840</v>
      </c>
    </row>
    <row r="84" spans="1:11" s="246" customFormat="1" ht="16.5" customHeight="1" thickBot="1">
      <c r="A84" s="846"/>
      <c r="B84" s="847"/>
      <c r="D84" s="847"/>
      <c r="F84" s="847"/>
      <c r="G84" s="847"/>
      <c r="H84" s="847"/>
      <c r="I84" s="848"/>
      <c r="J84"/>
      <c r="K84"/>
    </row>
    <row r="85" spans="1:11" s="246" customFormat="1" ht="34.5" customHeight="1">
      <c r="A85" s="1666" t="s">
        <v>199</v>
      </c>
      <c r="B85" s="1248" t="s">
        <v>483</v>
      </c>
      <c r="C85" s="1668"/>
      <c r="D85" s="1384" t="s">
        <v>484</v>
      </c>
      <c r="E85" s="1384"/>
      <c r="F85" s="1248" t="s">
        <v>485</v>
      </c>
      <c r="G85" s="738" t="s">
        <v>501</v>
      </c>
      <c r="H85" s="1071" t="s">
        <v>502</v>
      </c>
      <c r="I85" s="1086" t="s">
        <v>486</v>
      </c>
      <c r="J85" s="1348" t="s">
        <v>644</v>
      </c>
      <c r="K85" s="1670"/>
    </row>
    <row r="86" spans="1:11" s="246" customFormat="1" ht="24" customHeight="1" thickBot="1">
      <c r="A86" s="1667"/>
      <c r="B86" s="1669"/>
      <c r="C86" s="1669"/>
      <c r="D86" s="1665" t="s">
        <v>58</v>
      </c>
      <c r="E86" s="1665"/>
      <c r="F86" s="1381"/>
      <c r="G86" s="112" t="s">
        <v>500</v>
      </c>
      <c r="H86" s="113" t="s">
        <v>325</v>
      </c>
      <c r="I86" s="1087" t="s">
        <v>60</v>
      </c>
      <c r="J86" s="47" t="s">
        <v>59</v>
      </c>
      <c r="K86" s="114" t="s">
        <v>196</v>
      </c>
    </row>
    <row r="87" spans="1:11" s="246" customFormat="1" ht="21.75" customHeight="1">
      <c r="A87" s="856" t="s">
        <v>491</v>
      </c>
      <c r="B87" s="1627">
        <v>1800000</v>
      </c>
      <c r="C87" s="1628"/>
      <c r="D87" s="1627"/>
      <c r="E87" s="1628"/>
      <c r="F87" s="750"/>
      <c r="G87" s="750"/>
      <c r="H87" s="1084"/>
      <c r="I87" s="1088">
        <f>+D87+G87+H87</f>
        <v>0</v>
      </c>
      <c r="J87" s="1079"/>
      <c r="K87" s="749"/>
    </row>
    <row r="88" spans="1:11" s="246" customFormat="1" ht="21.75" customHeight="1">
      <c r="A88" s="856" t="s">
        <v>492</v>
      </c>
      <c r="B88" s="1627">
        <v>250000</v>
      </c>
      <c r="C88" s="1628"/>
      <c r="D88" s="1627"/>
      <c r="E88" s="1628"/>
      <c r="F88" s="750"/>
      <c r="G88" s="750"/>
      <c r="H88" s="1084"/>
      <c r="I88" s="1088">
        <f aca="true" t="shared" si="12" ref="I88:I97">+D88+G88+H88</f>
        <v>0</v>
      </c>
      <c r="J88" s="1079"/>
      <c r="K88" s="749"/>
    </row>
    <row r="89" spans="1:11" s="246" customFormat="1" ht="21.75" customHeight="1">
      <c r="A89" s="856" t="s">
        <v>493</v>
      </c>
      <c r="B89" s="1627">
        <v>999899.9</v>
      </c>
      <c r="C89" s="1628"/>
      <c r="D89" s="1627"/>
      <c r="E89" s="1628"/>
      <c r="F89" s="750"/>
      <c r="G89" s="750"/>
      <c r="H89" s="1084"/>
      <c r="I89" s="1088">
        <f t="shared" si="12"/>
        <v>0</v>
      </c>
      <c r="J89" s="1079"/>
      <c r="K89" s="749"/>
    </row>
    <row r="90" spans="1:11" s="246" customFormat="1" ht="21.75" customHeight="1">
      <c r="A90" s="856" t="s">
        <v>494</v>
      </c>
      <c r="B90" s="1627">
        <v>400000</v>
      </c>
      <c r="C90" s="1628"/>
      <c r="D90" s="1627"/>
      <c r="E90" s="1628"/>
      <c r="F90" s="750"/>
      <c r="G90" s="750"/>
      <c r="H90" s="1084"/>
      <c r="I90" s="1088">
        <f t="shared" si="12"/>
        <v>0</v>
      </c>
      <c r="J90" s="1079"/>
      <c r="K90" s="749"/>
    </row>
    <row r="91" spans="1:11" s="246" customFormat="1" ht="21.75" customHeight="1">
      <c r="A91" s="856" t="s">
        <v>495</v>
      </c>
      <c r="B91" s="1627">
        <v>83560.61</v>
      </c>
      <c r="C91" s="1628"/>
      <c r="D91" s="1627"/>
      <c r="E91" s="1628"/>
      <c r="F91" s="750"/>
      <c r="G91" s="750"/>
      <c r="H91" s="1084"/>
      <c r="I91" s="1088">
        <f t="shared" si="12"/>
        <v>0</v>
      </c>
      <c r="J91" s="1079"/>
      <c r="K91" s="749"/>
    </row>
    <row r="92" spans="1:11" s="246" customFormat="1" ht="21.75" customHeight="1">
      <c r="A92" s="856" t="s">
        <v>506</v>
      </c>
      <c r="B92" s="1627"/>
      <c r="C92" s="1628"/>
      <c r="D92" s="1627">
        <v>17782497</v>
      </c>
      <c r="E92" s="1628"/>
      <c r="F92" s="750"/>
      <c r="G92" s="1094">
        <f>1557000</f>
        <v>1557000</v>
      </c>
      <c r="H92" s="1084"/>
      <c r="I92" s="1088">
        <f t="shared" si="12"/>
        <v>19339497</v>
      </c>
      <c r="J92" s="1079"/>
      <c r="K92" s="749"/>
    </row>
    <row r="93" spans="1:11" s="246" customFormat="1" ht="21.75" customHeight="1">
      <c r="A93" s="856" t="s">
        <v>507</v>
      </c>
      <c r="B93" s="1627"/>
      <c r="C93" s="1628"/>
      <c r="D93" s="1627">
        <v>375000</v>
      </c>
      <c r="E93" s="1628"/>
      <c r="F93" s="750"/>
      <c r="G93" s="750"/>
      <c r="H93" s="1084"/>
      <c r="I93" s="1088">
        <f t="shared" si="12"/>
        <v>375000</v>
      </c>
      <c r="J93" s="1079"/>
      <c r="K93" s="749"/>
    </row>
    <row r="94" spans="1:11" s="246" customFormat="1" ht="21.75" customHeight="1">
      <c r="A94" s="856" t="s">
        <v>496</v>
      </c>
      <c r="B94" s="1627"/>
      <c r="C94" s="1628"/>
      <c r="D94" s="1627">
        <v>107278.5</v>
      </c>
      <c r="E94" s="1628"/>
      <c r="F94" s="750"/>
      <c r="G94" s="750"/>
      <c r="H94" s="1084"/>
      <c r="I94" s="1088">
        <f t="shared" si="12"/>
        <v>107278.5</v>
      </c>
      <c r="J94" s="1079"/>
      <c r="K94" s="749"/>
    </row>
    <row r="95" spans="1:11" s="246" customFormat="1" ht="21.75" customHeight="1">
      <c r="A95" s="856" t="s">
        <v>497</v>
      </c>
      <c r="B95" s="1627"/>
      <c r="C95" s="1628"/>
      <c r="D95" s="1627">
        <v>186592</v>
      </c>
      <c r="E95" s="1628"/>
      <c r="F95" s="750"/>
      <c r="G95" s="750"/>
      <c r="H95" s="1084"/>
      <c r="I95" s="1088">
        <f t="shared" si="12"/>
        <v>186592</v>
      </c>
      <c r="J95" s="1079"/>
      <c r="K95" s="749"/>
    </row>
    <row r="96" spans="1:11" s="246" customFormat="1" ht="21.75" customHeight="1">
      <c r="A96" s="856" t="s">
        <v>498</v>
      </c>
      <c r="B96" s="1627"/>
      <c r="C96" s="1628"/>
      <c r="D96" s="1627"/>
      <c r="E96" s="1628"/>
      <c r="F96" s="750"/>
      <c r="G96" s="750"/>
      <c r="H96" s="1084"/>
      <c r="I96" s="1088">
        <f t="shared" si="12"/>
        <v>0</v>
      </c>
      <c r="J96" s="1080">
        <v>85969.2</v>
      </c>
      <c r="K96" s="749"/>
    </row>
    <row r="97" spans="1:11" s="246" customFormat="1" ht="21.75" customHeight="1" thickBot="1">
      <c r="A97" s="856" t="s">
        <v>341</v>
      </c>
      <c r="B97" s="1627">
        <v>23639.49</v>
      </c>
      <c r="C97" s="1628"/>
      <c r="D97" s="1627"/>
      <c r="E97" s="1628"/>
      <c r="F97" s="750"/>
      <c r="G97" s="750"/>
      <c r="H97" s="1084"/>
      <c r="I97" s="1088">
        <f t="shared" si="12"/>
        <v>0</v>
      </c>
      <c r="J97" s="1080">
        <v>100114.29</v>
      </c>
      <c r="K97" s="749"/>
    </row>
    <row r="98" spans="1:11" s="246" customFormat="1" ht="23.25" customHeight="1" thickBot="1">
      <c r="A98" s="852" t="s">
        <v>499</v>
      </c>
      <c r="B98" s="1631">
        <f>SUM(B87:B97)</f>
        <v>3557100</v>
      </c>
      <c r="C98" s="1632"/>
      <c r="D98" s="1631">
        <f>SUM(D87:D97)</f>
        <v>18451367.5</v>
      </c>
      <c r="E98" s="1632"/>
      <c r="F98" s="853">
        <f aca="true" t="shared" si="13" ref="F98:K98">SUM(F87:F97)</f>
        <v>0</v>
      </c>
      <c r="G98" s="853">
        <f t="shared" si="13"/>
        <v>1557000</v>
      </c>
      <c r="H98" s="1085">
        <f t="shared" si="13"/>
        <v>0</v>
      </c>
      <c r="I98" s="1089">
        <f t="shared" si="13"/>
        <v>20008367.5</v>
      </c>
      <c r="J98" s="1083">
        <f t="shared" si="13"/>
        <v>186083.49</v>
      </c>
      <c r="K98" s="854">
        <f t="shared" si="13"/>
        <v>0</v>
      </c>
    </row>
    <row r="99" spans="1:12" ht="7.5" customHeight="1" thickBot="1">
      <c r="A99" s="849"/>
      <c r="B99" s="850"/>
      <c r="D99" s="850"/>
      <c r="F99" s="850"/>
      <c r="G99" s="850"/>
      <c r="H99" s="850"/>
      <c r="I99" s="851"/>
      <c r="J99" s="850"/>
      <c r="K99" s="850"/>
      <c r="L99" s="142"/>
    </row>
    <row r="100" spans="1:11" s="246" customFormat="1" ht="23.25" customHeight="1" thickBot="1">
      <c r="A100" s="852" t="s">
        <v>4</v>
      </c>
      <c r="B100" s="1631">
        <f>+B98+B83</f>
        <v>18864615.72</v>
      </c>
      <c r="C100" s="1632"/>
      <c r="D100" s="1631">
        <f>+D98+D83</f>
        <v>24400000</v>
      </c>
      <c r="E100" s="1632"/>
      <c r="F100" s="853">
        <f aca="true" t="shared" si="14" ref="F100:K100">+F98+F83</f>
        <v>3000000</v>
      </c>
      <c r="G100" s="853">
        <f t="shared" si="14"/>
        <v>1557000</v>
      </c>
      <c r="H100" s="1085">
        <f t="shared" si="14"/>
        <v>15542000</v>
      </c>
      <c r="I100" s="1089">
        <f>+I98+I83</f>
        <v>41499000</v>
      </c>
      <c r="J100" s="1083">
        <f t="shared" si="14"/>
        <v>921036.0599999999</v>
      </c>
      <c r="K100" s="854">
        <f t="shared" si="14"/>
        <v>3840</v>
      </c>
    </row>
    <row r="101" spans="1:32" ht="24.75" customHeight="1">
      <c r="A101" s="1604" t="s">
        <v>0</v>
      </c>
      <c r="B101" s="1605"/>
      <c r="C101" s="1605"/>
      <c r="D101" s="1605"/>
      <c r="E101" s="1605"/>
      <c r="F101" s="1605"/>
      <c r="G101" s="1605"/>
      <c r="H101" s="1605"/>
      <c r="I101" s="1605"/>
      <c r="J101" s="1605"/>
      <c r="K101" s="1605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3:34" ht="10.5" customHeight="1" thickBot="1">
      <c r="M102" s="162"/>
      <c r="N102" s="162"/>
      <c r="AG102" s="142"/>
      <c r="AH102" s="142"/>
    </row>
    <row r="103" spans="1:34" ht="24.75" customHeight="1" thickBot="1">
      <c r="A103" s="1270" t="s">
        <v>219</v>
      </c>
      <c r="B103" s="1659"/>
      <c r="C103" s="1248" t="s">
        <v>220</v>
      </c>
      <c r="D103" s="1660"/>
      <c r="F103" s="1661" t="s">
        <v>222</v>
      </c>
      <c r="G103" s="1662"/>
      <c r="H103" s="1662"/>
      <c r="I103" s="1662"/>
      <c r="J103" s="1663" t="s">
        <v>220</v>
      </c>
      <c r="K103" s="1664"/>
      <c r="M103" s="162"/>
      <c r="N103" s="162"/>
      <c r="AG103" s="142"/>
      <c r="AH103" s="142"/>
    </row>
    <row r="104" spans="1:34" ht="17.25" customHeight="1">
      <c r="A104" s="1613" t="s">
        <v>471</v>
      </c>
      <c r="B104" s="1614"/>
      <c r="C104" s="1615">
        <v>400000</v>
      </c>
      <c r="D104" s="1616"/>
      <c r="F104" s="1657" t="s">
        <v>223</v>
      </c>
      <c r="G104" s="1658"/>
      <c r="H104" s="1658"/>
      <c r="I104" s="1658"/>
      <c r="J104" s="1615">
        <v>125000</v>
      </c>
      <c r="K104" s="1616"/>
      <c r="M104" s="162"/>
      <c r="N104" s="162"/>
      <c r="AG104" s="142"/>
      <c r="AH104" s="142"/>
    </row>
    <row r="105" spans="1:34" ht="17.25" customHeight="1">
      <c r="A105" s="1613" t="s">
        <v>221</v>
      </c>
      <c r="B105" s="1614"/>
      <c r="C105" s="1615">
        <v>1200000</v>
      </c>
      <c r="D105" s="1616"/>
      <c r="F105" s="1617" t="s">
        <v>224</v>
      </c>
      <c r="G105" s="1618"/>
      <c r="H105" s="1618"/>
      <c r="I105" s="1618"/>
      <c r="J105" s="1619">
        <v>125000</v>
      </c>
      <c r="K105" s="1620"/>
      <c r="M105" s="162"/>
      <c r="N105" s="162"/>
      <c r="AG105" s="142"/>
      <c r="AH105" s="142"/>
    </row>
    <row r="106" spans="1:34" ht="17.25" customHeight="1">
      <c r="A106" s="1613" t="s">
        <v>472</v>
      </c>
      <c r="B106" s="1614"/>
      <c r="C106" s="1615">
        <v>200000</v>
      </c>
      <c r="D106" s="1616"/>
      <c r="F106" s="1617" t="s">
        <v>225</v>
      </c>
      <c r="G106" s="1618"/>
      <c r="H106" s="1618"/>
      <c r="I106" s="1618"/>
      <c r="J106" s="1619">
        <v>90000</v>
      </c>
      <c r="K106" s="1620"/>
      <c r="M106" s="162"/>
      <c r="N106" s="162"/>
      <c r="AG106" s="142"/>
      <c r="AH106" s="142"/>
    </row>
    <row r="107" spans="1:34" ht="17.25" customHeight="1">
      <c r="A107" s="1613" t="s">
        <v>473</v>
      </c>
      <c r="B107" s="1614"/>
      <c r="C107" s="1615">
        <v>220000</v>
      </c>
      <c r="D107" s="1616"/>
      <c r="F107" s="1617" t="s">
        <v>226</v>
      </c>
      <c r="G107" s="1618"/>
      <c r="H107" s="1618"/>
      <c r="I107" s="1618"/>
      <c r="J107" s="1619">
        <v>50000</v>
      </c>
      <c r="K107" s="1620"/>
      <c r="M107" s="162"/>
      <c r="N107" s="162"/>
      <c r="AG107" s="142"/>
      <c r="AH107" s="142"/>
    </row>
    <row r="108" spans="1:34" ht="17.25" customHeight="1">
      <c r="A108" s="1613" t="s">
        <v>474</v>
      </c>
      <c r="B108" s="1614"/>
      <c r="C108" s="1615">
        <v>140000</v>
      </c>
      <c r="D108" s="1616"/>
      <c r="F108" s="1617" t="s">
        <v>227</v>
      </c>
      <c r="G108" s="1618"/>
      <c r="H108" s="1618"/>
      <c r="I108" s="1618"/>
      <c r="J108" s="1619">
        <v>40000</v>
      </c>
      <c r="K108" s="1620"/>
      <c r="M108" s="162"/>
      <c r="N108" s="162"/>
      <c r="AG108" s="142"/>
      <c r="AH108" s="142"/>
    </row>
    <row r="109" spans="1:34" ht="17.25" customHeight="1">
      <c r="A109" s="1613" t="s">
        <v>475</v>
      </c>
      <c r="B109" s="1614"/>
      <c r="C109" s="1615">
        <v>250000</v>
      </c>
      <c r="D109" s="1616"/>
      <c r="F109" s="1617" t="s">
        <v>228</v>
      </c>
      <c r="G109" s="1618"/>
      <c r="H109" s="1618"/>
      <c r="I109" s="1618"/>
      <c r="J109" s="1619">
        <v>120000</v>
      </c>
      <c r="K109" s="1620"/>
      <c r="M109" s="162"/>
      <c r="N109" s="162"/>
      <c r="AG109" s="142"/>
      <c r="AH109" s="142"/>
    </row>
    <row r="110" spans="1:34" ht="17.25" customHeight="1">
      <c r="A110" s="1613" t="s">
        <v>476</v>
      </c>
      <c r="B110" s="1614"/>
      <c r="C110" s="1615">
        <v>1130000</v>
      </c>
      <c r="D110" s="1616"/>
      <c r="F110" s="1617" t="s">
        <v>229</v>
      </c>
      <c r="G110" s="1618"/>
      <c r="H110" s="1618"/>
      <c r="I110" s="1618"/>
      <c r="J110" s="1619">
        <v>37000</v>
      </c>
      <c r="K110" s="1620"/>
      <c r="M110" s="162"/>
      <c r="N110" s="162"/>
      <c r="AG110" s="142"/>
      <c r="AH110" s="142"/>
    </row>
    <row r="111" spans="1:34" ht="17.25" customHeight="1">
      <c r="A111" s="1613" t="s">
        <v>477</v>
      </c>
      <c r="B111" s="1614"/>
      <c r="C111" s="1615">
        <v>120000</v>
      </c>
      <c r="D111" s="1616"/>
      <c r="F111" s="1617" t="s">
        <v>230</v>
      </c>
      <c r="G111" s="1618"/>
      <c r="H111" s="1618"/>
      <c r="I111" s="1618"/>
      <c r="J111" s="1619">
        <v>10000</v>
      </c>
      <c r="K111" s="1620"/>
      <c r="M111" s="162"/>
      <c r="N111" s="162"/>
      <c r="AG111" s="142"/>
      <c r="AH111" s="142"/>
    </row>
    <row r="112" spans="1:34" ht="17.25" customHeight="1">
      <c r="A112" s="1613" t="s">
        <v>478</v>
      </c>
      <c r="B112" s="1614"/>
      <c r="C112" s="1615">
        <v>180000</v>
      </c>
      <c r="D112" s="1616"/>
      <c r="F112" s="1617" t="s">
        <v>231</v>
      </c>
      <c r="G112" s="1618"/>
      <c r="H112" s="1618"/>
      <c r="I112" s="1618"/>
      <c r="J112" s="1619">
        <v>20000</v>
      </c>
      <c r="K112" s="1620"/>
      <c r="M112" s="162"/>
      <c r="N112" s="162"/>
      <c r="AG112" s="142"/>
      <c r="AH112" s="142"/>
    </row>
    <row r="113" spans="1:34" ht="17.25" customHeight="1">
      <c r="A113" s="1613" t="s">
        <v>479</v>
      </c>
      <c r="B113" s="1614"/>
      <c r="C113" s="1615">
        <v>100000</v>
      </c>
      <c r="D113" s="1616"/>
      <c r="F113" s="1617" t="s">
        <v>232</v>
      </c>
      <c r="G113" s="1618"/>
      <c r="H113" s="1618"/>
      <c r="I113" s="1618"/>
      <c r="J113" s="1619">
        <v>150000</v>
      </c>
      <c r="K113" s="1620"/>
      <c r="M113" s="162"/>
      <c r="N113" s="162"/>
      <c r="AG113" s="142"/>
      <c r="AH113" s="142"/>
    </row>
    <row r="114" spans="1:34" ht="17.25" customHeight="1" thickBot="1">
      <c r="A114" s="1613" t="s">
        <v>480</v>
      </c>
      <c r="B114" s="1614"/>
      <c r="C114" s="1615">
        <v>320000</v>
      </c>
      <c r="D114" s="1616"/>
      <c r="F114" s="1617" t="s">
        <v>233</v>
      </c>
      <c r="G114" s="1618"/>
      <c r="H114" s="1618"/>
      <c r="I114" s="1618"/>
      <c r="J114" s="1619">
        <v>70000</v>
      </c>
      <c r="K114" s="1620"/>
      <c r="M114" s="162"/>
      <c r="N114" s="162"/>
      <c r="AG114" s="142"/>
      <c r="AH114" s="142"/>
    </row>
    <row r="115" spans="1:14" s="400" customFormat="1" ht="14.25" customHeight="1" thickBot="1">
      <c r="A115" s="1414" t="s">
        <v>543</v>
      </c>
      <c r="B115" s="1636"/>
      <c r="C115" s="1396">
        <f>SUM(C104:D114)</f>
        <v>4260000</v>
      </c>
      <c r="D115" s="1397"/>
      <c r="E115" s="399"/>
      <c r="F115" s="1617" t="s">
        <v>481</v>
      </c>
      <c r="G115" s="1618"/>
      <c r="H115" s="1618"/>
      <c r="I115" s="1618"/>
      <c r="J115" s="1619">
        <v>55000</v>
      </c>
      <c r="K115" s="1620"/>
      <c r="L115" s="399"/>
      <c r="M115" s="399"/>
      <c r="N115" s="399"/>
    </row>
    <row r="116" spans="6:34" ht="14.25" customHeight="1">
      <c r="F116" s="1617" t="s">
        <v>234</v>
      </c>
      <c r="G116" s="1618"/>
      <c r="H116" s="1618"/>
      <c r="I116" s="1618"/>
      <c r="J116" s="1619">
        <v>8000</v>
      </c>
      <c r="K116" s="1620"/>
      <c r="M116" s="162"/>
      <c r="N116" s="162"/>
      <c r="AG116" s="142"/>
      <c r="AH116" s="142"/>
    </row>
    <row r="117" spans="6:34" ht="14.25" customHeight="1">
      <c r="F117" s="1617" t="s">
        <v>235</v>
      </c>
      <c r="G117" s="1618"/>
      <c r="H117" s="1618"/>
      <c r="I117" s="1618"/>
      <c r="J117" s="1619">
        <v>10000</v>
      </c>
      <c r="K117" s="1620"/>
      <c r="M117" s="162"/>
      <c r="N117" s="162"/>
      <c r="AG117" s="142"/>
      <c r="AH117" s="142"/>
    </row>
    <row r="118" spans="6:34" ht="14.25" customHeight="1">
      <c r="F118" s="1617" t="s">
        <v>236</v>
      </c>
      <c r="G118" s="1618"/>
      <c r="H118" s="1618"/>
      <c r="I118" s="1618"/>
      <c r="J118" s="1619">
        <v>20000</v>
      </c>
      <c r="K118" s="1620"/>
      <c r="M118" s="162"/>
      <c r="N118" s="162"/>
      <c r="AG118" s="142"/>
      <c r="AH118" s="142"/>
    </row>
    <row r="119" spans="6:34" ht="14.25" customHeight="1">
      <c r="F119" s="1617" t="s">
        <v>237</v>
      </c>
      <c r="G119" s="1618"/>
      <c r="H119" s="1618"/>
      <c r="I119" s="1618"/>
      <c r="J119" s="1619">
        <v>60000</v>
      </c>
      <c r="K119" s="1620"/>
      <c r="M119" s="162"/>
      <c r="N119" s="162"/>
      <c r="AG119" s="142"/>
      <c r="AH119" s="142"/>
    </row>
    <row r="120" spans="6:34" ht="14.25" customHeight="1" thickBot="1">
      <c r="F120" s="1651" t="s">
        <v>238</v>
      </c>
      <c r="G120" s="1652"/>
      <c r="H120" s="1652"/>
      <c r="I120" s="1652"/>
      <c r="J120" s="1653">
        <v>10000</v>
      </c>
      <c r="K120" s="1654"/>
      <c r="M120" s="162"/>
      <c r="N120" s="162"/>
      <c r="AG120" s="142"/>
      <c r="AH120" s="142"/>
    </row>
    <row r="121" spans="1:34" ht="15" customHeight="1" thickBot="1">
      <c r="A121" s="1655" t="s">
        <v>239</v>
      </c>
      <c r="B121" s="1656"/>
      <c r="C121" s="1396">
        <f>+C115+J121</f>
        <v>5260000</v>
      </c>
      <c r="D121" s="1397"/>
      <c r="F121" s="1288" t="s">
        <v>542</v>
      </c>
      <c r="G121" s="1637"/>
      <c r="H121" s="1637"/>
      <c r="I121" s="1637"/>
      <c r="J121" s="1396">
        <f>SUM(J104:K120)</f>
        <v>1000000</v>
      </c>
      <c r="K121" s="1397"/>
      <c r="M121" s="162"/>
      <c r="N121" s="162"/>
      <c r="AG121" s="142"/>
      <c r="AH121" s="142"/>
    </row>
    <row r="122" spans="13:34" ht="4.5" customHeight="1">
      <c r="M122" s="162"/>
      <c r="N122" s="162"/>
      <c r="AG122" s="142"/>
      <c r="AH122" s="142"/>
    </row>
    <row r="123" spans="13:34" ht="4.5" customHeight="1">
      <c r="M123" s="162"/>
      <c r="N123" s="162"/>
      <c r="AG123" s="142"/>
      <c r="AH123" s="142"/>
    </row>
    <row r="124" spans="13:34" ht="4.5" customHeight="1" thickBot="1">
      <c r="M124" s="162"/>
      <c r="N124" s="162"/>
      <c r="AG124" s="142"/>
      <c r="AH124" s="142"/>
    </row>
    <row r="125" spans="1:34" ht="12" customHeight="1">
      <c r="A125" s="1638" t="s">
        <v>62</v>
      </c>
      <c r="B125" s="1641" t="s">
        <v>302</v>
      </c>
      <c r="C125" s="1314" t="s">
        <v>301</v>
      </c>
      <c r="D125" s="1410"/>
      <c r="E125" s="1410"/>
      <c r="F125" s="1410"/>
      <c r="G125" s="1410"/>
      <c r="H125" s="1411"/>
      <c r="I125" s="1293" t="s">
        <v>303</v>
      </c>
      <c r="M125" s="162"/>
      <c r="N125" s="162"/>
      <c r="AG125" s="142"/>
      <c r="AH125" s="142"/>
    </row>
    <row r="126" spans="1:34" ht="12" customHeight="1">
      <c r="A126" s="1639"/>
      <c r="B126" s="1642"/>
      <c r="C126" s="1646" t="s">
        <v>45</v>
      </c>
      <c r="D126" s="1648" t="s">
        <v>63</v>
      </c>
      <c r="E126" s="1649"/>
      <c r="F126" s="1649"/>
      <c r="G126" s="1649"/>
      <c r="H126" s="1650"/>
      <c r="I126" s="1644"/>
      <c r="M126" s="162"/>
      <c r="N126" s="162"/>
      <c r="AG126" s="142"/>
      <c r="AH126" s="142"/>
    </row>
    <row r="127" spans="1:34" ht="12" customHeight="1" thickBot="1">
      <c r="A127" s="1640"/>
      <c r="B127" s="1643"/>
      <c r="C127" s="1647"/>
      <c r="D127" s="195">
        <v>1</v>
      </c>
      <c r="E127" s="195">
        <v>2</v>
      </c>
      <c r="F127" s="195">
        <v>3</v>
      </c>
      <c r="G127" s="195">
        <v>4</v>
      </c>
      <c r="H127" s="196">
        <v>5</v>
      </c>
      <c r="I127" s="1645"/>
      <c r="M127" s="162"/>
      <c r="N127" s="162"/>
      <c r="AG127" s="142"/>
      <c r="AH127" s="142"/>
    </row>
    <row r="128" spans="1:9" s="246" customFormat="1" ht="19.5" customHeight="1" thickBot="1">
      <c r="A128" s="197">
        <v>188673</v>
      </c>
      <c r="B128" s="244">
        <v>17281</v>
      </c>
      <c r="C128" s="244">
        <f>SUM(D128:H128)</f>
        <v>6683</v>
      </c>
      <c r="D128" s="244">
        <v>524</v>
      </c>
      <c r="E128" s="244">
        <v>5240</v>
      </c>
      <c r="F128" s="244">
        <v>142</v>
      </c>
      <c r="G128" s="244">
        <v>45</v>
      </c>
      <c r="H128" s="244">
        <v>732</v>
      </c>
      <c r="I128" s="245">
        <f>SUM(A128-B128-C128)</f>
        <v>164709</v>
      </c>
    </row>
    <row r="129" spans="1:12" s="246" customFormat="1" ht="12" customHeight="1">
      <c r="A129" s="388"/>
      <c r="B129" s="389"/>
      <c r="C129" s="389"/>
      <c r="D129" s="389"/>
      <c r="E129" s="389"/>
      <c r="F129" s="389"/>
      <c r="G129" s="389"/>
      <c r="H129" s="389"/>
      <c r="I129" s="389"/>
      <c r="L129" s="524"/>
    </row>
    <row r="130" spans="1:34" ht="18.75" customHeight="1" thickBot="1">
      <c r="A130" s="102" t="s">
        <v>218</v>
      </c>
      <c r="M130" s="162"/>
      <c r="N130" s="162"/>
      <c r="AG130" s="142"/>
      <c r="AH130" s="142"/>
    </row>
    <row r="131" spans="1:12" s="980" customFormat="1" ht="17.25" customHeight="1">
      <c r="A131" s="1296" t="s">
        <v>64</v>
      </c>
      <c r="B131" s="1298" t="s">
        <v>296</v>
      </c>
      <c r="C131" s="1285" t="s">
        <v>294</v>
      </c>
      <c r="D131" s="1634"/>
      <c r="E131" s="1634"/>
      <c r="F131" s="1635"/>
      <c r="G131" s="1300" t="s">
        <v>295</v>
      </c>
      <c r="H131" s="1283" t="s">
        <v>65</v>
      </c>
      <c r="I131" s="1285" t="s">
        <v>299</v>
      </c>
      <c r="J131" s="1634"/>
      <c r="K131" s="1634"/>
      <c r="L131" s="1635"/>
    </row>
    <row r="132" spans="1:12" s="980" customFormat="1" ht="20.25" customHeight="1" thickBot="1">
      <c r="A132" s="1297"/>
      <c r="B132" s="1633"/>
      <c r="C132" s="26" t="s">
        <v>150</v>
      </c>
      <c r="D132" s="27" t="s">
        <v>66</v>
      </c>
      <c r="E132" s="27" t="s">
        <v>67</v>
      </c>
      <c r="F132" s="28" t="s">
        <v>151</v>
      </c>
      <c r="G132" s="1612"/>
      <c r="H132" s="1612"/>
      <c r="I132" s="49" t="s">
        <v>297</v>
      </c>
      <c r="J132" s="27" t="s">
        <v>66</v>
      </c>
      <c r="K132" s="27" t="s">
        <v>67</v>
      </c>
      <c r="L132" s="28" t="s">
        <v>298</v>
      </c>
    </row>
    <row r="133" spans="1:34" s="980" customFormat="1" ht="12" customHeight="1">
      <c r="A133" s="198" t="s">
        <v>68</v>
      </c>
      <c r="B133" s="1098">
        <v>29747.43</v>
      </c>
      <c r="C133" s="1099" t="s">
        <v>69</v>
      </c>
      <c r="D133" s="1100" t="s">
        <v>69</v>
      </c>
      <c r="E133" s="1100" t="s">
        <v>69</v>
      </c>
      <c r="F133" s="1101" t="s">
        <v>69</v>
      </c>
      <c r="G133" s="1102">
        <v>11908.61</v>
      </c>
      <c r="H133" s="1103"/>
      <c r="I133" s="1104" t="s">
        <v>69</v>
      </c>
      <c r="J133" s="1105" t="s">
        <v>69</v>
      </c>
      <c r="K133" s="1105" t="s">
        <v>69</v>
      </c>
      <c r="L133" s="1106" t="s">
        <v>69</v>
      </c>
      <c r="M133" s="162"/>
      <c r="N133" s="16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</row>
    <row r="134" spans="1:34" s="980" customFormat="1" ht="12" customHeight="1">
      <c r="A134" s="203" t="s">
        <v>70</v>
      </c>
      <c r="B134" s="1107"/>
      <c r="C134" s="1108">
        <v>1404.17</v>
      </c>
      <c r="D134" s="965">
        <v>0</v>
      </c>
      <c r="E134" s="965">
        <v>1404</v>
      </c>
      <c r="F134" s="1109">
        <f>+C134+D134-C134</f>
        <v>0</v>
      </c>
      <c r="G134" s="1110">
        <v>0</v>
      </c>
      <c r="H134" s="1111">
        <f>+G134-F134</f>
        <v>0</v>
      </c>
      <c r="I134" s="1108">
        <v>0</v>
      </c>
      <c r="J134" s="965">
        <v>0</v>
      </c>
      <c r="K134" s="965">
        <v>0</v>
      </c>
      <c r="L134" s="1109">
        <v>0</v>
      </c>
      <c r="M134" s="162"/>
      <c r="N134" s="16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</row>
    <row r="135" spans="1:34" s="980" customFormat="1" ht="12" customHeight="1">
      <c r="A135" s="203" t="s">
        <v>71</v>
      </c>
      <c r="B135" s="1107"/>
      <c r="C135" s="1112">
        <v>170.69</v>
      </c>
      <c r="D135" s="967"/>
      <c r="E135" s="967"/>
      <c r="F135" s="1113">
        <v>292</v>
      </c>
      <c r="G135" s="1110"/>
      <c r="H135" s="1111">
        <f>+G135-F135</f>
        <v>-292</v>
      </c>
      <c r="I135" s="1108">
        <v>291.61</v>
      </c>
      <c r="J135" s="965">
        <f>+K143</f>
        <v>400</v>
      </c>
      <c r="K135" s="965">
        <f>+K154</f>
        <v>500</v>
      </c>
      <c r="L135" s="1109">
        <f>+I135+J135-K135</f>
        <v>191.61</v>
      </c>
      <c r="M135" s="162"/>
      <c r="N135" s="16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</row>
    <row r="136" spans="1:34" s="980" customFormat="1" ht="12" customHeight="1">
      <c r="A136" s="203" t="s">
        <v>72</v>
      </c>
      <c r="B136" s="1107"/>
      <c r="C136" s="1104" t="s">
        <v>69</v>
      </c>
      <c r="D136" s="1105" t="s">
        <v>69</v>
      </c>
      <c r="E136" s="1105" t="s">
        <v>69</v>
      </c>
      <c r="F136" s="1106" t="s">
        <v>69</v>
      </c>
      <c r="G136" s="1110"/>
      <c r="H136" s="1111"/>
      <c r="I136" s="1104" t="s">
        <v>69</v>
      </c>
      <c r="J136" s="1105" t="s">
        <v>69</v>
      </c>
      <c r="K136" s="1105" t="s">
        <v>69</v>
      </c>
      <c r="L136" s="1106" t="s">
        <v>69</v>
      </c>
      <c r="M136" s="162"/>
      <c r="N136" s="16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</row>
    <row r="137" spans="1:34" s="980" customFormat="1" ht="12.75">
      <c r="A137" s="203" t="s">
        <v>73</v>
      </c>
      <c r="B137" s="1107"/>
      <c r="C137" s="1108">
        <v>9839.11</v>
      </c>
      <c r="D137" s="965">
        <f>+D143</f>
        <v>55532</v>
      </c>
      <c r="E137" s="965">
        <f>+D154</f>
        <v>45056</v>
      </c>
      <c r="F137" s="1109">
        <v>20315.49</v>
      </c>
      <c r="G137" s="1110">
        <v>19865</v>
      </c>
      <c r="H137" s="1111">
        <f>+G137-F137</f>
        <v>-450.4900000000016</v>
      </c>
      <c r="I137" s="1114">
        <f>+E141</f>
        <v>20315</v>
      </c>
      <c r="J137" s="1115">
        <f>+E143</f>
        <v>48573</v>
      </c>
      <c r="K137" s="1115">
        <f>+E154</f>
        <v>64289</v>
      </c>
      <c r="L137" s="1116">
        <f>+I137+J137-K137</f>
        <v>4599</v>
      </c>
      <c r="M137" s="162"/>
      <c r="N137" s="16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</row>
    <row r="138" spans="1:34" s="980" customFormat="1" ht="13.5" thickBot="1">
      <c r="A138" s="211" t="s">
        <v>74</v>
      </c>
      <c r="B138" s="1117">
        <v>725.54</v>
      </c>
      <c r="C138" s="1118">
        <v>1238.76</v>
      </c>
      <c r="D138" s="1119"/>
      <c r="E138" s="1119"/>
      <c r="F138" s="1120">
        <v>2624.1</v>
      </c>
      <c r="G138" s="1121">
        <v>1583.56</v>
      </c>
      <c r="H138" s="1122">
        <f>+G138-F138</f>
        <v>-1040.54</v>
      </c>
      <c r="I138" s="1118">
        <v>2624.1</v>
      </c>
      <c r="J138" s="1119">
        <v>4684</v>
      </c>
      <c r="K138" s="1119">
        <v>6726.68</v>
      </c>
      <c r="L138" s="1120">
        <f>+I138+J138-K138</f>
        <v>581.4200000000001</v>
      </c>
      <c r="M138" s="162"/>
      <c r="N138" s="16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</row>
    <row r="139" spans="1:34" ht="9.75" customHeight="1" thickBot="1">
      <c r="A139" s="21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162"/>
      <c r="N139" s="162"/>
      <c r="AG139" s="142"/>
      <c r="AH139" s="142"/>
    </row>
    <row r="140" spans="1:12" s="187" customFormat="1" ht="19.5" customHeight="1" thickBot="1">
      <c r="A140" s="118" t="s">
        <v>75</v>
      </c>
      <c r="B140" s="360">
        <v>2004</v>
      </c>
      <c r="C140" s="360">
        <v>2005</v>
      </c>
      <c r="D140" s="375">
        <v>2006</v>
      </c>
      <c r="E140" s="361">
        <v>2007</v>
      </c>
      <c r="F140" s="1414" t="s">
        <v>76</v>
      </c>
      <c r="G140" s="1432"/>
      <c r="H140" s="1432"/>
      <c r="I140" s="360">
        <v>2004</v>
      </c>
      <c r="J140" s="375">
        <v>2005</v>
      </c>
      <c r="K140" s="375">
        <v>2006</v>
      </c>
      <c r="L140" s="361">
        <v>2007</v>
      </c>
    </row>
    <row r="141" spans="1:32" ht="12.75">
      <c r="A141" s="33" t="s">
        <v>77</v>
      </c>
      <c r="B141" s="34">
        <v>33673</v>
      </c>
      <c r="C141" s="34">
        <f>+B172</f>
        <v>50571</v>
      </c>
      <c r="D141" s="378">
        <v>9839</v>
      </c>
      <c r="E141" s="1123">
        <v>20315</v>
      </c>
      <c r="F141" s="1400" t="s">
        <v>78</v>
      </c>
      <c r="G141" s="1193"/>
      <c r="H141" s="1193"/>
      <c r="I141" s="859">
        <v>242</v>
      </c>
      <c r="J141" s="378">
        <f>+I172</f>
        <v>207</v>
      </c>
      <c r="K141" s="860">
        <f>+C135</f>
        <v>170.69</v>
      </c>
      <c r="L141" s="844">
        <f>+I135</f>
        <v>291.61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22.5">
      <c r="A142" s="843" t="s">
        <v>318</v>
      </c>
      <c r="B142" s="30"/>
      <c r="C142" s="30"/>
      <c r="D142" s="379">
        <v>1764</v>
      </c>
      <c r="E142" s="962">
        <v>10860.59362</v>
      </c>
      <c r="F142" s="1280"/>
      <c r="G142" s="1394"/>
      <c r="H142" s="1394"/>
      <c r="I142" s="584"/>
      <c r="J142" s="379"/>
      <c r="K142" s="861"/>
      <c r="L142" s="40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2.75">
      <c r="A143" s="381" t="s">
        <v>66</v>
      </c>
      <c r="B143" s="382">
        <f>+B144+B145+B149+B150+B153+1781</f>
        <v>29842</v>
      </c>
      <c r="C143" s="382">
        <f>+C144+C145+C150+C153</f>
        <v>65129</v>
      </c>
      <c r="D143" s="383">
        <f>SUM(D144:D153)</f>
        <v>55532</v>
      </c>
      <c r="E143" s="384">
        <f>SUM(E144:E153)</f>
        <v>48573</v>
      </c>
      <c r="F143" s="1274" t="s">
        <v>66</v>
      </c>
      <c r="G143" s="1392"/>
      <c r="H143" s="1392"/>
      <c r="I143" s="382">
        <f>+I144+I145</f>
        <v>272</v>
      </c>
      <c r="J143" s="383">
        <f>+J144+J145</f>
        <v>400</v>
      </c>
      <c r="K143" s="862">
        <f>SUM(K144:K153)</f>
        <v>400</v>
      </c>
      <c r="L143" s="403">
        <f>SUM(L144:L153)</f>
        <v>400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2.75">
      <c r="A144" s="964" t="s">
        <v>79</v>
      </c>
      <c r="B144" s="30">
        <v>3360</v>
      </c>
      <c r="C144" s="959">
        <v>2304</v>
      </c>
      <c r="D144" s="960">
        <v>4067</v>
      </c>
      <c r="E144" s="962">
        <v>6683</v>
      </c>
      <c r="F144" s="1251" t="s">
        <v>80</v>
      </c>
      <c r="G144" s="1392"/>
      <c r="H144" s="1393"/>
      <c r="I144" s="379"/>
      <c r="J144" s="379"/>
      <c r="K144" s="861"/>
      <c r="L144" s="402">
        <v>0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2.75">
      <c r="A145" s="964" t="s">
        <v>544</v>
      </c>
      <c r="B145" s="30">
        <v>24417</v>
      </c>
      <c r="C145" s="959">
        <v>24400</v>
      </c>
      <c r="D145" s="961">
        <v>24400</v>
      </c>
      <c r="E145" s="962">
        <v>24400</v>
      </c>
      <c r="F145" s="1251" t="s">
        <v>81</v>
      </c>
      <c r="G145" s="1392"/>
      <c r="H145" s="1393"/>
      <c r="I145" s="379">
        <v>272</v>
      </c>
      <c r="J145" s="379">
        <v>400</v>
      </c>
      <c r="K145" s="861">
        <v>400</v>
      </c>
      <c r="L145" s="402">
        <v>400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2.75">
      <c r="A146" s="964" t="s">
        <v>545</v>
      </c>
      <c r="B146" s="30"/>
      <c r="C146" s="959">
        <v>1565</v>
      </c>
      <c r="D146" s="960">
        <v>895</v>
      </c>
      <c r="E146" s="963">
        <v>187</v>
      </c>
      <c r="F146" s="1251"/>
      <c r="G146" s="1392"/>
      <c r="H146" s="1393"/>
      <c r="I146" s="379"/>
      <c r="J146" s="379"/>
      <c r="K146" s="861"/>
      <c r="L146" s="402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2.75">
      <c r="A147" s="964" t="s">
        <v>546</v>
      </c>
      <c r="B147" s="30"/>
      <c r="C147" s="959"/>
      <c r="D147" s="960">
        <v>7533</v>
      </c>
      <c r="E147" s="962">
        <v>15542</v>
      </c>
      <c r="F147" s="1251"/>
      <c r="G147" s="1392"/>
      <c r="H147" s="1393"/>
      <c r="I147" s="379"/>
      <c r="J147" s="379"/>
      <c r="K147" s="861"/>
      <c r="L147" s="402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2.75">
      <c r="A148" s="964" t="s">
        <v>547</v>
      </c>
      <c r="B148" s="30"/>
      <c r="C148" s="959">
        <v>7863</v>
      </c>
      <c r="D148" s="960">
        <v>61</v>
      </c>
      <c r="E148" s="963">
        <v>4</v>
      </c>
      <c r="F148" s="1251"/>
      <c r="G148" s="1392"/>
      <c r="H148" s="1393"/>
      <c r="I148" s="379"/>
      <c r="J148" s="379"/>
      <c r="K148" s="861"/>
      <c r="L148" s="402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2.75">
      <c r="A149" s="964" t="s">
        <v>548</v>
      </c>
      <c r="B149" s="30"/>
      <c r="C149" s="959"/>
      <c r="D149" s="960">
        <v>2122</v>
      </c>
      <c r="E149" s="962">
        <v>1557</v>
      </c>
      <c r="F149" s="1251"/>
      <c r="G149" s="1392"/>
      <c r="H149" s="1393"/>
      <c r="I149" s="379"/>
      <c r="J149" s="379"/>
      <c r="K149" s="861"/>
      <c r="L149" s="402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2.75">
      <c r="A150" s="964" t="s">
        <v>82</v>
      </c>
      <c r="B150" s="30">
        <v>244</v>
      </c>
      <c r="C150" s="959">
        <v>38425</v>
      </c>
      <c r="D150" s="960">
        <v>6000</v>
      </c>
      <c r="E150" s="963">
        <v>0</v>
      </c>
      <c r="F150" s="1251"/>
      <c r="G150" s="1392"/>
      <c r="H150" s="1393"/>
      <c r="I150" s="379"/>
      <c r="J150" s="379"/>
      <c r="K150" s="861"/>
      <c r="L150" s="402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2.75">
      <c r="A151" s="964" t="s">
        <v>81</v>
      </c>
      <c r="B151" s="30"/>
      <c r="C151" s="959">
        <v>60</v>
      </c>
      <c r="D151" s="960">
        <v>10290</v>
      </c>
      <c r="E151" s="962"/>
      <c r="F151" s="1251"/>
      <c r="G151" s="1392"/>
      <c r="H151" s="1393"/>
      <c r="I151" s="379"/>
      <c r="J151" s="379"/>
      <c r="K151" s="861"/>
      <c r="L151" s="402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2.75">
      <c r="A152" s="964" t="s">
        <v>549</v>
      </c>
      <c r="B152" s="30"/>
      <c r="C152" s="959">
        <v>123</v>
      </c>
      <c r="D152" s="960">
        <v>61</v>
      </c>
      <c r="E152" s="962"/>
      <c r="F152" s="1251"/>
      <c r="G152" s="1392"/>
      <c r="H152" s="1393"/>
      <c r="I152" s="379"/>
      <c r="J152" s="379"/>
      <c r="K152" s="861"/>
      <c r="L152" s="40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2.75">
      <c r="A153" s="964" t="s">
        <v>83</v>
      </c>
      <c r="B153" s="30">
        <v>40</v>
      </c>
      <c r="C153" s="959"/>
      <c r="D153" s="960">
        <v>103</v>
      </c>
      <c r="E153" s="963">
        <v>200</v>
      </c>
      <c r="F153" s="1251"/>
      <c r="G153" s="1392"/>
      <c r="H153" s="1393"/>
      <c r="I153" s="379">
        <f>+I154+I155+I156</f>
        <v>614</v>
      </c>
      <c r="J153" s="379">
        <f>+J154+J155+J156</f>
        <v>500</v>
      </c>
      <c r="K153" s="861"/>
      <c r="L153" s="402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2.75">
      <c r="A154" s="381" t="s">
        <v>67</v>
      </c>
      <c r="B154" s="382">
        <f>+B155+B156</f>
        <v>12944</v>
      </c>
      <c r="C154" s="382">
        <f>+C155+C156+C158+C168+C171</f>
        <v>39280</v>
      </c>
      <c r="D154" s="383">
        <f>SUM(D155:D168)</f>
        <v>45056</v>
      </c>
      <c r="E154" s="1124">
        <f>SUM(E155:E171)</f>
        <v>64289</v>
      </c>
      <c r="F154" s="1274" t="s">
        <v>67</v>
      </c>
      <c r="G154" s="1392"/>
      <c r="H154" s="1393"/>
      <c r="I154" s="383">
        <f>+I155+I156</f>
        <v>307</v>
      </c>
      <c r="J154" s="383">
        <v>300</v>
      </c>
      <c r="K154" s="862">
        <f>SUM(K155:K166)</f>
        <v>500</v>
      </c>
      <c r="L154" s="403">
        <f>SUM(L155:L171)</f>
        <v>500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2.75">
      <c r="A155" s="964" t="s">
        <v>187</v>
      </c>
      <c r="B155" s="965">
        <v>12944</v>
      </c>
      <c r="C155" s="959">
        <v>3127</v>
      </c>
      <c r="D155" s="960">
        <v>1664</v>
      </c>
      <c r="E155" s="963">
        <v>3557</v>
      </c>
      <c r="F155" s="1251" t="s">
        <v>84</v>
      </c>
      <c r="G155" s="1392"/>
      <c r="H155" s="1393"/>
      <c r="I155" s="379">
        <v>267</v>
      </c>
      <c r="J155" s="379"/>
      <c r="K155" s="861">
        <v>300</v>
      </c>
      <c r="L155" s="402">
        <v>300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2.75">
      <c r="A156" s="964" t="s">
        <v>188</v>
      </c>
      <c r="B156" s="965"/>
      <c r="C156" s="959">
        <v>2116</v>
      </c>
      <c r="D156" s="960">
        <v>162</v>
      </c>
      <c r="E156" s="963">
        <v>15308</v>
      </c>
      <c r="F156" s="1251" t="s">
        <v>85</v>
      </c>
      <c r="G156" s="1392"/>
      <c r="H156" s="1393"/>
      <c r="I156" s="379">
        <v>40</v>
      </c>
      <c r="J156" s="379">
        <v>200</v>
      </c>
      <c r="K156" s="861">
        <v>0</v>
      </c>
      <c r="L156" s="402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2.75">
      <c r="A157" s="964" t="s">
        <v>241</v>
      </c>
      <c r="B157" s="965">
        <v>6566.7</v>
      </c>
      <c r="C157" s="959">
        <v>11847</v>
      </c>
      <c r="D157" s="960">
        <v>8056</v>
      </c>
      <c r="E157" s="963">
        <v>5949</v>
      </c>
      <c r="F157" s="1251" t="s">
        <v>189</v>
      </c>
      <c r="G157" s="1392"/>
      <c r="H157" s="1393"/>
      <c r="I157" s="379"/>
      <c r="J157" s="379"/>
      <c r="K157" s="861">
        <v>200</v>
      </c>
      <c r="L157" s="402">
        <v>200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2.75">
      <c r="A158" s="964" t="s">
        <v>242</v>
      </c>
      <c r="B158" s="965"/>
      <c r="C158" s="959">
        <v>904</v>
      </c>
      <c r="D158" s="960">
        <v>0</v>
      </c>
      <c r="E158" s="963">
        <v>0</v>
      </c>
      <c r="F158" s="1251"/>
      <c r="G158" s="1392"/>
      <c r="H158" s="1393"/>
      <c r="I158" s="379"/>
      <c r="J158" s="379"/>
      <c r="K158" s="861"/>
      <c r="L158" s="402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2.75">
      <c r="A159" s="964" t="s">
        <v>244</v>
      </c>
      <c r="B159" s="965"/>
      <c r="C159" s="959">
        <v>10831</v>
      </c>
      <c r="D159" s="960">
        <v>5701</v>
      </c>
      <c r="E159" s="963">
        <v>18451</v>
      </c>
      <c r="F159" s="1251"/>
      <c r="G159" s="1392"/>
      <c r="H159" s="1393"/>
      <c r="I159" s="379"/>
      <c r="J159" s="379"/>
      <c r="K159" s="861"/>
      <c r="L159" s="402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2.75">
      <c r="A160" s="964" t="s">
        <v>243</v>
      </c>
      <c r="B160" s="965"/>
      <c r="C160" s="959">
        <v>618</v>
      </c>
      <c r="D160" s="960">
        <v>0</v>
      </c>
      <c r="E160" s="963">
        <v>921</v>
      </c>
      <c r="F160" s="1251"/>
      <c r="G160" s="1392"/>
      <c r="H160" s="1393"/>
      <c r="I160" s="379"/>
      <c r="J160" s="379"/>
      <c r="K160" s="861"/>
      <c r="L160" s="402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2.75">
      <c r="A161" s="964" t="s">
        <v>550</v>
      </c>
      <c r="B161" s="965"/>
      <c r="C161" s="959">
        <v>7863</v>
      </c>
      <c r="D161" s="960"/>
      <c r="E161" s="963">
        <v>4</v>
      </c>
      <c r="F161" s="1251"/>
      <c r="G161" s="1392"/>
      <c r="H161" s="1393"/>
      <c r="I161" s="379"/>
      <c r="J161" s="379"/>
      <c r="K161" s="861"/>
      <c r="L161" s="402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2.75">
      <c r="A162" s="964" t="s">
        <v>551</v>
      </c>
      <c r="B162" s="965"/>
      <c r="C162" s="959"/>
      <c r="D162" s="960">
        <v>6736</v>
      </c>
      <c r="E162" s="963">
        <v>15542</v>
      </c>
      <c r="F162" s="1251"/>
      <c r="G162" s="1392"/>
      <c r="H162" s="1393"/>
      <c r="I162" s="379"/>
      <c r="J162" s="379"/>
      <c r="K162" s="861"/>
      <c r="L162" s="40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2.75">
      <c r="A163" s="964" t="s">
        <v>552</v>
      </c>
      <c r="B163" s="965"/>
      <c r="C163" s="959"/>
      <c r="D163" s="960">
        <v>797</v>
      </c>
      <c r="E163" s="963"/>
      <c r="F163" s="1251"/>
      <c r="G163" s="1392"/>
      <c r="H163" s="1393"/>
      <c r="I163" s="379"/>
      <c r="J163" s="379"/>
      <c r="K163" s="861"/>
      <c r="L163" s="402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2.75">
      <c r="A164" s="964" t="s">
        <v>553</v>
      </c>
      <c r="B164" s="965"/>
      <c r="C164" s="959"/>
      <c r="D164" s="960">
        <v>2122</v>
      </c>
      <c r="E164" s="963">
        <v>1557</v>
      </c>
      <c r="F164" s="1251"/>
      <c r="G164" s="1392"/>
      <c r="H164" s="1393"/>
      <c r="I164" s="379"/>
      <c r="J164" s="379"/>
      <c r="K164" s="861"/>
      <c r="L164" s="402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2.75">
      <c r="A165" s="964" t="s">
        <v>554</v>
      </c>
      <c r="B165" s="965"/>
      <c r="C165" s="959"/>
      <c r="D165" s="960">
        <v>6000</v>
      </c>
      <c r="E165" s="963"/>
      <c r="F165" s="1251"/>
      <c r="G165" s="1392"/>
      <c r="H165" s="1393"/>
      <c r="I165" s="379"/>
      <c r="J165" s="379"/>
      <c r="K165" s="861"/>
      <c r="L165" s="402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2.75">
      <c r="A166" s="964" t="s">
        <v>555</v>
      </c>
      <c r="B166" s="965"/>
      <c r="C166" s="959"/>
      <c r="D166" s="960"/>
      <c r="E166" s="963"/>
      <c r="F166" s="1251"/>
      <c r="G166" s="1392"/>
      <c r="H166" s="1393"/>
      <c r="I166" s="379"/>
      <c r="J166" s="379"/>
      <c r="K166" s="861"/>
      <c r="L166" s="402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2.75">
      <c r="A167" s="964" t="s">
        <v>556</v>
      </c>
      <c r="B167" s="965"/>
      <c r="C167" s="959">
        <v>41</v>
      </c>
      <c r="D167" s="960">
        <v>10202</v>
      </c>
      <c r="E167" s="963"/>
      <c r="F167" s="1251"/>
      <c r="G167" s="1392"/>
      <c r="H167" s="1393"/>
      <c r="I167" s="379"/>
      <c r="J167" s="379"/>
      <c r="K167" s="861"/>
      <c r="L167" s="402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2.75">
      <c r="A168" s="964" t="s">
        <v>557</v>
      </c>
      <c r="B168" s="965"/>
      <c r="C168" s="959">
        <v>33133</v>
      </c>
      <c r="D168" s="960">
        <v>3616</v>
      </c>
      <c r="E168" s="963">
        <v>3000</v>
      </c>
      <c r="F168" s="1251"/>
      <c r="G168" s="1392"/>
      <c r="H168" s="1393"/>
      <c r="I168" s="379"/>
      <c r="J168" s="379"/>
      <c r="K168" s="861"/>
      <c r="L168" s="402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2.75">
      <c r="A169" s="964" t="s">
        <v>558</v>
      </c>
      <c r="B169" s="965"/>
      <c r="C169" s="959">
        <v>13055</v>
      </c>
      <c r="D169" s="960"/>
      <c r="E169" s="963">
        <v>0</v>
      </c>
      <c r="F169" s="1251"/>
      <c r="G169" s="1392"/>
      <c r="H169" s="1393"/>
      <c r="I169" s="379"/>
      <c r="J169" s="379"/>
      <c r="K169" s="861"/>
      <c r="L169" s="402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2.75">
      <c r="A170" s="964" t="s">
        <v>559</v>
      </c>
      <c r="B170" s="965"/>
      <c r="C170" s="959">
        <v>25370</v>
      </c>
      <c r="D170" s="960"/>
      <c r="E170" s="963"/>
      <c r="F170" s="1251"/>
      <c r="G170" s="1392"/>
      <c r="H170" s="1393"/>
      <c r="I170" s="379"/>
      <c r="J170" s="379"/>
      <c r="K170" s="861"/>
      <c r="L170" s="402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2.75">
      <c r="A171" s="966" t="s">
        <v>560</v>
      </c>
      <c r="B171" s="967"/>
      <c r="C171" s="968"/>
      <c r="D171" s="969"/>
      <c r="E171" s="963"/>
      <c r="F171" s="1251"/>
      <c r="G171" s="1392"/>
      <c r="H171" s="1393"/>
      <c r="I171" s="379"/>
      <c r="J171" s="379"/>
      <c r="K171" s="861"/>
      <c r="L171" s="402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3.5" thickBot="1">
      <c r="A172" s="385" t="s">
        <v>86</v>
      </c>
      <c r="B172" s="62">
        <f>+B141+B143-B154</f>
        <v>50571</v>
      </c>
      <c r="C172" s="62">
        <f>+D141</f>
        <v>9839</v>
      </c>
      <c r="D172" s="386">
        <f>+F137</f>
        <v>20315.49</v>
      </c>
      <c r="E172" s="1158">
        <f>+E141+E143-E154</f>
        <v>4599</v>
      </c>
      <c r="F172" s="1277" t="s">
        <v>86</v>
      </c>
      <c r="G172" s="1461"/>
      <c r="H172" s="1345"/>
      <c r="I172" s="386">
        <f>+I141+I143-I154</f>
        <v>207</v>
      </c>
      <c r="J172" s="386">
        <v>171</v>
      </c>
      <c r="K172" s="863">
        <f>+L141</f>
        <v>291.61</v>
      </c>
      <c r="L172" s="845">
        <f>+L141+L143-L154</f>
        <v>191.61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4" ht="29.25" customHeight="1" thickBot="1">
      <c r="A173" s="102" t="s">
        <v>306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162"/>
      <c r="N173" s="162"/>
      <c r="AG173" s="142"/>
      <c r="AH173" s="142"/>
    </row>
    <row r="174" spans="1:32" ht="12.75">
      <c r="A174" s="1622" t="s">
        <v>305</v>
      </c>
      <c r="B174" s="1260" t="s">
        <v>4</v>
      </c>
      <c r="C174" s="1260" t="s">
        <v>186</v>
      </c>
      <c r="D174" s="1262"/>
      <c r="E174" s="1262"/>
      <c r="F174" s="1262"/>
      <c r="G174" s="1262"/>
      <c r="H174" s="1263"/>
      <c r="I174" s="38"/>
      <c r="J174" s="589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2.75">
      <c r="A175" s="1623"/>
      <c r="B175" s="1624"/>
      <c r="C175" s="842" t="s">
        <v>87</v>
      </c>
      <c r="D175" s="217" t="s">
        <v>88</v>
      </c>
      <c r="E175" s="217" t="s">
        <v>89</v>
      </c>
      <c r="F175" s="217" t="s">
        <v>90</v>
      </c>
      <c r="G175" s="218" t="s">
        <v>91</v>
      </c>
      <c r="H175" s="219" t="s">
        <v>45</v>
      </c>
      <c r="I175" s="38"/>
      <c r="J175" s="58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9" s="974" customFormat="1" ht="12.75" customHeight="1">
      <c r="A176" s="712" t="s">
        <v>561</v>
      </c>
      <c r="B176" s="970">
        <f>56996.07+3323.864</f>
        <v>60319.934</v>
      </c>
      <c r="C176" s="971">
        <v>7218.784</v>
      </c>
      <c r="D176" s="971">
        <v>13003.503</v>
      </c>
      <c r="E176" s="971">
        <v>2295.792</v>
      </c>
      <c r="F176" s="971">
        <v>0</v>
      </c>
      <c r="G176" s="971">
        <v>0</v>
      </c>
      <c r="H176" s="972">
        <f>SUM(C176:G176)</f>
        <v>22518.079</v>
      </c>
      <c r="I176" s="973" t="s">
        <v>562</v>
      </c>
    </row>
    <row r="177" spans="1:9" s="974" customFormat="1" ht="12.75" customHeight="1" thickBot="1">
      <c r="A177" s="975" t="s">
        <v>92</v>
      </c>
      <c r="B177" s="976">
        <v>73005.72</v>
      </c>
      <c r="C177" s="977">
        <v>3615.245</v>
      </c>
      <c r="D177" s="977">
        <v>409.118</v>
      </c>
      <c r="E177" s="977">
        <v>165.727</v>
      </c>
      <c r="F177" s="977">
        <v>2983.076</v>
      </c>
      <c r="G177" s="977">
        <v>453.43</v>
      </c>
      <c r="H177" s="978">
        <f>SUM(C177:G177)</f>
        <v>7626.5960000000005</v>
      </c>
      <c r="I177" s="979"/>
    </row>
    <row r="178" spans="13:34" ht="2.25" customHeight="1">
      <c r="M178" s="162"/>
      <c r="N178" s="162"/>
      <c r="AG178" s="142"/>
      <c r="AH178" s="142"/>
    </row>
    <row r="179" spans="13:34" ht="13.5" thickBot="1">
      <c r="M179" s="162"/>
      <c r="N179" s="162"/>
      <c r="AG179" s="142"/>
      <c r="AH179" s="142"/>
    </row>
    <row r="180" spans="1:33" s="980" customFormat="1" ht="13.5" thickBot="1">
      <c r="A180" s="1268" t="s">
        <v>93</v>
      </c>
      <c r="B180" s="1430" t="s">
        <v>94</v>
      </c>
      <c r="C180" s="1429"/>
      <c r="D180" s="1429"/>
      <c r="E180" s="1429"/>
      <c r="F180" s="1621"/>
      <c r="G180" s="1430" t="s">
        <v>95</v>
      </c>
      <c r="H180" s="1429"/>
      <c r="I180" s="1429"/>
      <c r="J180" s="1429"/>
      <c r="K180" s="1621"/>
      <c r="L180" s="162"/>
      <c r="M180" s="16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</row>
    <row r="181" spans="1:33" s="980" customFormat="1" ht="13.5" thickBot="1">
      <c r="A181" s="1611"/>
      <c r="B181" s="541">
        <v>2003</v>
      </c>
      <c r="C181" s="25">
        <v>2004</v>
      </c>
      <c r="D181" s="25">
        <v>2005</v>
      </c>
      <c r="E181" s="25">
        <v>2006</v>
      </c>
      <c r="F181" s="447" t="s">
        <v>7</v>
      </c>
      <c r="G181" s="111">
        <v>2003</v>
      </c>
      <c r="H181" s="25">
        <v>2004</v>
      </c>
      <c r="I181" s="552">
        <v>2005</v>
      </c>
      <c r="J181" s="552">
        <v>2006</v>
      </c>
      <c r="K181" s="40" t="s">
        <v>7</v>
      </c>
      <c r="L181" s="162"/>
      <c r="M181" s="16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</row>
    <row r="182" spans="1:33" s="980" customFormat="1" ht="12.75">
      <c r="A182" s="981" t="s">
        <v>96</v>
      </c>
      <c r="B182" s="982">
        <v>100</v>
      </c>
      <c r="C182" s="983">
        <v>100</v>
      </c>
      <c r="D182" s="983">
        <v>100</v>
      </c>
      <c r="E182" s="984">
        <v>100</v>
      </c>
      <c r="F182" s="985">
        <f>+E182-D182</f>
        <v>0</v>
      </c>
      <c r="G182" s="986">
        <v>84.3</v>
      </c>
      <c r="H182" s="987">
        <v>79.9</v>
      </c>
      <c r="I182" s="988">
        <v>76.1</v>
      </c>
      <c r="J182" s="989">
        <v>78.1</v>
      </c>
      <c r="K182" s="990">
        <f aca="true" t="shared" si="15" ref="K182:K200">+J182-H182</f>
        <v>-1.8000000000000114</v>
      </c>
      <c r="L182" s="162"/>
      <c r="M182" s="16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</row>
    <row r="183" spans="1:33" s="980" customFormat="1" ht="12.75">
      <c r="A183" s="991" t="s">
        <v>97</v>
      </c>
      <c r="B183" s="992">
        <v>28</v>
      </c>
      <c r="C183" s="993">
        <v>28</v>
      </c>
      <c r="D183" s="993">
        <v>28</v>
      </c>
      <c r="E183" s="994">
        <v>28</v>
      </c>
      <c r="F183" s="985">
        <f aca="true" t="shared" si="16" ref="F183:F200">+E183-D183</f>
        <v>0</v>
      </c>
      <c r="G183" s="995">
        <v>69.8</v>
      </c>
      <c r="H183" s="996">
        <v>64.31</v>
      </c>
      <c r="I183" s="997">
        <v>62.671232876712324</v>
      </c>
      <c r="J183" s="998">
        <v>64.2</v>
      </c>
      <c r="K183" s="990">
        <f t="shared" si="15"/>
        <v>-0.10999999999999943</v>
      </c>
      <c r="L183" s="162"/>
      <c r="M183" s="16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</row>
    <row r="184" spans="1:33" s="980" customFormat="1" ht="12.75">
      <c r="A184" s="991" t="s">
        <v>98</v>
      </c>
      <c r="B184" s="992">
        <v>24</v>
      </c>
      <c r="C184" s="993">
        <v>24</v>
      </c>
      <c r="D184" s="993">
        <v>24</v>
      </c>
      <c r="E184" s="994">
        <v>24</v>
      </c>
      <c r="F184" s="985">
        <f t="shared" si="16"/>
        <v>0</v>
      </c>
      <c r="G184" s="995">
        <v>74.8</v>
      </c>
      <c r="H184" s="996">
        <v>77.96</v>
      </c>
      <c r="I184" s="997">
        <v>75.94805791772006</v>
      </c>
      <c r="J184" s="998">
        <v>79.6</v>
      </c>
      <c r="K184" s="990">
        <f t="shared" si="15"/>
        <v>1.6400000000000006</v>
      </c>
      <c r="L184" s="162"/>
      <c r="M184" s="16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</row>
    <row r="185" spans="1:33" s="980" customFormat="1" ht="12.75">
      <c r="A185" s="991" t="s">
        <v>99</v>
      </c>
      <c r="B185" s="992">
        <v>30</v>
      </c>
      <c r="C185" s="993">
        <v>30</v>
      </c>
      <c r="D185" s="993">
        <v>30</v>
      </c>
      <c r="E185" s="994">
        <v>30</v>
      </c>
      <c r="F185" s="985">
        <f t="shared" si="16"/>
        <v>0</v>
      </c>
      <c r="G185" s="995">
        <v>78.9</v>
      </c>
      <c r="H185" s="996">
        <v>78.65</v>
      </c>
      <c r="I185" s="997">
        <v>78.9295516925892</v>
      </c>
      <c r="J185" s="998">
        <v>76.9</v>
      </c>
      <c r="K185" s="990">
        <f t="shared" si="15"/>
        <v>-1.75</v>
      </c>
      <c r="L185" s="162"/>
      <c r="M185" s="16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</row>
    <row r="186" spans="1:33" s="980" customFormat="1" ht="12.75">
      <c r="A186" s="991" t="s">
        <v>100</v>
      </c>
      <c r="B186" s="992">
        <v>60</v>
      </c>
      <c r="C186" s="993">
        <v>50</v>
      </c>
      <c r="D186" s="993">
        <v>0</v>
      </c>
      <c r="E186" s="994"/>
      <c r="F186" s="985">
        <f t="shared" si="16"/>
        <v>0</v>
      </c>
      <c r="G186" s="995">
        <v>76.9</v>
      </c>
      <c r="H186" s="996">
        <v>91.01</v>
      </c>
      <c r="I186" s="997"/>
      <c r="J186" s="998"/>
      <c r="K186" s="990">
        <f t="shared" si="15"/>
        <v>-91.01</v>
      </c>
      <c r="L186" s="162"/>
      <c r="M186" s="16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</row>
    <row r="187" spans="1:33" s="980" customFormat="1" ht="12.75">
      <c r="A187" s="991" t="s">
        <v>101</v>
      </c>
      <c r="B187" s="992">
        <v>52</v>
      </c>
      <c r="C187" s="993">
        <v>52</v>
      </c>
      <c r="D187" s="993">
        <v>52</v>
      </c>
      <c r="E187" s="994">
        <v>52</v>
      </c>
      <c r="F187" s="985">
        <f t="shared" si="16"/>
        <v>0</v>
      </c>
      <c r="G187" s="995">
        <v>63.6</v>
      </c>
      <c r="H187" s="996">
        <v>59.12</v>
      </c>
      <c r="I187" s="997">
        <v>65.52988047808765</v>
      </c>
      <c r="J187" s="998">
        <v>68.8</v>
      </c>
      <c r="K187" s="990">
        <f t="shared" si="15"/>
        <v>9.68</v>
      </c>
      <c r="L187" s="162"/>
      <c r="M187" s="16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</row>
    <row r="188" spans="1:33" s="980" customFormat="1" ht="12.75">
      <c r="A188" s="991" t="s">
        <v>102</v>
      </c>
      <c r="B188" s="992">
        <v>84</v>
      </c>
      <c r="C188" s="993">
        <v>63</v>
      </c>
      <c r="D188" s="993">
        <v>56</v>
      </c>
      <c r="E188" s="994">
        <v>56</v>
      </c>
      <c r="F188" s="985">
        <f t="shared" si="16"/>
        <v>0</v>
      </c>
      <c r="G188" s="995">
        <v>49.9</v>
      </c>
      <c r="H188" s="996">
        <v>66.42</v>
      </c>
      <c r="I188" s="997">
        <v>75.58204258540458</v>
      </c>
      <c r="J188" s="998">
        <v>72.8</v>
      </c>
      <c r="K188" s="990">
        <f t="shared" si="15"/>
        <v>6.3799999999999955</v>
      </c>
      <c r="L188" s="162"/>
      <c r="M188" s="16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</row>
    <row r="189" spans="1:33" s="980" customFormat="1" ht="12.75">
      <c r="A189" s="991" t="s">
        <v>103</v>
      </c>
      <c r="B189" s="992">
        <v>102</v>
      </c>
      <c r="C189" s="993">
        <v>102</v>
      </c>
      <c r="D189" s="993">
        <v>102</v>
      </c>
      <c r="E189" s="994">
        <v>102</v>
      </c>
      <c r="F189" s="985">
        <f t="shared" si="16"/>
        <v>0</v>
      </c>
      <c r="G189" s="995">
        <v>78.8</v>
      </c>
      <c r="H189" s="996">
        <v>76.67</v>
      </c>
      <c r="I189" s="997">
        <v>77.57801019967154</v>
      </c>
      <c r="J189" s="998">
        <v>76.4</v>
      </c>
      <c r="K189" s="990">
        <f t="shared" si="15"/>
        <v>-0.269999999999996</v>
      </c>
      <c r="L189" s="162"/>
      <c r="M189" s="16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</row>
    <row r="190" spans="1:33" s="980" customFormat="1" ht="12.75">
      <c r="A190" s="991" t="s">
        <v>104</v>
      </c>
      <c r="B190" s="992">
        <v>5</v>
      </c>
      <c r="C190" s="993">
        <v>5</v>
      </c>
      <c r="D190" s="993">
        <v>5</v>
      </c>
      <c r="E190" s="994">
        <v>5</v>
      </c>
      <c r="F190" s="985">
        <f t="shared" si="16"/>
        <v>0</v>
      </c>
      <c r="G190" s="995">
        <v>65.5</v>
      </c>
      <c r="H190" s="996">
        <v>56.66</v>
      </c>
      <c r="I190" s="997">
        <v>77.9306549257017</v>
      </c>
      <c r="J190" s="998">
        <v>73.5</v>
      </c>
      <c r="K190" s="990">
        <f t="shared" si="15"/>
        <v>16.840000000000003</v>
      </c>
      <c r="L190" s="162"/>
      <c r="M190" s="16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</row>
    <row r="191" spans="1:33" s="980" customFormat="1" ht="12.75">
      <c r="A191" s="991" t="s">
        <v>105</v>
      </c>
      <c r="B191" s="992">
        <v>42</v>
      </c>
      <c r="C191" s="993">
        <v>42</v>
      </c>
      <c r="D191" s="993">
        <v>42</v>
      </c>
      <c r="E191" s="994">
        <v>42</v>
      </c>
      <c r="F191" s="985">
        <f t="shared" si="16"/>
        <v>0</v>
      </c>
      <c r="G191" s="995">
        <v>89.5</v>
      </c>
      <c r="H191" s="996">
        <v>91.64</v>
      </c>
      <c r="I191" s="997">
        <v>93.39074114962833</v>
      </c>
      <c r="J191" s="998">
        <v>92.6</v>
      </c>
      <c r="K191" s="990">
        <f t="shared" si="15"/>
        <v>0.9599999999999937</v>
      </c>
      <c r="L191" s="162"/>
      <c r="M191" s="16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</row>
    <row r="192" spans="1:33" s="980" customFormat="1" ht="12.75">
      <c r="A192" s="991" t="s">
        <v>106</v>
      </c>
      <c r="B192" s="992">
        <v>32</v>
      </c>
      <c r="C192" s="993">
        <v>32</v>
      </c>
      <c r="D192" s="993">
        <v>24</v>
      </c>
      <c r="E192" s="994">
        <v>24</v>
      </c>
      <c r="F192" s="985">
        <f t="shared" si="16"/>
        <v>0</v>
      </c>
      <c r="G192" s="995">
        <v>75.1</v>
      </c>
      <c r="H192" s="996">
        <v>72.95</v>
      </c>
      <c r="I192" s="997">
        <v>80.63251523636963</v>
      </c>
      <c r="J192" s="998">
        <v>79.6</v>
      </c>
      <c r="K192" s="990">
        <f t="shared" si="15"/>
        <v>6.6499999999999915</v>
      </c>
      <c r="L192" s="162"/>
      <c r="M192" s="16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</row>
    <row r="193" spans="1:33" s="980" customFormat="1" ht="12.75">
      <c r="A193" s="991" t="s">
        <v>107</v>
      </c>
      <c r="B193" s="992">
        <v>15</v>
      </c>
      <c r="C193" s="993">
        <v>15</v>
      </c>
      <c r="D193" s="993">
        <v>15</v>
      </c>
      <c r="E193" s="994">
        <v>15</v>
      </c>
      <c r="F193" s="985">
        <f t="shared" si="16"/>
        <v>0</v>
      </c>
      <c r="G193" s="995">
        <v>80.5</v>
      </c>
      <c r="H193" s="996">
        <v>78.87</v>
      </c>
      <c r="I193" s="997">
        <v>95.69090532421795</v>
      </c>
      <c r="J193" s="998">
        <v>76.8</v>
      </c>
      <c r="K193" s="990">
        <f t="shared" si="15"/>
        <v>-2.0700000000000074</v>
      </c>
      <c r="L193" s="162"/>
      <c r="M193" s="16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</row>
    <row r="194" spans="1:33" s="980" customFormat="1" ht="12.75">
      <c r="A194" s="991" t="s">
        <v>108</v>
      </c>
      <c r="B194" s="992">
        <v>18</v>
      </c>
      <c r="C194" s="993">
        <v>18</v>
      </c>
      <c r="D194" s="993">
        <v>18</v>
      </c>
      <c r="E194" s="994">
        <v>18</v>
      </c>
      <c r="F194" s="985">
        <f t="shared" si="16"/>
        <v>0</v>
      </c>
      <c r="G194" s="999">
        <v>70.5</v>
      </c>
      <c r="H194" s="996">
        <v>74.49</v>
      </c>
      <c r="I194" s="997">
        <v>74.84974572353214</v>
      </c>
      <c r="J194" s="998">
        <v>80.8</v>
      </c>
      <c r="K194" s="990">
        <f t="shared" si="15"/>
        <v>6.310000000000002</v>
      </c>
      <c r="L194" s="162"/>
      <c r="M194" s="16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</row>
    <row r="195" spans="1:33" s="980" customFormat="1" ht="12.75">
      <c r="A195" s="991" t="s">
        <v>109</v>
      </c>
      <c r="B195" s="992">
        <v>20</v>
      </c>
      <c r="C195" s="993">
        <v>20</v>
      </c>
      <c r="D195" s="993">
        <v>24</v>
      </c>
      <c r="E195" s="994">
        <v>24</v>
      </c>
      <c r="F195" s="985">
        <f t="shared" si="16"/>
        <v>0</v>
      </c>
      <c r="G195" s="995">
        <v>85.2</v>
      </c>
      <c r="H195" s="996">
        <v>89.73</v>
      </c>
      <c r="I195" s="997">
        <v>86.99245921235011</v>
      </c>
      <c r="J195" s="998">
        <v>80.8</v>
      </c>
      <c r="K195" s="990">
        <f t="shared" si="15"/>
        <v>-8.930000000000007</v>
      </c>
      <c r="L195" s="162"/>
      <c r="M195" s="16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</row>
    <row r="196" spans="1:33" s="980" customFormat="1" ht="12.75">
      <c r="A196" s="991" t="s">
        <v>110</v>
      </c>
      <c r="B196" s="992"/>
      <c r="C196" s="993"/>
      <c r="D196" s="993"/>
      <c r="E196" s="994"/>
      <c r="F196" s="985">
        <f t="shared" si="16"/>
        <v>0</v>
      </c>
      <c r="G196" s="995"/>
      <c r="H196" s="996"/>
      <c r="I196" s="997">
        <v>0</v>
      </c>
      <c r="J196" s="998"/>
      <c r="K196" s="990">
        <f t="shared" si="15"/>
        <v>0</v>
      </c>
      <c r="L196" s="162"/>
      <c r="M196" s="16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</row>
    <row r="197" spans="1:33" s="980" customFormat="1" ht="12.75">
      <c r="A197" s="991" t="s">
        <v>111</v>
      </c>
      <c r="B197" s="992">
        <v>15</v>
      </c>
      <c r="C197" s="993">
        <v>21</v>
      </c>
      <c r="D197" s="993">
        <v>23</v>
      </c>
      <c r="E197" s="994">
        <v>23</v>
      </c>
      <c r="F197" s="985">
        <f t="shared" si="16"/>
        <v>0</v>
      </c>
      <c r="G197" s="995">
        <v>87.9</v>
      </c>
      <c r="H197" s="996">
        <v>80.95</v>
      </c>
      <c r="I197" s="997">
        <v>87.11930829017429</v>
      </c>
      <c r="J197" s="998">
        <v>87.1</v>
      </c>
      <c r="K197" s="990">
        <f t="shared" si="15"/>
        <v>6.1499999999999915</v>
      </c>
      <c r="L197" s="162"/>
      <c r="M197" s="16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</row>
    <row r="198" spans="1:33" s="980" customFormat="1" ht="12.75">
      <c r="A198" s="1000" t="s">
        <v>279</v>
      </c>
      <c r="B198" s="992">
        <v>20</v>
      </c>
      <c r="C198" s="993">
        <v>41</v>
      </c>
      <c r="D198" s="993">
        <v>41</v>
      </c>
      <c r="E198" s="994">
        <v>55</v>
      </c>
      <c r="F198" s="985">
        <f t="shared" si="16"/>
        <v>14</v>
      </c>
      <c r="G198" s="995">
        <v>94.1</v>
      </c>
      <c r="H198" s="996">
        <v>99.25</v>
      </c>
      <c r="I198" s="997">
        <v>102.9496547563183</v>
      </c>
      <c r="J198" s="998">
        <v>94.7</v>
      </c>
      <c r="K198" s="990">
        <f t="shared" si="15"/>
        <v>-4.549999999999997</v>
      </c>
      <c r="L198" s="162"/>
      <c r="M198" s="16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</row>
    <row r="199" spans="1:33" s="980" customFormat="1" ht="13.5" thickBot="1">
      <c r="A199" s="1001" t="s">
        <v>113</v>
      </c>
      <c r="B199" s="1002"/>
      <c r="C199" s="1003"/>
      <c r="D199" s="1003"/>
      <c r="E199" s="1004"/>
      <c r="F199" s="1005">
        <f t="shared" si="16"/>
        <v>0</v>
      </c>
      <c r="G199" s="1006"/>
      <c r="H199" s="1007"/>
      <c r="I199" s="1008"/>
      <c r="J199" s="1009"/>
      <c r="K199" s="1010">
        <f t="shared" si="15"/>
        <v>0</v>
      </c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</row>
    <row r="200" spans="1:33" s="980" customFormat="1" ht="13.5" thickBot="1">
      <c r="A200" s="841" t="s">
        <v>4</v>
      </c>
      <c r="B200" s="553">
        <f>SUM(B182:B199)</f>
        <v>647</v>
      </c>
      <c r="C200" s="41">
        <f>SUM(C182:C199)</f>
        <v>643</v>
      </c>
      <c r="D200" s="554">
        <f>SUM(D182:D199)</f>
        <v>584</v>
      </c>
      <c r="E200" s="1011">
        <f>SUM(E182:E198)</f>
        <v>598</v>
      </c>
      <c r="F200" s="555">
        <f t="shared" si="16"/>
        <v>14</v>
      </c>
      <c r="G200" s="556">
        <v>75</v>
      </c>
      <c r="H200" s="557">
        <v>77.82</v>
      </c>
      <c r="I200" s="558">
        <v>79.34088666319172</v>
      </c>
      <c r="J200" s="1012">
        <v>78.7</v>
      </c>
      <c r="K200" s="224">
        <f t="shared" si="15"/>
        <v>0.8800000000000097</v>
      </c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</row>
    <row r="201" spans="1:34" ht="4.5" customHeight="1">
      <c r="A201" s="551"/>
      <c r="B201" s="551"/>
      <c r="C201" s="1609"/>
      <c r="D201" s="1610"/>
      <c r="E201" s="1610"/>
      <c r="F201" s="1610"/>
      <c r="G201" s="1610"/>
      <c r="H201" s="551"/>
      <c r="I201" s="551"/>
      <c r="J201" s="551"/>
      <c r="K201" s="551"/>
      <c r="L201"/>
      <c r="M201"/>
      <c r="N201" s="162"/>
      <c r="AG201" s="142"/>
      <c r="AH201" s="142"/>
    </row>
    <row r="202" spans="1:34" ht="4.5" customHeight="1">
      <c r="A202" s="551"/>
      <c r="B202" s="551"/>
      <c r="C202" s="551"/>
      <c r="D202" s="551"/>
      <c r="E202" s="551"/>
      <c r="F202" s="551"/>
      <c r="G202" s="551"/>
      <c r="H202" s="551"/>
      <c r="I202" s="551"/>
      <c r="J202" s="551"/>
      <c r="K202" s="551"/>
      <c r="L202"/>
      <c r="M202"/>
      <c r="N202" s="162"/>
      <c r="AG202" s="142"/>
      <c r="AH202" s="142"/>
    </row>
    <row r="203" spans="1:34" ht="12.75" customHeight="1">
      <c r="A203" s="1608" t="s">
        <v>563</v>
      </c>
      <c r="B203" s="1233"/>
      <c r="C203" s="1233"/>
      <c r="D203" s="1233"/>
      <c r="E203" s="1233"/>
      <c r="F203" s="1233"/>
      <c r="G203" s="1233"/>
      <c r="H203" s="1233"/>
      <c r="I203" s="1233"/>
      <c r="J203" s="1233"/>
      <c r="K203" s="1234"/>
      <c r="L203"/>
      <c r="M203"/>
      <c r="N203" s="162"/>
      <c r="AG203" s="142"/>
      <c r="AH203" s="142"/>
    </row>
    <row r="204" spans="1:34" ht="12.75">
      <c r="A204" s="1227"/>
      <c r="B204" s="1228"/>
      <c r="C204" s="1228"/>
      <c r="D204" s="1228"/>
      <c r="E204" s="1228"/>
      <c r="F204" s="1228"/>
      <c r="G204" s="1228"/>
      <c r="H204" s="1228"/>
      <c r="I204" s="1228"/>
      <c r="J204" s="1228"/>
      <c r="K204" s="1229"/>
      <c r="L204"/>
      <c r="M204"/>
      <c r="N204" s="162"/>
      <c r="AG204" s="142"/>
      <c r="AH204" s="142"/>
    </row>
    <row r="205" spans="13:34" ht="13.5" thickBot="1">
      <c r="M205" s="162"/>
      <c r="N205" s="162"/>
      <c r="AG205" s="142"/>
      <c r="AH205" s="142"/>
    </row>
    <row r="206" spans="1:32" ht="12.75">
      <c r="A206" s="1270" t="s">
        <v>114</v>
      </c>
      <c r="B206" s="1271"/>
      <c r="C206" s="1386" t="s">
        <v>115</v>
      </c>
      <c r="D206" s="1384"/>
      <c r="E206" s="1385"/>
      <c r="F206" s="1384" t="s">
        <v>159</v>
      </c>
      <c r="G206" s="1384"/>
      <c r="H206" s="1385"/>
      <c r="I206" s="1183" t="s">
        <v>300</v>
      </c>
      <c r="J206" s="1193"/>
      <c r="K206" s="1349"/>
      <c r="L206" s="142"/>
      <c r="AE206"/>
      <c r="AF206"/>
    </row>
    <row r="207" spans="1:32" ht="27.75" thickBot="1">
      <c r="A207" s="1272"/>
      <c r="B207" s="1273"/>
      <c r="C207" s="42" t="s">
        <v>116</v>
      </c>
      <c r="D207" s="43" t="s">
        <v>117</v>
      </c>
      <c r="E207" s="29" t="s">
        <v>118</v>
      </c>
      <c r="F207" s="43" t="s">
        <v>116</v>
      </c>
      <c r="G207" s="43" t="s">
        <v>117</v>
      </c>
      <c r="H207" s="29" t="s">
        <v>118</v>
      </c>
      <c r="I207" s="43" t="s">
        <v>116</v>
      </c>
      <c r="J207" s="43" t="s">
        <v>117</v>
      </c>
      <c r="K207" s="29" t="s">
        <v>118</v>
      </c>
      <c r="L207" s="142"/>
      <c r="AE207"/>
      <c r="AF207"/>
    </row>
    <row r="208" spans="1:32" ht="23.25" customHeight="1">
      <c r="A208" s="1256" t="s">
        <v>119</v>
      </c>
      <c r="B208" s="1606"/>
      <c r="C208" s="719">
        <v>121.23</v>
      </c>
      <c r="D208" s="328">
        <v>53467097</v>
      </c>
      <c r="E208" s="256">
        <f aca="true" t="shared" si="17" ref="E208:E218">+IF(C208&gt;0,D208/C208/12,"")</f>
        <v>36753.20808930683</v>
      </c>
      <c r="F208" s="371">
        <v>119.2</v>
      </c>
      <c r="G208" s="328">
        <v>54706758</v>
      </c>
      <c r="H208" s="256">
        <f aca="true" t="shared" si="18" ref="H208:H218">+IF(F208&gt;0,G208/F208/12,"")</f>
        <v>38245.77600671141</v>
      </c>
      <c r="I208" s="719">
        <v>121.39</v>
      </c>
      <c r="J208" s="328">
        <v>60078082</v>
      </c>
      <c r="K208" s="256">
        <f aca="true" t="shared" si="19" ref="K208:K218">+IF(I208&gt;0,J208/I208/12,"")</f>
        <v>41243.1570420408</v>
      </c>
      <c r="L208" s="142"/>
      <c r="AE208"/>
      <c r="AF208"/>
    </row>
    <row r="209" spans="1:32" ht="23.25" customHeight="1">
      <c r="A209" s="1256" t="s">
        <v>120</v>
      </c>
      <c r="B209" s="1606"/>
      <c r="C209" s="720">
        <v>4.39</v>
      </c>
      <c r="D209" s="327">
        <v>1742169</v>
      </c>
      <c r="E209" s="254">
        <f t="shared" si="17"/>
        <v>33070.78587699317</v>
      </c>
      <c r="F209" s="372">
        <v>3.62</v>
      </c>
      <c r="G209" s="327">
        <v>1674494</v>
      </c>
      <c r="H209" s="254">
        <f t="shared" si="18"/>
        <v>38547.28360957643</v>
      </c>
      <c r="I209" s="720">
        <v>3.83</v>
      </c>
      <c r="J209" s="327">
        <v>1800643</v>
      </c>
      <c r="K209" s="254">
        <f t="shared" si="19"/>
        <v>39178.48128807659</v>
      </c>
      <c r="L209" s="142"/>
      <c r="AE209"/>
      <c r="AF209"/>
    </row>
    <row r="210" spans="1:32" ht="23.25" customHeight="1">
      <c r="A210" s="1256" t="s">
        <v>121</v>
      </c>
      <c r="B210" s="1606"/>
      <c r="C210" s="720">
        <v>430.78</v>
      </c>
      <c r="D210" s="327">
        <v>84231304</v>
      </c>
      <c r="E210" s="254">
        <f t="shared" si="17"/>
        <v>16294.338951050035</v>
      </c>
      <c r="F210" s="372">
        <v>430.03</v>
      </c>
      <c r="G210" s="327">
        <v>86442324</v>
      </c>
      <c r="H210" s="254">
        <f t="shared" si="18"/>
        <v>16751.219682347746</v>
      </c>
      <c r="I210" s="720">
        <v>427.47</v>
      </c>
      <c r="J210" s="327">
        <v>100126795</v>
      </c>
      <c r="K210" s="254">
        <f t="shared" si="19"/>
        <v>19519.263535062888</v>
      </c>
      <c r="L210" s="142"/>
      <c r="AE210"/>
      <c r="AF210"/>
    </row>
    <row r="211" spans="1:32" ht="23.25" customHeight="1">
      <c r="A211" s="1256" t="s">
        <v>122</v>
      </c>
      <c r="B211" s="1606"/>
      <c r="C211" s="720">
        <v>50.99</v>
      </c>
      <c r="D211" s="327">
        <v>10719487</v>
      </c>
      <c r="E211" s="254">
        <f t="shared" si="17"/>
        <v>17518.936719618225</v>
      </c>
      <c r="F211" s="372">
        <v>46.83</v>
      </c>
      <c r="G211" s="327">
        <v>10811826</v>
      </c>
      <c r="H211" s="254">
        <f t="shared" si="18"/>
        <v>19239.493914157592</v>
      </c>
      <c r="I211" s="720">
        <v>45.57</v>
      </c>
      <c r="J211" s="327">
        <v>12263995</v>
      </c>
      <c r="K211" s="254">
        <f t="shared" si="19"/>
        <v>22427.026186818814</v>
      </c>
      <c r="L211" s="142"/>
      <c r="AE211"/>
      <c r="AF211"/>
    </row>
    <row r="212" spans="1:32" ht="23.25" customHeight="1">
      <c r="A212" s="1256" t="s">
        <v>123</v>
      </c>
      <c r="B212" s="1606"/>
      <c r="C212" s="720">
        <v>13.29</v>
      </c>
      <c r="D212" s="327">
        <v>2396532</v>
      </c>
      <c r="E212" s="254">
        <f t="shared" si="17"/>
        <v>15027.163280662155</v>
      </c>
      <c r="F212" s="372">
        <v>13.78</v>
      </c>
      <c r="G212" s="327">
        <v>2739699</v>
      </c>
      <c r="H212" s="254">
        <f t="shared" si="18"/>
        <v>16568.087808417997</v>
      </c>
      <c r="I212" s="720">
        <v>15.44</v>
      </c>
      <c r="J212" s="327">
        <v>3825395</v>
      </c>
      <c r="K212" s="254">
        <f t="shared" si="19"/>
        <v>20646.56196027634</v>
      </c>
      <c r="L212" s="142"/>
      <c r="AE212"/>
      <c r="AF212"/>
    </row>
    <row r="213" spans="1:32" ht="23.25" customHeight="1">
      <c r="A213" s="1256" t="s">
        <v>124</v>
      </c>
      <c r="B213" s="1606"/>
      <c r="C213" s="720">
        <v>110.97</v>
      </c>
      <c r="D213" s="327">
        <v>13547918</v>
      </c>
      <c r="E213" s="254">
        <f t="shared" si="17"/>
        <v>10173.859301312668</v>
      </c>
      <c r="F213" s="372">
        <v>121.06</v>
      </c>
      <c r="G213" s="327">
        <v>15297000</v>
      </c>
      <c r="H213" s="254">
        <f t="shared" si="18"/>
        <v>10529.90252767223</v>
      </c>
      <c r="I213" s="720">
        <v>114.59</v>
      </c>
      <c r="J213" s="327">
        <v>16214604</v>
      </c>
      <c r="K213" s="254">
        <f t="shared" si="19"/>
        <v>11791.753207086133</v>
      </c>
      <c r="L213" s="142"/>
      <c r="AE213"/>
      <c r="AF213"/>
    </row>
    <row r="214" spans="1:32" ht="23.25" customHeight="1">
      <c r="A214" s="1256" t="s">
        <v>125</v>
      </c>
      <c r="B214" s="1606"/>
      <c r="C214" s="720">
        <v>15.2</v>
      </c>
      <c r="D214" s="327">
        <v>2940578</v>
      </c>
      <c r="E214" s="254">
        <f t="shared" si="17"/>
        <v>16121.589912280702</v>
      </c>
      <c r="F214" s="372">
        <v>11.82</v>
      </c>
      <c r="G214" s="327">
        <v>2353301</v>
      </c>
      <c r="H214" s="254">
        <f t="shared" si="18"/>
        <v>16591.23660462493</v>
      </c>
      <c r="I214" s="720">
        <v>11.32</v>
      </c>
      <c r="J214" s="327">
        <v>2499964</v>
      </c>
      <c r="K214" s="254">
        <f t="shared" si="19"/>
        <v>18403.73969375736</v>
      </c>
      <c r="L214" s="142"/>
      <c r="AE214"/>
      <c r="AF214"/>
    </row>
    <row r="215" spans="1:32" ht="23.25" customHeight="1">
      <c r="A215" s="1256" t="s">
        <v>126</v>
      </c>
      <c r="B215" s="1606"/>
      <c r="C215" s="720">
        <v>0.08</v>
      </c>
      <c r="D215" s="327">
        <v>23151</v>
      </c>
      <c r="E215" s="254">
        <f t="shared" si="17"/>
        <v>24115.625</v>
      </c>
      <c r="F215" s="372">
        <v>0.12</v>
      </c>
      <c r="G215" s="327">
        <v>27231</v>
      </c>
      <c r="H215" s="254">
        <f t="shared" si="18"/>
        <v>18910.416666666668</v>
      </c>
      <c r="I215" s="720">
        <v>0</v>
      </c>
      <c r="J215" s="327">
        <v>0</v>
      </c>
      <c r="K215" s="254">
        <f t="shared" si="19"/>
      </c>
      <c r="L215" s="142"/>
      <c r="AE215"/>
      <c r="AF215"/>
    </row>
    <row r="216" spans="1:32" ht="23.25" customHeight="1">
      <c r="A216" s="1256" t="s">
        <v>127</v>
      </c>
      <c r="B216" s="1606"/>
      <c r="C216" s="257">
        <v>60.36</v>
      </c>
      <c r="D216" s="253">
        <v>12421848</v>
      </c>
      <c r="E216" s="254">
        <f t="shared" si="17"/>
        <v>17149.668654738238</v>
      </c>
      <c r="F216" s="373">
        <v>58.04</v>
      </c>
      <c r="G216" s="253">
        <v>13717580</v>
      </c>
      <c r="H216" s="254">
        <f t="shared" si="18"/>
        <v>19695.583505628303</v>
      </c>
      <c r="I216" s="257">
        <v>60.86</v>
      </c>
      <c r="J216" s="253">
        <v>14112400</v>
      </c>
      <c r="K216" s="254">
        <f t="shared" si="19"/>
        <v>19323.584182276263</v>
      </c>
      <c r="L216" s="142"/>
      <c r="AE216"/>
      <c r="AF216"/>
    </row>
    <row r="217" spans="1:32" ht="23.25" customHeight="1" thickBot="1">
      <c r="A217" s="1371" t="s">
        <v>128</v>
      </c>
      <c r="B217" s="1607"/>
      <c r="C217" s="719">
        <v>70.07</v>
      </c>
      <c r="D217" s="328">
        <v>8966609</v>
      </c>
      <c r="E217" s="256">
        <f t="shared" si="17"/>
        <v>10663.870653156368</v>
      </c>
      <c r="F217" s="371">
        <v>68.38</v>
      </c>
      <c r="G217" s="328">
        <v>9438239</v>
      </c>
      <c r="H217" s="254">
        <f t="shared" si="18"/>
        <v>11502.192405186703</v>
      </c>
      <c r="I217" s="719">
        <v>80.42</v>
      </c>
      <c r="J217" s="328">
        <v>10897394</v>
      </c>
      <c r="K217" s="254">
        <f t="shared" si="19"/>
        <v>11292.168200281854</v>
      </c>
      <c r="L217" s="142"/>
      <c r="AE217"/>
      <c r="AF217"/>
    </row>
    <row r="218" spans="1:32" ht="18.75" customHeight="1" thickBot="1">
      <c r="A218" s="1288" t="s">
        <v>4</v>
      </c>
      <c r="B218" s="1383"/>
      <c r="C218" s="119">
        <f>SUM(C208:C217)</f>
        <v>877.3600000000001</v>
      </c>
      <c r="D218" s="115">
        <f>SUM(D208:D217)</f>
        <v>190456693</v>
      </c>
      <c r="E218" s="116">
        <f t="shared" si="17"/>
        <v>18089.94151013647</v>
      </c>
      <c r="F218" s="374">
        <f>SUM(F208:F217)</f>
        <v>872.88</v>
      </c>
      <c r="G218" s="115">
        <f>SUM(G208:G217)</f>
        <v>197208452</v>
      </c>
      <c r="H218" s="116">
        <f t="shared" si="18"/>
        <v>18827.37336938258</v>
      </c>
      <c r="I218" s="119">
        <f>SUM(I208:I217)</f>
        <v>880.8900000000002</v>
      </c>
      <c r="J218" s="115">
        <f>SUM(J208:J217)</f>
        <v>221819272</v>
      </c>
      <c r="K218" s="116">
        <f t="shared" si="19"/>
        <v>20984.390029780483</v>
      </c>
      <c r="L218" s="142"/>
      <c r="AE218"/>
      <c r="AF218"/>
    </row>
    <row r="219" spans="13:34" ht="12.75">
      <c r="M219" s="162"/>
      <c r="N219" s="162"/>
      <c r="AG219" s="142"/>
      <c r="AH219" s="142"/>
    </row>
    <row r="220" spans="13:34" ht="12.75">
      <c r="M220" s="162"/>
      <c r="N220" s="162"/>
      <c r="AG220" s="142"/>
      <c r="AH220" s="142"/>
    </row>
    <row r="221" spans="13:34" ht="12.75">
      <c r="M221" s="162"/>
      <c r="N221" s="162"/>
      <c r="AG221" s="142"/>
      <c r="AH221" s="142"/>
    </row>
    <row r="222" spans="13:34" ht="12.75">
      <c r="M222" s="162"/>
      <c r="N222" s="162"/>
      <c r="AG222" s="142"/>
      <c r="AH222" s="142"/>
    </row>
    <row r="223" spans="13:34" ht="12.75">
      <c r="M223" s="162"/>
      <c r="N223" s="162"/>
      <c r="AG223" s="142"/>
      <c r="AH223" s="142"/>
    </row>
    <row r="224" spans="13:34" ht="12.75">
      <c r="M224" s="162"/>
      <c r="N224" s="162"/>
      <c r="AG224" s="142"/>
      <c r="AH224" s="142"/>
    </row>
    <row r="225" spans="13:34" ht="12.75">
      <c r="M225" s="162"/>
      <c r="N225" s="162"/>
      <c r="AG225" s="142"/>
      <c r="AH225" s="142"/>
    </row>
    <row r="226" spans="13:34" ht="12.75">
      <c r="M226" s="162"/>
      <c r="N226" s="162"/>
      <c r="AG226" s="142"/>
      <c r="AH226" s="142"/>
    </row>
    <row r="227" spans="13:34" ht="12.75">
      <c r="M227" s="162"/>
      <c r="N227" s="162"/>
      <c r="AG227" s="142"/>
      <c r="AH227" s="142"/>
    </row>
    <row r="228" spans="13:34" ht="12.75">
      <c r="M228" s="162"/>
      <c r="N228" s="162"/>
      <c r="AG228" s="142"/>
      <c r="AH228" s="142"/>
    </row>
    <row r="229" spans="13:34" ht="12.75">
      <c r="M229" s="162"/>
      <c r="N229" s="162"/>
      <c r="AG229" s="142"/>
      <c r="AH229" s="142"/>
    </row>
    <row r="230" spans="13:34" ht="12.75">
      <c r="M230" s="162"/>
      <c r="N230" s="162"/>
      <c r="AG230" s="142"/>
      <c r="AH230" s="142"/>
    </row>
    <row r="231" spans="13:34" ht="12.75">
      <c r="M231" s="162"/>
      <c r="N231" s="162"/>
      <c r="AG231" s="142"/>
      <c r="AH231" s="142"/>
    </row>
    <row r="232" spans="13:34" ht="12.75">
      <c r="M232" s="162"/>
      <c r="N232" s="162"/>
      <c r="AG232" s="142"/>
      <c r="AH232" s="142"/>
    </row>
    <row r="233" spans="13:34" ht="12.75">
      <c r="M233" s="162"/>
      <c r="N233" s="162"/>
      <c r="AG233" s="142"/>
      <c r="AH233" s="142"/>
    </row>
    <row r="234" spans="13:34" ht="12.75">
      <c r="M234" s="162"/>
      <c r="N234" s="162"/>
      <c r="AG234" s="142"/>
      <c r="AH234" s="142"/>
    </row>
    <row r="235" spans="13:34" ht="12.75">
      <c r="M235" s="162"/>
      <c r="N235" s="162"/>
      <c r="AG235" s="142"/>
      <c r="AH235" s="142"/>
    </row>
    <row r="236" spans="13:34" ht="12.75">
      <c r="M236" s="162"/>
      <c r="N236" s="162"/>
      <c r="AG236" s="142"/>
      <c r="AH236" s="142"/>
    </row>
    <row r="237" spans="13:34" ht="12.75">
      <c r="M237" s="162"/>
      <c r="N237" s="162"/>
      <c r="AG237" s="142"/>
      <c r="AH237" s="142"/>
    </row>
    <row r="238" spans="13:34" ht="12.75">
      <c r="M238" s="162"/>
      <c r="N238" s="162"/>
      <c r="AG238" s="142"/>
      <c r="AH238" s="142"/>
    </row>
    <row r="239" spans="13:34" ht="12.75">
      <c r="M239" s="162"/>
      <c r="N239" s="162"/>
      <c r="AG239" s="142"/>
      <c r="AH239" s="142"/>
    </row>
    <row r="240" spans="13:34" ht="12.75">
      <c r="M240" s="162"/>
      <c r="N240" s="162"/>
      <c r="AG240" s="142"/>
      <c r="AH240" s="142"/>
    </row>
    <row r="241" spans="13:34" ht="12.75">
      <c r="M241" s="162"/>
      <c r="N241" s="162"/>
      <c r="AG241" s="142"/>
      <c r="AH241" s="142"/>
    </row>
    <row r="242" spans="13:34" ht="12.75">
      <c r="M242" s="162"/>
      <c r="N242" s="162"/>
      <c r="AG242" s="142"/>
      <c r="AH242" s="142"/>
    </row>
    <row r="243" spans="13:34" ht="12.75">
      <c r="M243" s="162"/>
      <c r="N243" s="162"/>
      <c r="AG243" s="142"/>
      <c r="AH243" s="142"/>
    </row>
    <row r="244" spans="13:34" ht="12.75">
      <c r="M244" s="162"/>
      <c r="N244" s="162"/>
      <c r="AG244" s="142"/>
      <c r="AH244" s="142"/>
    </row>
    <row r="245" spans="13:34" ht="12.75">
      <c r="M245" s="162"/>
      <c r="N245" s="162"/>
      <c r="AG245" s="142"/>
      <c r="AH245" s="142"/>
    </row>
    <row r="246" spans="13:34" ht="12.75">
      <c r="M246" s="162"/>
      <c r="N246" s="162"/>
      <c r="AG246" s="142"/>
      <c r="AH246" s="142"/>
    </row>
    <row r="247" spans="13:34" ht="12.75">
      <c r="M247" s="162"/>
      <c r="N247" s="162"/>
      <c r="AG247" s="142"/>
      <c r="AH247" s="142"/>
    </row>
    <row r="248" spans="13:34" ht="12.75">
      <c r="M248" s="162"/>
      <c r="N248" s="162"/>
      <c r="AG248" s="142"/>
      <c r="AH248" s="142"/>
    </row>
    <row r="249" spans="13:34" ht="12.75">
      <c r="M249" s="162"/>
      <c r="N249" s="162"/>
      <c r="AG249" s="142"/>
      <c r="AH249" s="142"/>
    </row>
    <row r="250" spans="13:34" ht="12.75">
      <c r="M250" s="162"/>
      <c r="N250" s="162"/>
      <c r="AG250" s="142"/>
      <c r="AH250" s="142"/>
    </row>
    <row r="251" spans="13:34" ht="12.75">
      <c r="M251" s="162"/>
      <c r="N251" s="162"/>
      <c r="AG251" s="142"/>
      <c r="AH251" s="142"/>
    </row>
    <row r="252" spans="13:34" ht="12.75">
      <c r="M252" s="162"/>
      <c r="N252" s="162"/>
      <c r="AG252" s="142"/>
      <c r="AH252" s="142"/>
    </row>
    <row r="253" spans="13:34" ht="12.75">
      <c r="M253" s="162"/>
      <c r="N253" s="162"/>
      <c r="AG253" s="142"/>
      <c r="AH253" s="142"/>
    </row>
    <row r="254" spans="13:34" ht="12.75">
      <c r="M254" s="162"/>
      <c r="N254" s="162"/>
      <c r="AG254" s="142"/>
      <c r="AH254" s="142"/>
    </row>
    <row r="255" spans="13:34" ht="12.75">
      <c r="M255" s="162"/>
      <c r="N255" s="162"/>
      <c r="AG255" s="142"/>
      <c r="AH255" s="142"/>
    </row>
    <row r="256" spans="13:34" ht="12.75">
      <c r="M256" s="162"/>
      <c r="N256" s="162"/>
      <c r="AG256" s="142"/>
      <c r="AH256" s="142"/>
    </row>
    <row r="257" spans="13:34" ht="12.75">
      <c r="M257" s="162"/>
      <c r="N257" s="162"/>
      <c r="AG257" s="142"/>
      <c r="AH257" s="142"/>
    </row>
    <row r="258" spans="13:34" ht="12.75">
      <c r="M258" s="162"/>
      <c r="N258" s="162"/>
      <c r="AG258" s="142"/>
      <c r="AH258" s="142"/>
    </row>
    <row r="259" spans="13:34" ht="12.75">
      <c r="M259" s="162"/>
      <c r="N259" s="162"/>
      <c r="AG259" s="142"/>
      <c r="AH259" s="142"/>
    </row>
    <row r="260" spans="13:34" ht="12.75">
      <c r="M260" s="162"/>
      <c r="N260" s="162"/>
      <c r="AG260" s="142"/>
      <c r="AH260" s="142"/>
    </row>
    <row r="261" spans="13:34" ht="12.75">
      <c r="M261" s="162"/>
      <c r="N261" s="162"/>
      <c r="AG261" s="142"/>
      <c r="AH261" s="142"/>
    </row>
    <row r="262" spans="13:34" ht="12.75">
      <c r="M262" s="162"/>
      <c r="N262" s="162"/>
      <c r="AG262" s="142"/>
      <c r="AH262" s="142"/>
    </row>
    <row r="263" spans="13:34" ht="12.75">
      <c r="M263" s="162"/>
      <c r="N263" s="162"/>
      <c r="AG263" s="142"/>
      <c r="AH263" s="142"/>
    </row>
    <row r="264" spans="13:34" ht="12.75">
      <c r="M264" s="162"/>
      <c r="N264" s="162"/>
      <c r="AG264" s="142"/>
      <c r="AH264" s="142"/>
    </row>
    <row r="265" spans="13:34" ht="12.75">
      <c r="M265" s="162"/>
      <c r="N265" s="162"/>
      <c r="AG265" s="142"/>
      <c r="AH265" s="142"/>
    </row>
    <row r="266" spans="13:34" ht="12.75">
      <c r="M266" s="162"/>
      <c r="N266" s="162"/>
      <c r="AG266" s="142"/>
      <c r="AH266" s="142"/>
    </row>
    <row r="267" spans="13:34" ht="12.75">
      <c r="M267" s="162"/>
      <c r="N267" s="162"/>
      <c r="AG267" s="142"/>
      <c r="AH267" s="142"/>
    </row>
    <row r="268" spans="13:34" ht="12.75">
      <c r="M268" s="162"/>
      <c r="N268" s="162"/>
      <c r="AG268" s="142"/>
      <c r="AH268" s="142"/>
    </row>
    <row r="269" spans="13:34" ht="12.75">
      <c r="M269" s="162"/>
      <c r="N269" s="162"/>
      <c r="AG269" s="142"/>
      <c r="AH269" s="142"/>
    </row>
    <row r="270" spans="13:34" ht="12.75">
      <c r="M270" s="162"/>
      <c r="N270" s="162"/>
      <c r="AG270" s="142"/>
      <c r="AH270" s="142"/>
    </row>
    <row r="271" spans="13:34" ht="12.75">
      <c r="M271" s="162"/>
      <c r="N271" s="162"/>
      <c r="AG271" s="142"/>
      <c r="AH271" s="142"/>
    </row>
    <row r="272" spans="13:34" ht="12.75">
      <c r="M272" s="162"/>
      <c r="N272" s="162"/>
      <c r="AG272" s="142"/>
      <c r="AH272" s="142"/>
    </row>
    <row r="273" spans="13:34" ht="12.75">
      <c r="M273" s="162"/>
      <c r="N273" s="162"/>
      <c r="AG273" s="142"/>
      <c r="AH273" s="142"/>
    </row>
    <row r="274" spans="13:34" ht="12.75">
      <c r="M274" s="162"/>
      <c r="N274" s="162"/>
      <c r="AG274" s="142"/>
      <c r="AH274" s="142"/>
    </row>
    <row r="275" spans="13:34" ht="12.75">
      <c r="M275" s="162"/>
      <c r="N275" s="162"/>
      <c r="AG275" s="142"/>
      <c r="AH275" s="142"/>
    </row>
    <row r="276" spans="13:34" ht="12.75">
      <c r="M276" s="162"/>
      <c r="N276" s="162"/>
      <c r="AG276" s="142"/>
      <c r="AH276" s="142"/>
    </row>
    <row r="277" spans="13:34" ht="12.75">
      <c r="M277" s="162"/>
      <c r="N277" s="162"/>
      <c r="AG277" s="142"/>
      <c r="AH277" s="142"/>
    </row>
    <row r="278" spans="13:34" ht="12.75">
      <c r="M278" s="162"/>
      <c r="N278" s="162"/>
      <c r="AG278" s="142"/>
      <c r="AH278" s="142"/>
    </row>
    <row r="279" spans="13:34" ht="12.75">
      <c r="M279" s="162"/>
      <c r="N279" s="162"/>
      <c r="AG279" s="142"/>
      <c r="AH279" s="142"/>
    </row>
    <row r="280" spans="13:34" ht="12.75">
      <c r="M280" s="162"/>
      <c r="N280" s="162"/>
      <c r="AG280" s="142"/>
      <c r="AH280" s="142"/>
    </row>
    <row r="281" spans="13:34" ht="12.75">
      <c r="M281" s="162"/>
      <c r="N281" s="162"/>
      <c r="AG281" s="142"/>
      <c r="AH281" s="142"/>
    </row>
    <row r="282" spans="13:34" ht="12.75">
      <c r="M282" s="162"/>
      <c r="N282" s="162"/>
      <c r="AG282" s="142"/>
      <c r="AH282" s="142"/>
    </row>
    <row r="283" spans="13:34" ht="12.75">
      <c r="M283" s="162"/>
      <c r="N283" s="162"/>
      <c r="AG283" s="142"/>
      <c r="AH283" s="142"/>
    </row>
    <row r="284" spans="13:34" ht="12.75">
      <c r="M284" s="162"/>
      <c r="N284" s="162"/>
      <c r="AG284" s="142"/>
      <c r="AH284" s="142"/>
    </row>
    <row r="285" spans="13:34" ht="12.75">
      <c r="M285" s="162"/>
      <c r="N285" s="162"/>
      <c r="AG285" s="142"/>
      <c r="AH285" s="142"/>
    </row>
    <row r="286" spans="13:34" ht="12.75">
      <c r="M286" s="162"/>
      <c r="N286" s="162"/>
      <c r="AG286" s="142"/>
      <c r="AH286" s="142"/>
    </row>
    <row r="287" spans="13:34" ht="12.75">
      <c r="M287" s="162"/>
      <c r="N287" s="162"/>
      <c r="AG287" s="142"/>
      <c r="AH287" s="142"/>
    </row>
    <row r="288" spans="13:34" ht="12.75">
      <c r="M288" s="162"/>
      <c r="N288" s="162"/>
      <c r="AG288" s="142"/>
      <c r="AH288" s="142"/>
    </row>
    <row r="289" spans="13:34" ht="12.75">
      <c r="M289" s="162"/>
      <c r="N289" s="162"/>
      <c r="AG289" s="142"/>
      <c r="AH289" s="142"/>
    </row>
    <row r="290" spans="13:34" ht="12.75">
      <c r="M290" s="162"/>
      <c r="N290" s="162"/>
      <c r="AG290" s="142"/>
      <c r="AH290" s="142"/>
    </row>
    <row r="291" spans="13:34" ht="12.75">
      <c r="M291" s="162"/>
      <c r="N291" s="162"/>
      <c r="AG291" s="142"/>
      <c r="AH291" s="142"/>
    </row>
    <row r="292" spans="13:34" ht="12.75">
      <c r="M292" s="162"/>
      <c r="N292" s="162"/>
      <c r="AG292" s="142"/>
      <c r="AH292" s="142"/>
    </row>
    <row r="293" spans="13:34" ht="12.75">
      <c r="M293" s="162"/>
      <c r="N293" s="162"/>
      <c r="AG293" s="142"/>
      <c r="AH293" s="142"/>
    </row>
    <row r="294" spans="13:34" ht="12.75">
      <c r="M294" s="162"/>
      <c r="N294" s="162"/>
      <c r="AG294" s="142"/>
      <c r="AH294" s="142"/>
    </row>
    <row r="295" spans="13:34" ht="12.75">
      <c r="M295" s="162"/>
      <c r="N295" s="162"/>
      <c r="AG295" s="142"/>
      <c r="AH295" s="142"/>
    </row>
    <row r="296" spans="13:34" ht="12.75">
      <c r="M296" s="162"/>
      <c r="N296" s="162"/>
      <c r="AG296" s="142"/>
      <c r="AH296" s="142"/>
    </row>
    <row r="297" spans="13:34" ht="12.75">
      <c r="M297" s="162"/>
      <c r="N297" s="162"/>
      <c r="AG297" s="142"/>
      <c r="AH297" s="142"/>
    </row>
    <row r="298" spans="13:34" ht="12.75">
      <c r="M298" s="162"/>
      <c r="N298" s="162"/>
      <c r="AG298" s="142"/>
      <c r="AH298" s="142"/>
    </row>
    <row r="299" spans="13:34" ht="12.75">
      <c r="M299" s="162"/>
      <c r="N299" s="162"/>
      <c r="AG299" s="142"/>
      <c r="AH299" s="142"/>
    </row>
    <row r="300" spans="13:34" ht="12.75">
      <c r="M300" s="162"/>
      <c r="N300" s="162"/>
      <c r="AG300" s="142"/>
      <c r="AH300" s="142"/>
    </row>
    <row r="301" spans="13:34" ht="12.75">
      <c r="M301" s="162"/>
      <c r="N301" s="162"/>
      <c r="AG301" s="142"/>
      <c r="AH301" s="142"/>
    </row>
    <row r="302" spans="13:34" ht="12.75">
      <c r="M302" s="162"/>
      <c r="N302" s="162"/>
      <c r="AG302" s="142"/>
      <c r="AH302" s="142"/>
    </row>
    <row r="303" spans="13:34" ht="12.75">
      <c r="M303" s="162"/>
      <c r="N303" s="162"/>
      <c r="AG303" s="142"/>
      <c r="AH303" s="142"/>
    </row>
    <row r="304" spans="13:34" ht="12.75">
      <c r="M304" s="162"/>
      <c r="N304" s="162"/>
      <c r="AG304" s="142"/>
      <c r="AH304" s="142"/>
    </row>
    <row r="305" spans="13:34" ht="12.75">
      <c r="M305" s="162"/>
      <c r="N305" s="162"/>
      <c r="AG305" s="142"/>
      <c r="AH305" s="142"/>
    </row>
    <row r="306" spans="13:34" ht="12.75">
      <c r="M306" s="162"/>
      <c r="N306" s="162"/>
      <c r="AG306" s="142"/>
      <c r="AH306" s="142"/>
    </row>
    <row r="307" spans="13:34" ht="12.75">
      <c r="M307" s="162"/>
      <c r="N307" s="162"/>
      <c r="AG307" s="142"/>
      <c r="AH307" s="142"/>
    </row>
    <row r="308" spans="13:34" ht="12.75">
      <c r="M308" s="162"/>
      <c r="N308" s="162"/>
      <c r="AG308" s="142"/>
      <c r="AH308" s="142"/>
    </row>
    <row r="309" spans="13:34" ht="12.75">
      <c r="M309" s="162"/>
      <c r="N309" s="162"/>
      <c r="AG309" s="142"/>
      <c r="AH309" s="142"/>
    </row>
    <row r="310" spans="13:34" ht="12.75">
      <c r="M310" s="162"/>
      <c r="N310" s="162"/>
      <c r="AG310" s="142"/>
      <c r="AH310" s="142"/>
    </row>
    <row r="311" spans="13:34" ht="12.75">
      <c r="M311" s="162"/>
      <c r="N311" s="162"/>
      <c r="AG311" s="142"/>
      <c r="AH311" s="142"/>
    </row>
    <row r="312" spans="13:34" ht="12.75">
      <c r="M312" s="162"/>
      <c r="N312" s="162"/>
      <c r="AG312" s="142"/>
      <c r="AH312" s="142"/>
    </row>
    <row r="313" spans="13:34" ht="12.75">
      <c r="M313" s="162"/>
      <c r="N313" s="162"/>
      <c r="AG313" s="142"/>
      <c r="AH313" s="142"/>
    </row>
    <row r="314" spans="13:34" ht="12.75">
      <c r="M314" s="162"/>
      <c r="N314" s="162"/>
      <c r="AG314" s="142"/>
      <c r="AH314" s="142"/>
    </row>
    <row r="315" spans="13:34" ht="12.75">
      <c r="M315" s="162"/>
      <c r="N315" s="162"/>
      <c r="AG315" s="142"/>
      <c r="AH315" s="142"/>
    </row>
    <row r="316" spans="13:34" ht="12.75">
      <c r="M316" s="162"/>
      <c r="N316" s="162"/>
      <c r="AG316" s="142"/>
      <c r="AH316" s="142"/>
    </row>
    <row r="317" spans="13:34" ht="12.75">
      <c r="M317" s="162"/>
      <c r="N317" s="162"/>
      <c r="AG317" s="142"/>
      <c r="AH317" s="142"/>
    </row>
    <row r="318" spans="13:34" ht="12.75">
      <c r="M318" s="162"/>
      <c r="N318" s="162"/>
      <c r="AG318" s="142"/>
      <c r="AH318" s="142"/>
    </row>
    <row r="319" spans="13:34" ht="12.75">
      <c r="M319" s="162"/>
      <c r="N319" s="162"/>
      <c r="AG319" s="142"/>
      <c r="AH319" s="142"/>
    </row>
    <row r="320" spans="13:34" ht="12.75">
      <c r="M320" s="162"/>
      <c r="N320" s="162"/>
      <c r="AG320" s="142"/>
      <c r="AH320" s="142"/>
    </row>
    <row r="321" spans="13:34" ht="12.75">
      <c r="M321" s="162"/>
      <c r="N321" s="162"/>
      <c r="AG321" s="142"/>
      <c r="AH321" s="142"/>
    </row>
    <row r="322" spans="13:34" ht="12.75">
      <c r="M322" s="162"/>
      <c r="N322" s="162"/>
      <c r="AG322" s="142"/>
      <c r="AH322" s="142"/>
    </row>
    <row r="323" spans="13:34" ht="12.75">
      <c r="M323" s="162"/>
      <c r="N323" s="162"/>
      <c r="AG323" s="142"/>
      <c r="AH323" s="142"/>
    </row>
    <row r="324" spans="13:34" ht="12.75">
      <c r="M324" s="162"/>
      <c r="N324" s="162"/>
      <c r="AG324" s="142"/>
      <c r="AH324" s="142"/>
    </row>
    <row r="325" spans="13:34" ht="12.75">
      <c r="M325" s="162"/>
      <c r="N325" s="162"/>
      <c r="AG325" s="142"/>
      <c r="AH325" s="142"/>
    </row>
    <row r="326" spans="13:34" ht="12.75">
      <c r="M326" s="162"/>
      <c r="N326" s="162"/>
      <c r="AG326" s="142"/>
      <c r="AH326" s="142"/>
    </row>
    <row r="327" spans="13:34" ht="12.75">
      <c r="M327" s="162"/>
      <c r="N327" s="162"/>
      <c r="AG327" s="142"/>
      <c r="AH327" s="142"/>
    </row>
    <row r="328" spans="13:34" ht="12.75">
      <c r="M328" s="162"/>
      <c r="N328" s="162"/>
      <c r="AG328" s="142"/>
      <c r="AH328" s="142"/>
    </row>
    <row r="329" spans="13:34" ht="12.75">
      <c r="M329" s="162"/>
      <c r="N329" s="162"/>
      <c r="AG329" s="142"/>
      <c r="AH329" s="142"/>
    </row>
    <row r="330" spans="13:34" ht="12.75">
      <c r="M330" s="162"/>
      <c r="N330" s="162"/>
      <c r="AG330" s="142"/>
      <c r="AH330" s="142"/>
    </row>
    <row r="331" spans="13:34" ht="12.75">
      <c r="M331" s="162"/>
      <c r="N331" s="162"/>
      <c r="AG331" s="142"/>
      <c r="AH331" s="142"/>
    </row>
    <row r="332" spans="13:34" ht="12.75">
      <c r="M332" s="162"/>
      <c r="N332" s="162"/>
      <c r="AG332" s="142"/>
      <c r="AH332" s="142"/>
    </row>
    <row r="333" spans="13:34" ht="12.75">
      <c r="M333" s="162"/>
      <c r="N333" s="162"/>
      <c r="AG333" s="142"/>
      <c r="AH333" s="142"/>
    </row>
    <row r="334" spans="13:34" ht="12.75">
      <c r="M334" s="162"/>
      <c r="N334" s="162"/>
      <c r="AG334" s="142"/>
      <c r="AH334" s="142"/>
    </row>
    <row r="335" spans="13:34" ht="12.75">
      <c r="M335" s="162"/>
      <c r="N335" s="162"/>
      <c r="AG335" s="142"/>
      <c r="AH335" s="142"/>
    </row>
    <row r="336" spans="13:34" ht="12.75">
      <c r="M336" s="162"/>
      <c r="N336" s="162"/>
      <c r="AG336" s="142"/>
      <c r="AH336" s="142"/>
    </row>
    <row r="337" spans="13:34" ht="12.75">
      <c r="M337" s="162"/>
      <c r="N337" s="162"/>
      <c r="AG337" s="142"/>
      <c r="AH337" s="142"/>
    </row>
    <row r="338" spans="13:34" ht="12.75">
      <c r="M338" s="162"/>
      <c r="N338" s="162"/>
      <c r="AG338" s="142"/>
      <c r="AH338" s="142"/>
    </row>
    <row r="339" spans="13:34" ht="12.75">
      <c r="M339" s="162"/>
      <c r="N339" s="162"/>
      <c r="AG339" s="142"/>
      <c r="AH339" s="142"/>
    </row>
    <row r="340" spans="13:34" ht="12.75">
      <c r="M340" s="162"/>
      <c r="N340" s="162"/>
      <c r="AG340" s="142"/>
      <c r="AH340" s="142"/>
    </row>
    <row r="341" spans="13:34" ht="12.75">
      <c r="M341" s="162"/>
      <c r="N341" s="162"/>
      <c r="AG341" s="142"/>
      <c r="AH341" s="142"/>
    </row>
    <row r="342" spans="13:34" ht="12.75">
      <c r="M342" s="162"/>
      <c r="N342" s="162"/>
      <c r="AG342" s="142"/>
      <c r="AH342" s="142"/>
    </row>
    <row r="343" spans="13:34" ht="12.75">
      <c r="M343" s="162"/>
      <c r="N343" s="162"/>
      <c r="AG343" s="142"/>
      <c r="AH343" s="142"/>
    </row>
    <row r="344" spans="13:34" ht="12.75">
      <c r="M344" s="162"/>
      <c r="N344" s="162"/>
      <c r="AG344" s="142"/>
      <c r="AH344" s="142"/>
    </row>
    <row r="345" spans="13:34" ht="12.75">
      <c r="M345" s="162"/>
      <c r="N345" s="162"/>
      <c r="AG345" s="142"/>
      <c r="AH345" s="142"/>
    </row>
    <row r="346" spans="13:34" ht="12.75">
      <c r="M346" s="162"/>
      <c r="N346" s="162"/>
      <c r="AG346" s="142"/>
      <c r="AH346" s="142"/>
    </row>
    <row r="347" spans="13:34" ht="12.75">
      <c r="M347" s="162"/>
      <c r="N347" s="162"/>
      <c r="AG347" s="142"/>
      <c r="AH347" s="142"/>
    </row>
    <row r="348" spans="13:34" ht="12.75">
      <c r="M348" s="162"/>
      <c r="N348" s="162"/>
      <c r="AG348" s="142"/>
      <c r="AH348" s="142"/>
    </row>
    <row r="349" spans="13:34" ht="12.75">
      <c r="M349" s="162"/>
      <c r="N349" s="162"/>
      <c r="AG349" s="142"/>
      <c r="AH349" s="142"/>
    </row>
    <row r="350" spans="13:34" ht="12.75">
      <c r="M350" s="162"/>
      <c r="N350" s="162"/>
      <c r="AG350" s="142"/>
      <c r="AH350" s="142"/>
    </row>
    <row r="351" spans="13:34" ht="12.75">
      <c r="M351" s="162"/>
      <c r="N351" s="162"/>
      <c r="AG351" s="142"/>
      <c r="AH351" s="142"/>
    </row>
    <row r="352" spans="13:34" ht="12.75">
      <c r="M352" s="162"/>
      <c r="N352" s="162"/>
      <c r="AG352" s="142"/>
      <c r="AH352" s="142"/>
    </row>
    <row r="353" spans="13:34" ht="12.75">
      <c r="M353" s="162"/>
      <c r="N353" s="162"/>
      <c r="AG353" s="142"/>
      <c r="AH353" s="142"/>
    </row>
    <row r="354" spans="13:34" ht="12.75">
      <c r="M354" s="162"/>
      <c r="N354" s="162"/>
      <c r="AG354" s="142"/>
      <c r="AH354" s="142"/>
    </row>
    <row r="355" spans="13:34" ht="12.75">
      <c r="M355" s="162"/>
      <c r="N355" s="162"/>
      <c r="AG355" s="142"/>
      <c r="AH355" s="142"/>
    </row>
    <row r="356" spans="13:34" ht="12.75">
      <c r="M356" s="162"/>
      <c r="N356" s="162"/>
      <c r="AG356" s="142"/>
      <c r="AH356" s="142"/>
    </row>
    <row r="357" spans="13:34" ht="12.75">
      <c r="M357" s="162"/>
      <c r="N357" s="162"/>
      <c r="AG357" s="142"/>
      <c r="AH357" s="142"/>
    </row>
    <row r="358" spans="13:34" ht="12.75">
      <c r="M358" s="162"/>
      <c r="N358" s="162"/>
      <c r="AG358" s="142"/>
      <c r="AH358" s="142"/>
    </row>
    <row r="359" spans="13:34" ht="12.75">
      <c r="M359" s="162"/>
      <c r="N359" s="162"/>
      <c r="AG359" s="142"/>
      <c r="AH359" s="142"/>
    </row>
    <row r="360" spans="13:34" ht="12.75">
      <c r="M360" s="162"/>
      <c r="N360" s="162"/>
      <c r="AG360" s="142"/>
      <c r="AH360" s="142"/>
    </row>
    <row r="361" spans="13:34" ht="12.75">
      <c r="M361" s="162"/>
      <c r="N361" s="162"/>
      <c r="AG361" s="142"/>
      <c r="AH361" s="142"/>
    </row>
    <row r="362" spans="13:34" ht="12.75">
      <c r="M362" s="162"/>
      <c r="N362" s="162"/>
      <c r="AG362" s="142"/>
      <c r="AH362" s="142"/>
    </row>
    <row r="363" spans="13:34" ht="12.75">
      <c r="M363" s="162"/>
      <c r="N363" s="162"/>
      <c r="AG363" s="142"/>
      <c r="AH363" s="142"/>
    </row>
    <row r="364" spans="13:34" ht="12.75">
      <c r="M364" s="162"/>
      <c r="N364" s="162"/>
      <c r="AG364" s="142"/>
      <c r="AH364" s="142"/>
    </row>
    <row r="365" spans="13:34" ht="12.75">
      <c r="M365" s="162"/>
      <c r="N365" s="162"/>
      <c r="AG365" s="142"/>
      <c r="AH365" s="142"/>
    </row>
    <row r="366" spans="13:34" ht="12.75">
      <c r="M366" s="162"/>
      <c r="N366" s="162"/>
      <c r="AG366" s="142"/>
      <c r="AH366" s="142"/>
    </row>
    <row r="367" spans="13:34" ht="12.75">
      <c r="M367" s="162"/>
      <c r="N367" s="162"/>
      <c r="AG367" s="142"/>
      <c r="AH367" s="142"/>
    </row>
    <row r="368" spans="13:34" ht="12.75">
      <c r="M368" s="162"/>
      <c r="N368" s="162"/>
      <c r="AG368" s="142"/>
      <c r="AH368" s="142"/>
    </row>
    <row r="369" spans="13:34" ht="12.75">
      <c r="M369" s="162"/>
      <c r="N369" s="162"/>
      <c r="AG369" s="142"/>
      <c r="AH369" s="142"/>
    </row>
    <row r="370" spans="13:34" ht="12.75">
      <c r="M370" s="162"/>
      <c r="N370" s="162"/>
      <c r="AG370" s="142"/>
      <c r="AH370" s="142"/>
    </row>
    <row r="371" spans="13:34" ht="12.75">
      <c r="M371" s="162"/>
      <c r="N371" s="162"/>
      <c r="AG371" s="142"/>
      <c r="AH371" s="142"/>
    </row>
    <row r="372" spans="13:34" ht="12.75">
      <c r="M372" s="162"/>
      <c r="N372" s="162"/>
      <c r="AG372" s="142"/>
      <c r="AH372" s="142"/>
    </row>
    <row r="373" spans="13:34" ht="12.75">
      <c r="M373" s="162"/>
      <c r="N373" s="162"/>
      <c r="AG373" s="142"/>
      <c r="AH373" s="142"/>
    </row>
    <row r="374" spans="13:34" ht="12.75">
      <c r="M374" s="162"/>
      <c r="N374" s="162"/>
      <c r="AG374" s="142"/>
      <c r="AH374" s="142"/>
    </row>
    <row r="375" spans="13:34" ht="12.75">
      <c r="M375" s="162"/>
      <c r="N375" s="162"/>
      <c r="AG375" s="142"/>
      <c r="AH375" s="142"/>
    </row>
    <row r="376" spans="13:34" ht="12.75">
      <c r="M376" s="162"/>
      <c r="N376" s="162"/>
      <c r="AG376" s="142"/>
      <c r="AH376" s="142"/>
    </row>
    <row r="377" spans="13:34" ht="12.75">
      <c r="M377" s="162"/>
      <c r="N377" s="162"/>
      <c r="AG377" s="142"/>
      <c r="AH377" s="142"/>
    </row>
    <row r="378" spans="13:34" ht="12.75">
      <c r="M378" s="162"/>
      <c r="N378" s="162"/>
      <c r="AG378" s="142"/>
      <c r="AH378" s="142"/>
    </row>
    <row r="379" spans="13:34" ht="12.75">
      <c r="M379" s="162"/>
      <c r="N379" s="162"/>
      <c r="AG379" s="142"/>
      <c r="AH379" s="142"/>
    </row>
    <row r="380" spans="13:34" ht="12.75">
      <c r="M380" s="162"/>
      <c r="N380" s="162"/>
      <c r="AG380" s="142"/>
      <c r="AH380" s="142"/>
    </row>
    <row r="381" spans="13:34" ht="12.75">
      <c r="M381" s="162"/>
      <c r="N381" s="162"/>
      <c r="AG381" s="142"/>
      <c r="AH381" s="142"/>
    </row>
    <row r="382" spans="13:34" ht="12.75">
      <c r="M382" s="162"/>
      <c r="N382" s="162"/>
      <c r="AG382" s="142"/>
      <c r="AH382" s="142"/>
    </row>
    <row r="383" spans="13:34" ht="12.75">
      <c r="M383" s="162"/>
      <c r="N383" s="162"/>
      <c r="AG383" s="142"/>
      <c r="AH383" s="142"/>
    </row>
    <row r="384" spans="13:34" ht="12.75">
      <c r="M384" s="162"/>
      <c r="N384" s="162"/>
      <c r="AG384" s="142"/>
      <c r="AH384" s="142"/>
    </row>
    <row r="385" spans="13:34" ht="12.75">
      <c r="M385" s="162"/>
      <c r="N385" s="162"/>
      <c r="AG385" s="142"/>
      <c r="AH385" s="142"/>
    </row>
    <row r="386" spans="13:34" ht="12.75">
      <c r="M386" s="162"/>
      <c r="N386" s="162"/>
      <c r="AG386" s="142"/>
      <c r="AH386" s="142"/>
    </row>
    <row r="387" spans="13:34" ht="12.75">
      <c r="M387" s="162"/>
      <c r="N387" s="162"/>
      <c r="AG387" s="142"/>
      <c r="AH387" s="142"/>
    </row>
    <row r="388" spans="13:34" ht="12.75">
      <c r="M388" s="162"/>
      <c r="N388" s="162"/>
      <c r="AG388" s="142"/>
      <c r="AH388" s="142"/>
    </row>
    <row r="389" spans="13:34" ht="12.75">
      <c r="M389" s="162"/>
      <c r="N389" s="162"/>
      <c r="AG389" s="142"/>
      <c r="AH389" s="142"/>
    </row>
    <row r="390" spans="13:34" ht="12.75">
      <c r="M390" s="162"/>
      <c r="N390" s="162"/>
      <c r="AG390" s="142"/>
      <c r="AH390" s="142"/>
    </row>
    <row r="391" spans="13:34" ht="12.75">
      <c r="M391" s="162"/>
      <c r="N391" s="162"/>
      <c r="AG391" s="142"/>
      <c r="AH391" s="142"/>
    </row>
    <row r="392" spans="13:34" ht="12.75">
      <c r="M392" s="162"/>
      <c r="N392" s="162"/>
      <c r="AG392" s="142"/>
      <c r="AH392" s="142"/>
    </row>
    <row r="393" spans="13:34" ht="12.75">
      <c r="M393" s="162"/>
      <c r="N393" s="162"/>
      <c r="AG393" s="142"/>
      <c r="AH393" s="142"/>
    </row>
    <row r="394" spans="13:34" ht="12.75">
      <c r="M394" s="162"/>
      <c r="N394" s="162"/>
      <c r="AG394" s="142"/>
      <c r="AH394" s="142"/>
    </row>
    <row r="395" spans="13:34" ht="12.75">
      <c r="M395" s="162"/>
      <c r="N395" s="162"/>
      <c r="AG395" s="142"/>
      <c r="AH395" s="142"/>
    </row>
    <row r="396" spans="13:34" ht="12.75">
      <c r="M396" s="162"/>
      <c r="N396" s="162"/>
      <c r="AG396" s="142"/>
      <c r="AH396" s="142"/>
    </row>
    <row r="397" spans="13:34" ht="12.75">
      <c r="M397" s="162"/>
      <c r="N397" s="162"/>
      <c r="AG397" s="142"/>
      <c r="AH397" s="142"/>
    </row>
    <row r="398" spans="13:34" ht="12.75">
      <c r="M398" s="162"/>
      <c r="N398" s="162"/>
      <c r="AG398" s="142"/>
      <c r="AH398" s="142"/>
    </row>
    <row r="399" spans="13:34" ht="12.75">
      <c r="M399" s="162"/>
      <c r="N399" s="162"/>
      <c r="AG399" s="142"/>
      <c r="AH399" s="142"/>
    </row>
    <row r="400" spans="13:34" ht="12.75">
      <c r="M400" s="162"/>
      <c r="N400" s="162"/>
      <c r="AG400" s="142"/>
      <c r="AH400" s="142"/>
    </row>
    <row r="401" spans="13:34" ht="12.75">
      <c r="M401" s="162"/>
      <c r="N401" s="162"/>
      <c r="AG401" s="142"/>
      <c r="AH401" s="142"/>
    </row>
    <row r="402" spans="13:34" ht="12.75">
      <c r="M402" s="162"/>
      <c r="N402" s="162"/>
      <c r="AG402" s="142"/>
      <c r="AH402" s="142"/>
    </row>
    <row r="403" spans="13:34" ht="12.75">
      <c r="M403" s="162"/>
      <c r="N403" s="162"/>
      <c r="AG403" s="142"/>
      <c r="AH403" s="142"/>
    </row>
    <row r="404" spans="13:34" ht="12.75">
      <c r="M404" s="162"/>
      <c r="N404" s="162"/>
      <c r="AG404" s="142"/>
      <c r="AH404" s="142"/>
    </row>
    <row r="405" spans="13:34" ht="12.75">
      <c r="M405" s="162"/>
      <c r="N405" s="162"/>
      <c r="AG405" s="142"/>
      <c r="AH405" s="142"/>
    </row>
    <row r="406" spans="13:34" ht="12.75">
      <c r="M406" s="162"/>
      <c r="N406" s="162"/>
      <c r="AG406" s="142"/>
      <c r="AH406" s="142"/>
    </row>
    <row r="407" spans="13:34" ht="12.75">
      <c r="M407" s="162"/>
      <c r="N407" s="162"/>
      <c r="AG407" s="142"/>
      <c r="AH407" s="142"/>
    </row>
    <row r="408" spans="13:34" ht="12.75">
      <c r="M408" s="162"/>
      <c r="N408" s="162"/>
      <c r="AG408" s="142"/>
      <c r="AH408" s="142"/>
    </row>
    <row r="409" spans="13:34" ht="12.75">
      <c r="M409" s="162"/>
      <c r="N409" s="162"/>
      <c r="AG409" s="142"/>
      <c r="AH409" s="142"/>
    </row>
    <row r="410" spans="13:34" ht="12.75">
      <c r="M410" s="162"/>
      <c r="N410" s="162"/>
      <c r="AG410" s="142"/>
      <c r="AH410" s="142"/>
    </row>
    <row r="411" spans="13:34" ht="12.75">
      <c r="M411" s="162"/>
      <c r="N411" s="162"/>
      <c r="AG411" s="142"/>
      <c r="AH411" s="142"/>
    </row>
    <row r="412" spans="13:34" ht="12.75">
      <c r="M412" s="162"/>
      <c r="N412" s="162"/>
      <c r="AG412" s="142"/>
      <c r="AH412" s="142"/>
    </row>
    <row r="413" spans="13:34" ht="12.75">
      <c r="M413" s="162"/>
      <c r="N413" s="162"/>
      <c r="AG413" s="142"/>
      <c r="AH413" s="142"/>
    </row>
    <row r="414" spans="13:34" ht="12.75">
      <c r="M414" s="162"/>
      <c r="N414" s="162"/>
      <c r="AG414" s="142"/>
      <c r="AH414" s="142"/>
    </row>
    <row r="415" spans="13:34" ht="12.75">
      <c r="M415" s="162"/>
      <c r="N415" s="162"/>
      <c r="AG415" s="142"/>
      <c r="AH415" s="142"/>
    </row>
    <row r="416" spans="13:34" ht="12.75">
      <c r="M416" s="162"/>
      <c r="N416" s="162"/>
      <c r="AG416" s="142"/>
      <c r="AH416" s="142"/>
    </row>
    <row r="417" spans="13:34" ht="12.75">
      <c r="M417" s="162"/>
      <c r="N417" s="162"/>
      <c r="AG417" s="142"/>
      <c r="AH417" s="142"/>
    </row>
    <row r="418" spans="13:34" ht="12.75">
      <c r="M418" s="162"/>
      <c r="N418" s="162"/>
      <c r="AG418" s="142"/>
      <c r="AH418" s="142"/>
    </row>
    <row r="419" spans="13:34" ht="12.75">
      <c r="M419" s="162"/>
      <c r="N419" s="162"/>
      <c r="AG419" s="142"/>
      <c r="AH419" s="142"/>
    </row>
    <row r="420" spans="13:34" ht="12.75">
      <c r="M420" s="162"/>
      <c r="N420" s="162"/>
      <c r="AG420" s="142"/>
      <c r="AH420" s="142"/>
    </row>
    <row r="421" spans="13:34" ht="12.75">
      <c r="M421" s="162"/>
      <c r="N421" s="162"/>
      <c r="AG421" s="142"/>
      <c r="AH421" s="142"/>
    </row>
    <row r="422" spans="13:34" ht="12.75">
      <c r="M422" s="162"/>
      <c r="N422" s="162"/>
      <c r="AG422" s="142"/>
      <c r="AH422" s="142"/>
    </row>
    <row r="423" spans="13:34" ht="12.75">
      <c r="M423" s="162"/>
      <c r="N423" s="162"/>
      <c r="AG423" s="142"/>
      <c r="AH423" s="142"/>
    </row>
    <row r="424" spans="13:34" ht="12.75">
      <c r="M424" s="162"/>
      <c r="N424" s="162"/>
      <c r="AG424" s="142"/>
      <c r="AH424" s="142"/>
    </row>
    <row r="425" spans="13:34" ht="12.75">
      <c r="M425" s="162"/>
      <c r="N425" s="162"/>
      <c r="AG425" s="142"/>
      <c r="AH425" s="142"/>
    </row>
    <row r="426" spans="13:34" ht="12.75">
      <c r="M426" s="162"/>
      <c r="N426" s="162"/>
      <c r="AG426" s="142"/>
      <c r="AH426" s="142"/>
    </row>
    <row r="427" spans="13:34" ht="12.75">
      <c r="M427" s="162"/>
      <c r="N427" s="162"/>
      <c r="AG427" s="142"/>
      <c r="AH427" s="142"/>
    </row>
    <row r="428" spans="13:34" ht="12.75">
      <c r="M428" s="162"/>
      <c r="N428" s="162"/>
      <c r="AG428" s="142"/>
      <c r="AH428" s="142"/>
    </row>
    <row r="429" spans="13:34" ht="12.75">
      <c r="M429" s="162"/>
      <c r="N429" s="162"/>
      <c r="AG429" s="142"/>
      <c r="AH429" s="142"/>
    </row>
    <row r="430" spans="13:34" ht="12.75">
      <c r="M430" s="162"/>
      <c r="N430" s="162"/>
      <c r="AG430" s="142"/>
      <c r="AH430" s="142"/>
    </row>
    <row r="431" spans="13:34" ht="12.75">
      <c r="M431" s="162"/>
      <c r="N431" s="162"/>
      <c r="AG431" s="142"/>
      <c r="AH431" s="142"/>
    </row>
    <row r="432" spans="13:34" ht="12.75">
      <c r="M432" s="162"/>
      <c r="N432" s="162"/>
      <c r="AG432" s="142"/>
      <c r="AH432" s="142"/>
    </row>
    <row r="433" spans="13:34" ht="12.75">
      <c r="M433" s="162"/>
      <c r="N433" s="162"/>
      <c r="AG433" s="142"/>
      <c r="AH433" s="142"/>
    </row>
    <row r="434" spans="13:34" ht="12.75">
      <c r="M434" s="162"/>
      <c r="N434" s="162"/>
      <c r="AG434" s="142"/>
      <c r="AH434" s="142"/>
    </row>
    <row r="435" spans="13:34" ht="12.75">
      <c r="M435" s="162"/>
      <c r="N435" s="162"/>
      <c r="AG435" s="142"/>
      <c r="AH435" s="142"/>
    </row>
    <row r="436" spans="13:34" ht="12.75">
      <c r="M436" s="162"/>
      <c r="N436" s="162"/>
      <c r="AG436" s="142"/>
      <c r="AH436" s="142"/>
    </row>
    <row r="437" spans="13:34" ht="12.75">
      <c r="M437" s="162"/>
      <c r="N437" s="162"/>
      <c r="AG437" s="142"/>
      <c r="AH437" s="142"/>
    </row>
    <row r="438" spans="13:34" ht="12.75">
      <c r="M438" s="162"/>
      <c r="N438" s="162"/>
      <c r="AG438" s="142"/>
      <c r="AH438" s="142"/>
    </row>
    <row r="439" spans="13:34" ht="12.75">
      <c r="M439" s="162"/>
      <c r="N439" s="162"/>
      <c r="AG439" s="142"/>
      <c r="AH439" s="142"/>
    </row>
    <row r="440" spans="13:34" ht="12.75">
      <c r="M440" s="162"/>
      <c r="N440" s="162"/>
      <c r="AG440" s="142"/>
      <c r="AH440" s="142"/>
    </row>
    <row r="441" spans="13:34" ht="12.75">
      <c r="M441" s="162"/>
      <c r="N441" s="162"/>
      <c r="AG441" s="142"/>
      <c r="AH441" s="142"/>
    </row>
    <row r="442" spans="13:34" ht="12.75">
      <c r="M442" s="162"/>
      <c r="N442" s="162"/>
      <c r="AG442" s="142"/>
      <c r="AH442" s="142"/>
    </row>
    <row r="443" spans="13:34" ht="12.75">
      <c r="M443" s="162"/>
      <c r="N443" s="162"/>
      <c r="AG443" s="142"/>
      <c r="AH443" s="142"/>
    </row>
    <row r="444" spans="13:34" ht="12.75">
      <c r="M444" s="162"/>
      <c r="N444" s="162"/>
      <c r="AG444" s="142"/>
      <c r="AH444" s="142"/>
    </row>
    <row r="445" spans="13:34" ht="12.75">
      <c r="M445" s="162"/>
      <c r="N445" s="162"/>
      <c r="AG445" s="142"/>
      <c r="AH445" s="142"/>
    </row>
    <row r="446" spans="13:34" ht="12.75">
      <c r="M446" s="162"/>
      <c r="N446" s="162"/>
      <c r="AG446" s="142"/>
      <c r="AH446" s="142"/>
    </row>
    <row r="447" spans="13:34" ht="12.75">
      <c r="M447" s="162"/>
      <c r="N447" s="162"/>
      <c r="AG447" s="142"/>
      <c r="AH447" s="142"/>
    </row>
    <row r="448" spans="13:34" ht="12.75">
      <c r="M448" s="162"/>
      <c r="N448" s="162"/>
      <c r="AG448" s="142"/>
      <c r="AH448" s="142"/>
    </row>
    <row r="449" spans="13:34" ht="12.75">
      <c r="M449" s="162"/>
      <c r="N449" s="162"/>
      <c r="AG449" s="142"/>
      <c r="AH449" s="142"/>
    </row>
    <row r="450" spans="13:34" ht="12.75">
      <c r="M450" s="162"/>
      <c r="N450" s="162"/>
      <c r="AG450" s="142"/>
      <c r="AH450" s="142"/>
    </row>
    <row r="451" spans="13:34" ht="12.75">
      <c r="M451" s="162"/>
      <c r="N451" s="162"/>
      <c r="AG451" s="142"/>
      <c r="AH451" s="142"/>
    </row>
    <row r="452" spans="13:34" ht="12.75">
      <c r="M452" s="162"/>
      <c r="N452" s="162"/>
      <c r="AG452" s="142"/>
      <c r="AH452" s="142"/>
    </row>
    <row r="453" spans="13:34" ht="12.75">
      <c r="M453" s="162"/>
      <c r="N453" s="162"/>
      <c r="AG453" s="142"/>
      <c r="AH453" s="142"/>
    </row>
    <row r="454" spans="13:34" ht="12.75">
      <c r="M454" s="162"/>
      <c r="N454" s="162"/>
      <c r="AG454" s="142"/>
      <c r="AH454" s="142"/>
    </row>
    <row r="455" spans="13:34" ht="12.75">
      <c r="M455" s="162"/>
      <c r="N455" s="162"/>
      <c r="AG455" s="142"/>
      <c r="AH455" s="142"/>
    </row>
    <row r="456" spans="13:34" ht="12.75">
      <c r="M456" s="162"/>
      <c r="N456" s="162"/>
      <c r="AG456" s="142"/>
      <c r="AH456" s="142"/>
    </row>
    <row r="457" spans="13:34" ht="12.75">
      <c r="M457" s="162"/>
      <c r="N457" s="162"/>
      <c r="AG457" s="142"/>
      <c r="AH457" s="142"/>
    </row>
    <row r="458" spans="13:34" ht="12.75">
      <c r="M458" s="162"/>
      <c r="N458" s="162"/>
      <c r="AG458" s="142"/>
      <c r="AH458" s="142"/>
    </row>
    <row r="459" spans="13:34" ht="12.75">
      <c r="M459" s="162"/>
      <c r="N459" s="162"/>
      <c r="AG459" s="142"/>
      <c r="AH459" s="142"/>
    </row>
    <row r="460" spans="13:34" ht="12.75">
      <c r="M460" s="162"/>
      <c r="N460" s="162"/>
      <c r="AG460" s="142"/>
      <c r="AH460" s="142"/>
    </row>
    <row r="461" spans="13:34" ht="12.75">
      <c r="M461" s="162"/>
      <c r="N461" s="162"/>
      <c r="AG461" s="142"/>
      <c r="AH461" s="142"/>
    </row>
    <row r="462" spans="13:34" ht="12.75">
      <c r="M462" s="162"/>
      <c r="N462" s="162"/>
      <c r="AG462" s="142"/>
      <c r="AH462" s="142"/>
    </row>
    <row r="463" spans="13:34" ht="12.75">
      <c r="M463" s="162"/>
      <c r="N463" s="162"/>
      <c r="AG463" s="142"/>
      <c r="AH463" s="142"/>
    </row>
    <row r="464" spans="13:34" ht="12.75">
      <c r="M464" s="162"/>
      <c r="N464" s="162"/>
      <c r="AG464" s="142"/>
      <c r="AH464" s="142"/>
    </row>
    <row r="465" spans="13:34" ht="12.75">
      <c r="M465" s="162"/>
      <c r="N465" s="162"/>
      <c r="AG465" s="142"/>
      <c r="AH465" s="142"/>
    </row>
    <row r="466" spans="13:34" ht="12.75">
      <c r="M466" s="162"/>
      <c r="N466" s="162"/>
      <c r="AG466" s="142"/>
      <c r="AH466" s="142"/>
    </row>
    <row r="467" spans="13:34" ht="12.75">
      <c r="M467" s="162"/>
      <c r="N467" s="162"/>
      <c r="AG467" s="142"/>
      <c r="AH467" s="142"/>
    </row>
    <row r="468" spans="13:34" ht="12.75">
      <c r="M468" s="162"/>
      <c r="N468" s="162"/>
      <c r="AG468" s="142"/>
      <c r="AH468" s="142"/>
    </row>
    <row r="469" spans="13:34" ht="12.75">
      <c r="M469" s="162"/>
      <c r="N469" s="162"/>
      <c r="AG469" s="142"/>
      <c r="AH469" s="142"/>
    </row>
    <row r="470" spans="13:34" ht="12.75">
      <c r="M470" s="162"/>
      <c r="N470" s="162"/>
      <c r="AG470" s="142"/>
      <c r="AH470" s="142"/>
    </row>
    <row r="471" spans="13:34" ht="12.75">
      <c r="M471" s="162"/>
      <c r="N471" s="162"/>
      <c r="AG471" s="142"/>
      <c r="AH471" s="142"/>
    </row>
    <row r="472" spans="13:34" ht="12.75">
      <c r="M472" s="162"/>
      <c r="N472" s="162"/>
      <c r="AG472" s="142"/>
      <c r="AH472" s="142"/>
    </row>
    <row r="473" spans="13:34" ht="12.75">
      <c r="M473" s="162"/>
      <c r="N473" s="162"/>
      <c r="AG473" s="142"/>
      <c r="AH473" s="142"/>
    </row>
    <row r="474" spans="13:34" ht="12.75">
      <c r="M474" s="162"/>
      <c r="N474" s="162"/>
      <c r="AG474" s="142"/>
      <c r="AH474" s="142"/>
    </row>
    <row r="475" spans="13:34" ht="12.75">
      <c r="M475" s="162"/>
      <c r="N475" s="162"/>
      <c r="AG475" s="142"/>
      <c r="AH475" s="142"/>
    </row>
    <row r="476" spans="13:34" ht="12.75">
      <c r="M476" s="162"/>
      <c r="N476" s="162"/>
      <c r="AG476" s="142"/>
      <c r="AH476" s="142"/>
    </row>
    <row r="477" spans="13:34" ht="12.75">
      <c r="M477" s="162"/>
      <c r="N477" s="162"/>
      <c r="AG477" s="142"/>
      <c r="AH477" s="142"/>
    </row>
    <row r="478" spans="13:34" ht="12.75">
      <c r="M478" s="162"/>
      <c r="N478" s="162"/>
      <c r="AG478" s="142"/>
      <c r="AH478" s="142"/>
    </row>
    <row r="479" spans="13:34" ht="12.75">
      <c r="M479" s="162"/>
      <c r="N479" s="162"/>
      <c r="AG479" s="142"/>
      <c r="AH479" s="142"/>
    </row>
    <row r="480" spans="13:34" ht="12.75">
      <c r="M480" s="162"/>
      <c r="N480" s="162"/>
      <c r="AG480" s="142"/>
      <c r="AH480" s="142"/>
    </row>
    <row r="481" spans="13:34" ht="12.75">
      <c r="M481" s="162"/>
      <c r="N481" s="162"/>
      <c r="AG481" s="142"/>
      <c r="AH481" s="142"/>
    </row>
    <row r="482" spans="13:34" ht="12.75">
      <c r="M482" s="162"/>
      <c r="N482" s="162"/>
      <c r="AG482" s="142"/>
      <c r="AH482" s="142"/>
    </row>
    <row r="483" spans="13:34" ht="12.75">
      <c r="M483" s="162"/>
      <c r="N483" s="162"/>
      <c r="AG483" s="142"/>
      <c r="AH483" s="142"/>
    </row>
    <row r="484" spans="13:34" ht="12.75">
      <c r="M484" s="162"/>
      <c r="N484" s="162"/>
      <c r="AG484" s="142"/>
      <c r="AH484" s="142"/>
    </row>
    <row r="485" spans="13:34" ht="12.75">
      <c r="M485" s="162"/>
      <c r="N485" s="162"/>
      <c r="AG485" s="142"/>
      <c r="AH485" s="142"/>
    </row>
    <row r="486" spans="13:34" ht="12.75">
      <c r="M486" s="162"/>
      <c r="N486" s="162"/>
      <c r="AG486" s="142"/>
      <c r="AH486" s="142"/>
    </row>
    <row r="487" spans="13:34" ht="12.75">
      <c r="M487" s="162"/>
      <c r="N487" s="162"/>
      <c r="AG487" s="142"/>
      <c r="AH487" s="142"/>
    </row>
    <row r="488" spans="13:34" ht="12.75">
      <c r="M488" s="162"/>
      <c r="N488" s="162"/>
      <c r="AG488" s="142"/>
      <c r="AH488" s="142"/>
    </row>
    <row r="489" spans="13:34" ht="12.75">
      <c r="M489" s="162"/>
      <c r="N489" s="162"/>
      <c r="AG489" s="142"/>
      <c r="AH489" s="142"/>
    </row>
    <row r="490" spans="13:34" ht="12.75">
      <c r="M490" s="162"/>
      <c r="N490" s="162"/>
      <c r="AG490" s="142"/>
      <c r="AH490" s="142"/>
    </row>
    <row r="491" spans="13:34" ht="12.75">
      <c r="M491" s="162"/>
      <c r="N491" s="162"/>
      <c r="AG491" s="142"/>
      <c r="AH491" s="142"/>
    </row>
    <row r="492" spans="13:34" ht="12.75">
      <c r="M492" s="162"/>
      <c r="N492" s="162"/>
      <c r="AG492" s="142"/>
      <c r="AH492" s="142"/>
    </row>
    <row r="493" spans="13:34" ht="12.75">
      <c r="M493" s="162"/>
      <c r="N493" s="162"/>
      <c r="AG493" s="142"/>
      <c r="AH493" s="142"/>
    </row>
    <row r="494" spans="13:34" ht="12.75">
      <c r="M494" s="162"/>
      <c r="N494" s="162"/>
      <c r="AG494" s="142"/>
      <c r="AH494" s="142"/>
    </row>
    <row r="495" spans="13:34" ht="12.75">
      <c r="M495" s="162"/>
      <c r="N495" s="162"/>
      <c r="AG495" s="142"/>
      <c r="AH495" s="142"/>
    </row>
    <row r="496" spans="13:34" ht="12.75">
      <c r="M496" s="162"/>
      <c r="N496" s="162"/>
      <c r="AG496" s="142"/>
      <c r="AH496" s="142"/>
    </row>
    <row r="497" spans="13:34" ht="12.75">
      <c r="M497" s="162"/>
      <c r="N497" s="162"/>
      <c r="AG497" s="142"/>
      <c r="AH497" s="142"/>
    </row>
    <row r="498" spans="13:34" ht="12.75">
      <c r="M498" s="162"/>
      <c r="N498" s="162"/>
      <c r="AG498" s="142"/>
      <c r="AH498" s="142"/>
    </row>
    <row r="499" spans="13:34" ht="12.75">
      <c r="M499" s="162"/>
      <c r="N499" s="162"/>
      <c r="AG499" s="142"/>
      <c r="AH499" s="142"/>
    </row>
    <row r="500" spans="13:34" ht="12.75">
      <c r="M500" s="162"/>
      <c r="N500" s="162"/>
      <c r="AG500" s="142"/>
      <c r="AH500" s="142"/>
    </row>
    <row r="501" spans="13:34" ht="12.75">
      <c r="M501" s="162"/>
      <c r="N501" s="162"/>
      <c r="AG501" s="142"/>
      <c r="AH501" s="142"/>
    </row>
    <row r="502" spans="13:34" ht="12.75">
      <c r="M502" s="162"/>
      <c r="N502" s="162"/>
      <c r="AG502" s="142"/>
      <c r="AH502" s="142"/>
    </row>
    <row r="503" spans="13:34" ht="12.75">
      <c r="M503" s="162"/>
      <c r="N503" s="162"/>
      <c r="AG503" s="142"/>
      <c r="AH503" s="142"/>
    </row>
    <row r="504" spans="13:34" ht="12.75">
      <c r="M504" s="162"/>
      <c r="N504" s="162"/>
      <c r="AG504" s="142"/>
      <c r="AH504" s="142"/>
    </row>
    <row r="505" spans="13:34" ht="12.75">
      <c r="M505" s="162"/>
      <c r="N505" s="162"/>
      <c r="AG505" s="142"/>
      <c r="AH505" s="142"/>
    </row>
    <row r="506" spans="13:34" ht="12.75">
      <c r="M506" s="162"/>
      <c r="N506" s="162"/>
      <c r="AG506" s="142"/>
      <c r="AH506" s="142"/>
    </row>
    <row r="507" spans="13:34" ht="12.75">
      <c r="M507" s="162"/>
      <c r="N507" s="162"/>
      <c r="AG507" s="142"/>
      <c r="AH507" s="142"/>
    </row>
    <row r="508" spans="13:34" ht="12.75">
      <c r="M508" s="162"/>
      <c r="N508" s="162"/>
      <c r="AG508" s="142"/>
      <c r="AH508" s="142"/>
    </row>
    <row r="509" spans="13:34" ht="12.75">
      <c r="M509" s="162"/>
      <c r="N509" s="162"/>
      <c r="AG509" s="142"/>
      <c r="AH509" s="142"/>
    </row>
    <row r="510" spans="13:34" ht="12.75">
      <c r="M510" s="162"/>
      <c r="N510" s="162"/>
      <c r="AG510" s="142"/>
      <c r="AH510" s="142"/>
    </row>
    <row r="511" spans="13:34" ht="12.75">
      <c r="M511" s="162"/>
      <c r="N511" s="162"/>
      <c r="AG511" s="142"/>
      <c r="AH511" s="142"/>
    </row>
    <row r="512" spans="13:34" ht="12.75">
      <c r="M512" s="162"/>
      <c r="N512" s="162"/>
      <c r="AG512" s="142"/>
      <c r="AH512" s="142"/>
    </row>
    <row r="513" spans="13:34" ht="12.75">
      <c r="M513" s="162"/>
      <c r="N513" s="162"/>
      <c r="AG513" s="142"/>
      <c r="AH513" s="142"/>
    </row>
    <row r="514" spans="13:34" ht="12.75">
      <c r="M514" s="162"/>
      <c r="N514" s="162"/>
      <c r="AG514" s="142"/>
      <c r="AH514" s="142"/>
    </row>
    <row r="515" spans="13:34" ht="12.75">
      <c r="M515" s="162"/>
      <c r="N515" s="162"/>
      <c r="AG515" s="142"/>
      <c r="AH515" s="142"/>
    </row>
    <row r="516" spans="13:34" ht="12.75">
      <c r="M516" s="162"/>
      <c r="N516" s="162"/>
      <c r="AG516" s="142"/>
      <c r="AH516" s="142"/>
    </row>
    <row r="517" spans="13:34" ht="12.75">
      <c r="M517" s="162"/>
      <c r="N517" s="162"/>
      <c r="AG517" s="142"/>
      <c r="AH517" s="142"/>
    </row>
    <row r="518" spans="13:34" ht="12.75">
      <c r="M518" s="162"/>
      <c r="N518" s="162"/>
      <c r="AG518" s="142"/>
      <c r="AH518" s="142"/>
    </row>
    <row r="519" spans="13:34" ht="12.75">
      <c r="M519" s="162"/>
      <c r="N519" s="162"/>
      <c r="AG519" s="142"/>
      <c r="AH519" s="142"/>
    </row>
    <row r="520" spans="13:34" ht="12.75">
      <c r="M520" s="162"/>
      <c r="N520" s="162"/>
      <c r="AG520" s="142"/>
      <c r="AH520" s="142"/>
    </row>
    <row r="521" spans="13:34" ht="12.75">
      <c r="M521" s="162"/>
      <c r="N521" s="162"/>
      <c r="AG521" s="142"/>
      <c r="AH521" s="142"/>
    </row>
    <row r="522" spans="13:34" ht="12.75">
      <c r="M522" s="162"/>
      <c r="N522" s="162"/>
      <c r="AG522" s="142"/>
      <c r="AH522" s="142"/>
    </row>
    <row r="523" spans="13:34" ht="12.75">
      <c r="M523" s="162"/>
      <c r="N523" s="162"/>
      <c r="AG523" s="142"/>
      <c r="AH523" s="142"/>
    </row>
    <row r="524" spans="13:34" ht="12.75">
      <c r="M524" s="162"/>
      <c r="N524" s="162"/>
      <c r="AG524" s="142"/>
      <c r="AH524" s="142"/>
    </row>
    <row r="525" spans="13:34" ht="12.75">
      <c r="M525" s="162"/>
      <c r="N525" s="162"/>
      <c r="AG525" s="142"/>
      <c r="AH525" s="142"/>
    </row>
    <row r="526" spans="13:34" ht="12.75">
      <c r="M526" s="162"/>
      <c r="N526" s="162"/>
      <c r="AG526" s="142"/>
      <c r="AH526" s="142"/>
    </row>
    <row r="527" spans="13:34" ht="12.75">
      <c r="M527" s="162"/>
      <c r="N527" s="162"/>
      <c r="AG527" s="142"/>
      <c r="AH527" s="142"/>
    </row>
    <row r="528" spans="13:34" ht="12.75">
      <c r="M528" s="162"/>
      <c r="N528" s="162"/>
      <c r="AG528" s="142"/>
      <c r="AH528" s="142"/>
    </row>
    <row r="529" spans="13:34" ht="12.75">
      <c r="M529" s="162"/>
      <c r="N529" s="162"/>
      <c r="AG529" s="142"/>
      <c r="AH529" s="142"/>
    </row>
    <row r="530" spans="13:34" ht="12.75">
      <c r="M530" s="162"/>
      <c r="N530" s="162"/>
      <c r="AG530" s="142"/>
      <c r="AH530" s="142"/>
    </row>
    <row r="531" spans="13:34" ht="12.75">
      <c r="M531" s="162"/>
      <c r="N531" s="162"/>
      <c r="AG531" s="142"/>
      <c r="AH531" s="142"/>
    </row>
    <row r="532" spans="13:34" ht="12.75">
      <c r="M532" s="162"/>
      <c r="N532" s="162"/>
      <c r="AG532" s="142"/>
      <c r="AH532" s="142"/>
    </row>
    <row r="533" spans="13:34" ht="12.75">
      <c r="M533" s="162"/>
      <c r="N533" s="162"/>
      <c r="AG533" s="142"/>
      <c r="AH533" s="142"/>
    </row>
    <row r="534" spans="13:34" ht="12.75">
      <c r="M534" s="162"/>
      <c r="N534" s="162"/>
      <c r="AG534" s="142"/>
      <c r="AH534" s="142"/>
    </row>
    <row r="535" spans="13:34" ht="12.75">
      <c r="M535" s="162"/>
      <c r="N535" s="162"/>
      <c r="AG535" s="142"/>
      <c r="AH535" s="142"/>
    </row>
    <row r="536" spans="13:34" ht="12.75">
      <c r="M536" s="162"/>
      <c r="N536" s="162"/>
      <c r="AG536" s="142"/>
      <c r="AH536" s="142"/>
    </row>
    <row r="537" spans="13:34" ht="12.75">
      <c r="M537" s="162"/>
      <c r="N537" s="162"/>
      <c r="AG537" s="142"/>
      <c r="AH537" s="142"/>
    </row>
    <row r="538" spans="13:34" ht="12.75">
      <c r="M538" s="162"/>
      <c r="N538" s="162"/>
      <c r="AG538" s="142"/>
      <c r="AH538" s="142"/>
    </row>
    <row r="539" spans="13:34" ht="12.75">
      <c r="M539" s="162"/>
      <c r="N539" s="162"/>
      <c r="AG539" s="142"/>
      <c r="AH539" s="142"/>
    </row>
    <row r="540" spans="13:34" ht="12.75">
      <c r="M540" s="162"/>
      <c r="N540" s="162"/>
      <c r="AG540" s="142"/>
      <c r="AH540" s="142"/>
    </row>
    <row r="541" spans="13:34" ht="12.75">
      <c r="M541" s="162"/>
      <c r="N541" s="162"/>
      <c r="AG541" s="142"/>
      <c r="AH541" s="142"/>
    </row>
    <row r="542" spans="13:34" ht="12.75">
      <c r="M542" s="162"/>
      <c r="N542" s="162"/>
      <c r="AG542" s="142"/>
      <c r="AH542" s="142"/>
    </row>
    <row r="543" spans="13:34" ht="12.75">
      <c r="M543" s="162"/>
      <c r="N543" s="162"/>
      <c r="AG543" s="142"/>
      <c r="AH543" s="142"/>
    </row>
    <row r="544" spans="13:34" ht="12.75">
      <c r="M544" s="162"/>
      <c r="N544" s="162"/>
      <c r="AG544" s="142"/>
      <c r="AH544" s="142"/>
    </row>
    <row r="545" spans="13:34" ht="12.75">
      <c r="M545" s="162"/>
      <c r="N545" s="162"/>
      <c r="AG545" s="142"/>
      <c r="AH545" s="142"/>
    </row>
    <row r="546" spans="13:34" ht="12.75">
      <c r="M546" s="162"/>
      <c r="N546" s="162"/>
      <c r="AG546" s="142"/>
      <c r="AH546" s="142"/>
    </row>
    <row r="547" spans="13:34" ht="12.75">
      <c r="M547" s="162"/>
      <c r="N547" s="162"/>
      <c r="AG547" s="142"/>
      <c r="AH547" s="142"/>
    </row>
    <row r="548" spans="13:34" ht="12.75">
      <c r="M548" s="162"/>
      <c r="N548" s="162"/>
      <c r="AG548" s="142"/>
      <c r="AH548" s="142"/>
    </row>
    <row r="549" spans="13:34" ht="12.75">
      <c r="M549" s="162"/>
      <c r="N549" s="162"/>
      <c r="AG549" s="142"/>
      <c r="AH549" s="142"/>
    </row>
    <row r="550" spans="13:34" ht="12.75">
      <c r="M550" s="162"/>
      <c r="N550" s="162"/>
      <c r="AG550" s="142"/>
      <c r="AH550" s="142"/>
    </row>
    <row r="551" spans="13:34" ht="12.75">
      <c r="M551" s="162"/>
      <c r="N551" s="162"/>
      <c r="AG551" s="142"/>
      <c r="AH551" s="142"/>
    </row>
    <row r="552" spans="13:34" ht="12.75">
      <c r="M552" s="162"/>
      <c r="N552" s="162"/>
      <c r="AG552" s="142"/>
      <c r="AH552" s="142"/>
    </row>
    <row r="553" spans="13:34" ht="12.75">
      <c r="M553" s="162"/>
      <c r="N553" s="162"/>
      <c r="AG553" s="142"/>
      <c r="AH553" s="142"/>
    </row>
    <row r="554" spans="13:34" ht="12.75">
      <c r="M554" s="162"/>
      <c r="N554" s="162"/>
      <c r="AG554" s="142"/>
      <c r="AH554" s="142"/>
    </row>
    <row r="555" spans="13:34" ht="12.75">
      <c r="M555" s="162"/>
      <c r="N555" s="162"/>
      <c r="AG555" s="142"/>
      <c r="AH555" s="142"/>
    </row>
    <row r="556" spans="13:34" ht="12.75">
      <c r="M556" s="162"/>
      <c r="N556" s="162"/>
      <c r="AG556" s="142"/>
      <c r="AH556" s="142"/>
    </row>
    <row r="557" spans="13:34" ht="12.75">
      <c r="M557" s="162"/>
      <c r="N557" s="162"/>
      <c r="AG557" s="142"/>
      <c r="AH557" s="142"/>
    </row>
    <row r="558" spans="13:34" ht="12.75">
      <c r="M558" s="162"/>
      <c r="N558" s="162"/>
      <c r="AG558" s="142"/>
      <c r="AH558" s="142"/>
    </row>
    <row r="559" spans="13:34" ht="12.75">
      <c r="M559" s="162"/>
      <c r="N559" s="162"/>
      <c r="AG559" s="142"/>
      <c r="AH559" s="142"/>
    </row>
    <row r="560" spans="13:34" ht="12.75">
      <c r="M560" s="162"/>
      <c r="N560" s="162"/>
      <c r="AG560" s="142"/>
      <c r="AH560" s="142"/>
    </row>
    <row r="561" spans="13:34" ht="12.75">
      <c r="M561" s="162"/>
      <c r="N561" s="162"/>
      <c r="AG561" s="142"/>
      <c r="AH561" s="142"/>
    </row>
    <row r="562" spans="13:34" ht="12.75">
      <c r="M562" s="162"/>
      <c r="N562" s="162"/>
      <c r="AG562" s="142"/>
      <c r="AH562" s="142"/>
    </row>
    <row r="563" spans="13:34" ht="12.75">
      <c r="M563" s="162"/>
      <c r="N563" s="162"/>
      <c r="AG563" s="142"/>
      <c r="AH563" s="142"/>
    </row>
    <row r="564" spans="13:34" ht="12.75">
      <c r="M564" s="162"/>
      <c r="N564" s="162"/>
      <c r="AG564" s="142"/>
      <c r="AH564" s="142"/>
    </row>
    <row r="565" spans="13:34" ht="12.75">
      <c r="M565" s="162"/>
      <c r="N565" s="162"/>
      <c r="AG565" s="142"/>
      <c r="AH565" s="142"/>
    </row>
    <row r="566" spans="13:34" ht="12.75">
      <c r="M566" s="162"/>
      <c r="N566" s="162"/>
      <c r="AG566" s="142"/>
      <c r="AH566" s="142"/>
    </row>
    <row r="567" spans="13:34" ht="12.75">
      <c r="M567" s="162"/>
      <c r="N567" s="162"/>
      <c r="AG567" s="142"/>
      <c r="AH567" s="142"/>
    </row>
    <row r="568" spans="13:34" ht="12.75">
      <c r="M568" s="162"/>
      <c r="N568" s="162"/>
      <c r="AG568" s="142"/>
      <c r="AH568" s="142"/>
    </row>
    <row r="569" spans="13:34" ht="12.75">
      <c r="M569" s="162"/>
      <c r="N569" s="162"/>
      <c r="AG569" s="142"/>
      <c r="AH569" s="142"/>
    </row>
    <row r="570" spans="13:34" ht="12.75">
      <c r="M570" s="162"/>
      <c r="N570" s="162"/>
      <c r="AG570" s="142"/>
      <c r="AH570" s="142"/>
    </row>
    <row r="571" spans="13:34" ht="12.75">
      <c r="M571" s="162"/>
      <c r="N571" s="162"/>
      <c r="AG571" s="142"/>
      <c r="AH571" s="142"/>
    </row>
    <row r="572" spans="13:34" ht="12.75">
      <c r="M572" s="162"/>
      <c r="N572" s="162"/>
      <c r="AG572" s="142"/>
      <c r="AH572" s="142"/>
    </row>
    <row r="573" spans="13:34" ht="12.75">
      <c r="M573" s="162"/>
      <c r="N573" s="162"/>
      <c r="AG573" s="142"/>
      <c r="AH573" s="142"/>
    </row>
    <row r="574" spans="13:34" ht="12.75">
      <c r="M574" s="162"/>
      <c r="N574" s="162"/>
      <c r="AG574" s="142"/>
      <c r="AH574" s="142"/>
    </row>
    <row r="575" spans="13:34" ht="12.75">
      <c r="M575" s="162"/>
      <c r="N575" s="162"/>
      <c r="AG575" s="142"/>
      <c r="AH575" s="142"/>
    </row>
    <row r="576" spans="13:34" ht="12.75">
      <c r="M576" s="162"/>
      <c r="N576" s="162"/>
      <c r="AG576" s="142"/>
      <c r="AH576" s="142"/>
    </row>
    <row r="577" spans="13:34" ht="12.75">
      <c r="M577" s="162"/>
      <c r="N577" s="162"/>
      <c r="AG577" s="142"/>
      <c r="AH577" s="142"/>
    </row>
    <row r="578" spans="13:34" ht="12.75">
      <c r="M578" s="162"/>
      <c r="N578" s="162"/>
      <c r="AG578" s="142"/>
      <c r="AH578" s="142"/>
    </row>
    <row r="579" spans="13:34" ht="12.75">
      <c r="M579" s="162"/>
      <c r="N579" s="162"/>
      <c r="AG579" s="142"/>
      <c r="AH579" s="142"/>
    </row>
    <row r="580" spans="13:34" ht="12.75">
      <c r="M580" s="162"/>
      <c r="N580" s="162"/>
      <c r="AG580" s="142"/>
      <c r="AH580" s="142"/>
    </row>
    <row r="581" spans="13:34" ht="12.75">
      <c r="M581" s="162"/>
      <c r="N581" s="162"/>
      <c r="AG581" s="142"/>
      <c r="AH581" s="142"/>
    </row>
    <row r="582" spans="13:34" ht="12.75">
      <c r="M582" s="162"/>
      <c r="N582" s="162"/>
      <c r="AG582" s="142"/>
      <c r="AH582" s="142"/>
    </row>
    <row r="583" spans="13:34" ht="12.75">
      <c r="M583" s="162"/>
      <c r="N583" s="162"/>
      <c r="AG583" s="142"/>
      <c r="AH583" s="142"/>
    </row>
    <row r="584" spans="13:34" ht="12.75">
      <c r="M584" s="162"/>
      <c r="N584" s="162"/>
      <c r="AG584" s="142"/>
      <c r="AH584" s="142"/>
    </row>
    <row r="585" spans="13:34" ht="12.75">
      <c r="M585" s="162"/>
      <c r="N585" s="162"/>
      <c r="AG585" s="142"/>
      <c r="AH585" s="142"/>
    </row>
    <row r="586" spans="13:34" ht="12.75">
      <c r="M586" s="162"/>
      <c r="N586" s="162"/>
      <c r="AG586" s="142"/>
      <c r="AH586" s="142"/>
    </row>
    <row r="587" spans="13:34" ht="12.75">
      <c r="M587" s="162"/>
      <c r="N587" s="162"/>
      <c r="AG587" s="142"/>
      <c r="AH587" s="142"/>
    </row>
    <row r="588" spans="13:34" ht="12.75">
      <c r="M588" s="162"/>
      <c r="N588" s="162"/>
      <c r="AG588" s="142"/>
      <c r="AH588" s="142"/>
    </row>
    <row r="589" spans="13:34" ht="12.75">
      <c r="M589" s="162"/>
      <c r="N589" s="162"/>
      <c r="AG589" s="142"/>
      <c r="AH589" s="142"/>
    </row>
    <row r="590" spans="13:34" ht="12.75">
      <c r="M590" s="162"/>
      <c r="N590" s="162"/>
      <c r="AG590" s="142"/>
      <c r="AH590" s="142"/>
    </row>
    <row r="591" spans="13:34" ht="12.75">
      <c r="M591" s="162"/>
      <c r="N591" s="162"/>
      <c r="AG591" s="142"/>
      <c r="AH591" s="142"/>
    </row>
    <row r="592" spans="13:34" ht="12.75">
      <c r="M592" s="162"/>
      <c r="N592" s="162"/>
      <c r="AG592" s="142"/>
      <c r="AH592" s="142"/>
    </row>
    <row r="593" spans="13:34" ht="12.75">
      <c r="M593" s="162"/>
      <c r="N593" s="162"/>
      <c r="AG593" s="142"/>
      <c r="AH593" s="142"/>
    </row>
    <row r="594" spans="13:34" ht="12.75">
      <c r="M594" s="162"/>
      <c r="N594" s="162"/>
      <c r="AG594" s="142"/>
      <c r="AH594" s="142"/>
    </row>
    <row r="595" spans="13:34" ht="12.75">
      <c r="M595" s="162"/>
      <c r="N595" s="162"/>
      <c r="AG595" s="142"/>
      <c r="AH595" s="142"/>
    </row>
    <row r="596" spans="13:34" ht="12.75">
      <c r="M596" s="162"/>
      <c r="N596" s="162"/>
      <c r="AG596" s="142"/>
      <c r="AH596" s="142"/>
    </row>
    <row r="597" spans="13:34" ht="12.75">
      <c r="M597" s="162"/>
      <c r="N597" s="162"/>
      <c r="AG597" s="142"/>
      <c r="AH597" s="142"/>
    </row>
    <row r="598" spans="13:34" ht="12.75">
      <c r="M598" s="162"/>
      <c r="N598" s="162"/>
      <c r="AG598" s="142"/>
      <c r="AH598" s="142"/>
    </row>
    <row r="599" spans="13:34" ht="12.75">
      <c r="M599" s="162"/>
      <c r="N599" s="162"/>
      <c r="AG599" s="142"/>
      <c r="AH599" s="142"/>
    </row>
    <row r="600" spans="13:34" ht="12.75">
      <c r="M600" s="162"/>
      <c r="N600" s="162"/>
      <c r="AG600" s="142"/>
      <c r="AH600" s="142"/>
    </row>
    <row r="601" spans="13:34" ht="12.75">
      <c r="M601" s="162"/>
      <c r="N601" s="162"/>
      <c r="AG601" s="142"/>
      <c r="AH601" s="142"/>
    </row>
    <row r="602" spans="13:34" ht="12.75">
      <c r="M602" s="162"/>
      <c r="N602" s="162"/>
      <c r="AG602" s="142"/>
      <c r="AH602" s="142"/>
    </row>
    <row r="603" spans="13:34" ht="12.75">
      <c r="M603" s="162"/>
      <c r="N603" s="162"/>
      <c r="AG603" s="142"/>
      <c r="AH603" s="142"/>
    </row>
    <row r="604" spans="13:34" ht="12.75">
      <c r="M604" s="162"/>
      <c r="N604" s="162"/>
      <c r="AG604" s="142"/>
      <c r="AH604" s="142"/>
    </row>
    <row r="605" spans="13:34" ht="12.75">
      <c r="M605" s="162"/>
      <c r="N605" s="162"/>
      <c r="AG605" s="142"/>
      <c r="AH605" s="142"/>
    </row>
    <row r="606" spans="13:34" ht="12.75">
      <c r="M606" s="162"/>
      <c r="N606" s="162"/>
      <c r="AG606" s="142"/>
      <c r="AH606" s="142"/>
    </row>
    <row r="607" spans="13:34" ht="12.75">
      <c r="M607" s="162"/>
      <c r="N607" s="162"/>
      <c r="AG607" s="142"/>
      <c r="AH607" s="142"/>
    </row>
    <row r="608" spans="13:34" ht="12.75">
      <c r="M608" s="162"/>
      <c r="N608" s="162"/>
      <c r="AG608" s="142"/>
      <c r="AH608" s="142"/>
    </row>
    <row r="609" spans="13:34" ht="12.75">
      <c r="M609" s="162"/>
      <c r="N609" s="162"/>
      <c r="AG609" s="142"/>
      <c r="AH609" s="142"/>
    </row>
    <row r="610" spans="13:34" ht="12.75">
      <c r="M610" s="162"/>
      <c r="N610" s="162"/>
      <c r="AG610" s="142"/>
      <c r="AH610" s="142"/>
    </row>
    <row r="611" spans="13:34" ht="12.75">
      <c r="M611" s="162"/>
      <c r="N611" s="162"/>
      <c r="AG611" s="142"/>
      <c r="AH611" s="142"/>
    </row>
    <row r="612" spans="13:34" ht="12.75">
      <c r="M612" s="162"/>
      <c r="N612" s="162"/>
      <c r="AG612" s="142"/>
      <c r="AH612" s="142"/>
    </row>
    <row r="613" spans="13:34" ht="12.75">
      <c r="M613" s="162"/>
      <c r="N613" s="162"/>
      <c r="AG613" s="142"/>
      <c r="AH613" s="142"/>
    </row>
    <row r="614" spans="13:34" ht="12.75">
      <c r="M614" s="162"/>
      <c r="N614" s="162"/>
      <c r="AG614" s="142"/>
      <c r="AH614" s="142"/>
    </row>
    <row r="615" spans="13:34" ht="12.75">
      <c r="M615" s="162"/>
      <c r="N615" s="162"/>
      <c r="AG615" s="142"/>
      <c r="AH615" s="142"/>
    </row>
    <row r="616" spans="13:34" ht="12.75">
      <c r="M616" s="162"/>
      <c r="N616" s="162"/>
      <c r="AG616" s="142"/>
      <c r="AH616" s="142"/>
    </row>
    <row r="617" spans="13:34" ht="12.75">
      <c r="M617" s="162"/>
      <c r="N617" s="162"/>
      <c r="AG617" s="142"/>
      <c r="AH617" s="142"/>
    </row>
    <row r="618" spans="13:34" ht="12.75">
      <c r="M618" s="162"/>
      <c r="N618" s="162"/>
      <c r="AG618" s="142"/>
      <c r="AH618" s="142"/>
    </row>
    <row r="619" spans="13:34" ht="12.75">
      <c r="M619" s="162"/>
      <c r="N619" s="162"/>
      <c r="AG619" s="142"/>
      <c r="AH619" s="142"/>
    </row>
    <row r="620" spans="13:34" ht="12.75">
      <c r="M620" s="162"/>
      <c r="N620" s="162"/>
      <c r="AG620" s="142"/>
      <c r="AH620" s="142"/>
    </row>
    <row r="621" spans="13:34" ht="12.75">
      <c r="M621" s="162"/>
      <c r="N621" s="162"/>
      <c r="AG621" s="142"/>
      <c r="AH621" s="142"/>
    </row>
    <row r="622" spans="13:34" ht="12.75">
      <c r="M622" s="162"/>
      <c r="N622" s="162"/>
      <c r="AG622" s="142"/>
      <c r="AH622" s="142"/>
    </row>
    <row r="623" spans="13:34" ht="12.75">
      <c r="M623" s="162"/>
      <c r="N623" s="162"/>
      <c r="AG623" s="142"/>
      <c r="AH623" s="142"/>
    </row>
    <row r="624" spans="13:34" ht="12.75">
      <c r="M624" s="162"/>
      <c r="N624" s="162"/>
      <c r="AG624" s="142"/>
      <c r="AH624" s="142"/>
    </row>
    <row r="625" spans="13:34" ht="12.75">
      <c r="M625" s="162"/>
      <c r="N625" s="162"/>
      <c r="AG625" s="142"/>
      <c r="AH625" s="142"/>
    </row>
    <row r="626" spans="13:34" ht="12.75">
      <c r="M626" s="162"/>
      <c r="N626" s="162"/>
      <c r="AG626" s="142"/>
      <c r="AH626" s="142"/>
    </row>
    <row r="627" spans="13:34" ht="12.75">
      <c r="M627" s="162"/>
      <c r="N627" s="162"/>
      <c r="AG627" s="142"/>
      <c r="AH627" s="142"/>
    </row>
    <row r="628" spans="13:34" ht="12.75">
      <c r="M628" s="162"/>
      <c r="N628" s="162"/>
      <c r="AG628" s="142"/>
      <c r="AH628" s="142"/>
    </row>
    <row r="629" spans="13:34" ht="12.75">
      <c r="M629" s="162"/>
      <c r="N629" s="162"/>
      <c r="AG629" s="142"/>
      <c r="AH629" s="142"/>
    </row>
    <row r="630" spans="13:34" ht="12.75">
      <c r="M630" s="162"/>
      <c r="N630" s="162"/>
      <c r="AG630" s="142"/>
      <c r="AH630" s="142"/>
    </row>
    <row r="631" spans="13:34" ht="12.75">
      <c r="M631" s="162"/>
      <c r="N631" s="162"/>
      <c r="AG631" s="142"/>
      <c r="AH631" s="142"/>
    </row>
    <row r="632" spans="13:34" ht="12.75">
      <c r="M632" s="162"/>
      <c r="N632" s="162"/>
      <c r="AG632" s="142"/>
      <c r="AH632" s="142"/>
    </row>
    <row r="633" spans="13:34" ht="12.75">
      <c r="M633" s="162"/>
      <c r="N633" s="162"/>
      <c r="AG633" s="142"/>
      <c r="AH633" s="142"/>
    </row>
    <row r="634" spans="13:34" ht="12.75">
      <c r="M634" s="162"/>
      <c r="N634" s="162"/>
      <c r="AG634" s="142"/>
      <c r="AH634" s="142"/>
    </row>
    <row r="635" spans="13:34" ht="12.75">
      <c r="M635" s="162"/>
      <c r="N635" s="162"/>
      <c r="AG635" s="142"/>
      <c r="AH635" s="142"/>
    </row>
    <row r="636" spans="13:34" ht="12.75">
      <c r="M636" s="162"/>
      <c r="N636" s="162"/>
      <c r="AG636" s="142"/>
      <c r="AH636" s="142"/>
    </row>
    <row r="637" spans="13:34" ht="12.75">
      <c r="M637" s="162"/>
      <c r="N637" s="162"/>
      <c r="AG637" s="142"/>
      <c r="AH637" s="142"/>
    </row>
    <row r="638" spans="13:34" ht="12.75">
      <c r="M638" s="162"/>
      <c r="N638" s="162"/>
      <c r="AG638" s="142"/>
      <c r="AH638" s="142"/>
    </row>
    <row r="639" spans="13:34" ht="12.75">
      <c r="M639" s="162"/>
      <c r="N639" s="162"/>
      <c r="AG639" s="142"/>
      <c r="AH639" s="142"/>
    </row>
    <row r="640" spans="13:34" ht="12.75">
      <c r="M640" s="162"/>
      <c r="N640" s="162"/>
      <c r="AG640" s="142"/>
      <c r="AH640" s="142"/>
    </row>
    <row r="641" spans="13:34" ht="12.75">
      <c r="M641" s="162"/>
      <c r="N641" s="162"/>
      <c r="AG641" s="142"/>
      <c r="AH641" s="142"/>
    </row>
    <row r="642" spans="13:34" ht="12.75">
      <c r="M642" s="162"/>
      <c r="N642" s="162"/>
      <c r="AG642" s="142"/>
      <c r="AH642" s="142"/>
    </row>
    <row r="643" spans="13:34" ht="12.75">
      <c r="M643" s="162"/>
      <c r="N643" s="162"/>
      <c r="AG643" s="142"/>
      <c r="AH643" s="142"/>
    </row>
    <row r="644" spans="13:34" ht="12.75">
      <c r="M644" s="162"/>
      <c r="N644" s="162"/>
      <c r="AG644" s="142"/>
      <c r="AH644" s="142"/>
    </row>
    <row r="645" spans="13:34" ht="12.75">
      <c r="M645" s="162"/>
      <c r="N645" s="162"/>
      <c r="AG645" s="142"/>
      <c r="AH645" s="142"/>
    </row>
    <row r="646" spans="13:34" ht="12.75">
      <c r="M646" s="162"/>
      <c r="N646" s="162"/>
      <c r="AG646" s="142"/>
      <c r="AH646" s="142"/>
    </row>
    <row r="647" spans="13:34" ht="12.75">
      <c r="M647" s="162"/>
      <c r="N647" s="162"/>
      <c r="AG647" s="142"/>
      <c r="AH647" s="142"/>
    </row>
    <row r="648" spans="13:34" ht="12.75">
      <c r="M648" s="162"/>
      <c r="N648" s="162"/>
      <c r="AG648" s="142"/>
      <c r="AH648" s="142"/>
    </row>
    <row r="649" spans="13:34" ht="12.75">
      <c r="M649" s="162"/>
      <c r="N649" s="162"/>
      <c r="AG649" s="142"/>
      <c r="AH649" s="142"/>
    </row>
    <row r="650" spans="13:34" ht="12.75">
      <c r="M650" s="162"/>
      <c r="N650" s="162"/>
      <c r="AG650" s="142"/>
      <c r="AH650" s="142"/>
    </row>
    <row r="651" spans="13:34" ht="12.75">
      <c r="M651" s="162"/>
      <c r="N651" s="162"/>
      <c r="AG651" s="142"/>
      <c r="AH651" s="142"/>
    </row>
    <row r="652" spans="13:34" ht="12.75">
      <c r="M652" s="162"/>
      <c r="N652" s="162"/>
      <c r="AG652" s="142"/>
      <c r="AH652" s="142"/>
    </row>
    <row r="653" spans="13:34" ht="12.75">
      <c r="M653" s="162"/>
      <c r="N653" s="162"/>
      <c r="AG653" s="142"/>
      <c r="AH653" s="142"/>
    </row>
    <row r="654" spans="13:34" ht="12.75">
      <c r="M654" s="162"/>
      <c r="N654" s="162"/>
      <c r="AG654" s="142"/>
      <c r="AH654" s="142"/>
    </row>
    <row r="655" spans="13:34" ht="12.75">
      <c r="M655" s="162"/>
      <c r="N655" s="162"/>
      <c r="AG655" s="142"/>
      <c r="AH655" s="142"/>
    </row>
    <row r="656" spans="13:34" ht="12.75">
      <c r="M656" s="162"/>
      <c r="N656" s="162"/>
      <c r="AG656" s="142"/>
      <c r="AH656" s="142"/>
    </row>
    <row r="657" spans="13:34" ht="12.75">
      <c r="M657" s="162"/>
      <c r="N657" s="162"/>
      <c r="AG657" s="142"/>
      <c r="AH657" s="142"/>
    </row>
    <row r="658" spans="13:34" ht="12.75">
      <c r="M658" s="162"/>
      <c r="N658" s="162"/>
      <c r="AG658" s="142"/>
      <c r="AH658" s="142"/>
    </row>
    <row r="659" spans="13:34" ht="12.75">
      <c r="M659" s="162"/>
      <c r="N659" s="162"/>
      <c r="AG659" s="142"/>
      <c r="AH659" s="142"/>
    </row>
    <row r="660" spans="13:34" ht="12.75">
      <c r="M660" s="162"/>
      <c r="N660" s="162"/>
      <c r="AG660" s="142"/>
      <c r="AH660" s="142"/>
    </row>
    <row r="661" spans="13:34" ht="12.75">
      <c r="M661" s="162"/>
      <c r="N661" s="162"/>
      <c r="AG661" s="142"/>
      <c r="AH661" s="142"/>
    </row>
    <row r="662" spans="13:34" ht="12.75">
      <c r="M662" s="162"/>
      <c r="N662" s="162"/>
      <c r="AG662" s="142"/>
      <c r="AH662" s="142"/>
    </row>
    <row r="663" spans="13:34" ht="12.75">
      <c r="M663" s="162"/>
      <c r="N663" s="162"/>
      <c r="AG663" s="142"/>
      <c r="AH663" s="142"/>
    </row>
    <row r="664" spans="13:34" ht="12.75">
      <c r="M664" s="162"/>
      <c r="N664" s="162"/>
      <c r="AG664" s="142"/>
      <c r="AH664" s="142"/>
    </row>
    <row r="665" spans="13:34" ht="12.75">
      <c r="M665" s="162"/>
      <c r="N665" s="162"/>
      <c r="AG665" s="142"/>
      <c r="AH665" s="142"/>
    </row>
    <row r="666" spans="13:34" ht="12.75">
      <c r="M666" s="162"/>
      <c r="N666" s="162"/>
      <c r="AG666" s="142"/>
      <c r="AH666" s="142"/>
    </row>
    <row r="667" spans="13:34" ht="12.75">
      <c r="M667" s="162"/>
      <c r="N667" s="162"/>
      <c r="AG667" s="142"/>
      <c r="AH667" s="142"/>
    </row>
    <row r="668" spans="13:34" ht="12.75">
      <c r="M668" s="162"/>
      <c r="N668" s="162"/>
      <c r="AG668" s="142"/>
      <c r="AH668" s="142"/>
    </row>
    <row r="669" spans="13:34" ht="12.75">
      <c r="M669" s="162"/>
      <c r="N669" s="162"/>
      <c r="AG669" s="142"/>
      <c r="AH669" s="142"/>
    </row>
    <row r="670" spans="13:34" ht="12.75">
      <c r="M670" s="162"/>
      <c r="N670" s="162"/>
      <c r="AG670" s="142"/>
      <c r="AH670" s="142"/>
    </row>
    <row r="671" spans="13:34" ht="12.75">
      <c r="M671" s="162"/>
      <c r="N671" s="162"/>
      <c r="AG671" s="142"/>
      <c r="AH671" s="142"/>
    </row>
    <row r="672" spans="13:34" ht="12.75">
      <c r="M672" s="162"/>
      <c r="N672" s="162"/>
      <c r="AG672" s="142"/>
      <c r="AH672" s="142"/>
    </row>
    <row r="673" spans="13:34" ht="12.75">
      <c r="M673" s="162"/>
      <c r="N673" s="162"/>
      <c r="AG673" s="142"/>
      <c r="AH673" s="142"/>
    </row>
    <row r="674" spans="13:34" ht="12.75">
      <c r="M674" s="162"/>
      <c r="N674" s="162"/>
      <c r="AG674" s="142"/>
      <c r="AH674" s="142"/>
    </row>
    <row r="675" spans="13:34" ht="12.75">
      <c r="M675" s="162"/>
      <c r="N675" s="162"/>
      <c r="AG675" s="142"/>
      <c r="AH675" s="142"/>
    </row>
    <row r="676" spans="13:34" ht="12.75">
      <c r="M676" s="162"/>
      <c r="N676" s="162"/>
      <c r="AG676" s="142"/>
      <c r="AH676" s="142"/>
    </row>
    <row r="677" spans="13:34" ht="12.75">
      <c r="M677" s="162"/>
      <c r="N677" s="162"/>
      <c r="AG677" s="142"/>
      <c r="AH677" s="142"/>
    </row>
    <row r="678" spans="13:34" ht="12.75">
      <c r="M678" s="162"/>
      <c r="N678" s="162"/>
      <c r="AG678" s="142"/>
      <c r="AH678" s="142"/>
    </row>
    <row r="679" spans="13:34" ht="12.75">
      <c r="M679" s="162"/>
      <c r="N679" s="162"/>
      <c r="AG679" s="142"/>
      <c r="AH679" s="142"/>
    </row>
    <row r="680" spans="13:34" ht="12.75">
      <c r="M680" s="162"/>
      <c r="N680" s="162"/>
      <c r="AG680" s="142"/>
      <c r="AH680" s="142"/>
    </row>
    <row r="681" spans="13:34" ht="12.75">
      <c r="M681" s="162"/>
      <c r="N681" s="162"/>
      <c r="AG681" s="142"/>
      <c r="AH681" s="142"/>
    </row>
    <row r="682" spans="13:34" ht="12.75">
      <c r="M682" s="162"/>
      <c r="N682" s="162"/>
      <c r="AG682" s="142"/>
      <c r="AH682" s="142"/>
    </row>
    <row r="683" spans="13:34" ht="12.75">
      <c r="M683" s="162"/>
      <c r="N683" s="162"/>
      <c r="AG683" s="142"/>
      <c r="AH683" s="142"/>
    </row>
    <row r="684" spans="13:34" ht="12.75">
      <c r="M684" s="162"/>
      <c r="N684" s="162"/>
      <c r="AG684" s="142"/>
      <c r="AH684" s="142"/>
    </row>
    <row r="685" spans="13:34" ht="12.75">
      <c r="M685" s="162"/>
      <c r="N685" s="162"/>
      <c r="AG685" s="142"/>
      <c r="AH685" s="142"/>
    </row>
    <row r="686" spans="13:34" ht="12.75">
      <c r="M686" s="162"/>
      <c r="N686" s="162"/>
      <c r="AG686" s="142"/>
      <c r="AH686" s="142"/>
    </row>
    <row r="687" spans="13:34" ht="12.75">
      <c r="M687" s="162"/>
      <c r="N687" s="162"/>
      <c r="AG687" s="142"/>
      <c r="AH687" s="142"/>
    </row>
    <row r="688" spans="13:34" ht="12.75">
      <c r="M688" s="162"/>
      <c r="N688" s="162"/>
      <c r="AG688" s="142"/>
      <c r="AH688" s="142"/>
    </row>
    <row r="689" spans="13:34" ht="12.75">
      <c r="M689" s="162"/>
      <c r="N689" s="162"/>
      <c r="AG689" s="142"/>
      <c r="AH689" s="142"/>
    </row>
    <row r="690" spans="13:34" ht="12.75">
      <c r="M690" s="162"/>
      <c r="N690" s="162"/>
      <c r="AG690" s="142"/>
      <c r="AH690" s="142"/>
    </row>
    <row r="691" spans="13:34" ht="12.75">
      <c r="M691" s="162"/>
      <c r="N691" s="162"/>
      <c r="AG691" s="142"/>
      <c r="AH691" s="142"/>
    </row>
    <row r="692" spans="13:34" ht="12.75">
      <c r="M692" s="162"/>
      <c r="N692" s="162"/>
      <c r="AG692" s="142"/>
      <c r="AH692" s="142"/>
    </row>
    <row r="693" spans="13:34" ht="12.75">
      <c r="M693" s="162"/>
      <c r="N693" s="162"/>
      <c r="AG693" s="142"/>
      <c r="AH693" s="142"/>
    </row>
    <row r="694" spans="13:34" ht="12.75">
      <c r="M694" s="162"/>
      <c r="N694" s="162"/>
      <c r="AG694" s="142"/>
      <c r="AH694" s="142"/>
    </row>
    <row r="695" spans="13:34" ht="12.75">
      <c r="M695" s="162"/>
      <c r="N695" s="162"/>
      <c r="AG695" s="142"/>
      <c r="AH695" s="142"/>
    </row>
    <row r="696" spans="13:34" ht="12.75">
      <c r="M696" s="162"/>
      <c r="N696" s="162"/>
      <c r="AG696" s="142"/>
      <c r="AH696" s="142"/>
    </row>
    <row r="697" spans="13:34" ht="12.75">
      <c r="M697" s="162"/>
      <c r="N697" s="162"/>
      <c r="AG697" s="142"/>
      <c r="AH697" s="142"/>
    </row>
    <row r="698" spans="13:34" ht="12.75">
      <c r="M698" s="162"/>
      <c r="N698" s="162"/>
      <c r="AG698" s="142"/>
      <c r="AH698" s="142"/>
    </row>
    <row r="699" spans="13:34" ht="12.75">
      <c r="M699" s="162"/>
      <c r="N699" s="162"/>
      <c r="AG699" s="142"/>
      <c r="AH699" s="142"/>
    </row>
    <row r="700" spans="13:34" ht="12.75">
      <c r="M700" s="162"/>
      <c r="N700" s="162"/>
      <c r="AG700" s="142"/>
      <c r="AH700" s="142"/>
    </row>
    <row r="701" spans="13:34" ht="12.75">
      <c r="M701" s="162"/>
      <c r="N701" s="162"/>
      <c r="AG701" s="142"/>
      <c r="AH701" s="142"/>
    </row>
    <row r="702" spans="13:34" ht="12.75">
      <c r="M702" s="162"/>
      <c r="N702" s="162"/>
      <c r="AG702" s="142"/>
      <c r="AH702" s="142"/>
    </row>
    <row r="703" spans="13:34" ht="12.75">
      <c r="M703" s="162"/>
      <c r="N703" s="162"/>
      <c r="AG703" s="142"/>
      <c r="AH703" s="142"/>
    </row>
    <row r="704" spans="13:34" ht="12.75">
      <c r="M704" s="162"/>
      <c r="N704" s="162"/>
      <c r="AG704" s="142"/>
      <c r="AH704" s="142"/>
    </row>
    <row r="705" spans="13:34" ht="12.75">
      <c r="M705" s="162"/>
      <c r="N705" s="162"/>
      <c r="AG705" s="142"/>
      <c r="AH705" s="142"/>
    </row>
    <row r="706" spans="13:34" ht="12.75">
      <c r="M706" s="162"/>
      <c r="N706" s="162"/>
      <c r="AG706" s="142"/>
      <c r="AH706" s="142"/>
    </row>
    <row r="707" spans="13:34" ht="12.75">
      <c r="M707" s="162"/>
      <c r="N707" s="162"/>
      <c r="AG707" s="142"/>
      <c r="AH707" s="142"/>
    </row>
    <row r="708" spans="13:34" ht="12.75">
      <c r="M708" s="162"/>
      <c r="N708" s="162"/>
      <c r="AG708" s="142"/>
      <c r="AH708" s="142"/>
    </row>
    <row r="709" spans="13:34" ht="12.75">
      <c r="M709" s="162"/>
      <c r="N709" s="162"/>
      <c r="AG709" s="142"/>
      <c r="AH709" s="142"/>
    </row>
    <row r="710" spans="13:34" ht="12.75">
      <c r="M710" s="162"/>
      <c r="N710" s="162"/>
      <c r="AG710" s="142"/>
      <c r="AH710" s="142"/>
    </row>
    <row r="711" spans="13:34" ht="12.75">
      <c r="M711" s="162"/>
      <c r="N711" s="162"/>
      <c r="AG711" s="142"/>
      <c r="AH711" s="142"/>
    </row>
    <row r="712" spans="13:34" ht="12.75">
      <c r="M712" s="162"/>
      <c r="N712" s="162"/>
      <c r="AG712" s="142"/>
      <c r="AH712" s="142"/>
    </row>
    <row r="713" spans="13:34" ht="12.75">
      <c r="M713" s="162"/>
      <c r="N713" s="162"/>
      <c r="AG713" s="142"/>
      <c r="AH713" s="142"/>
    </row>
    <row r="714" spans="13:34" ht="12.75">
      <c r="M714" s="162"/>
      <c r="N714" s="162"/>
      <c r="AG714" s="142"/>
      <c r="AH714" s="142"/>
    </row>
    <row r="715" spans="13:34" ht="12.75">
      <c r="M715" s="162"/>
      <c r="N715" s="162"/>
      <c r="AG715" s="142"/>
      <c r="AH715" s="142"/>
    </row>
    <row r="716" spans="13:34" ht="12.75">
      <c r="M716" s="162"/>
      <c r="N716" s="162"/>
      <c r="AG716" s="142"/>
      <c r="AH716" s="142"/>
    </row>
    <row r="717" spans="13:34" ht="12.75">
      <c r="M717" s="162"/>
      <c r="N717" s="162"/>
      <c r="AG717" s="142"/>
      <c r="AH717" s="142"/>
    </row>
    <row r="718" spans="13:34" ht="12.75">
      <c r="M718" s="162"/>
      <c r="N718" s="162"/>
      <c r="AG718" s="142"/>
      <c r="AH718" s="142"/>
    </row>
    <row r="719" spans="13:34" ht="12.75">
      <c r="M719" s="162"/>
      <c r="N719" s="162"/>
      <c r="AG719" s="142"/>
      <c r="AH719" s="142"/>
    </row>
    <row r="720" spans="13:34" ht="12.75">
      <c r="M720" s="162"/>
      <c r="N720" s="162"/>
      <c r="AG720" s="142"/>
      <c r="AH720" s="142"/>
    </row>
    <row r="721" spans="13:34" ht="12.75">
      <c r="M721" s="162"/>
      <c r="N721" s="162"/>
      <c r="AG721" s="142"/>
      <c r="AH721" s="142"/>
    </row>
    <row r="722" spans="13:34" ht="12.75">
      <c r="M722" s="162"/>
      <c r="N722" s="162"/>
      <c r="AG722" s="142"/>
      <c r="AH722" s="142"/>
    </row>
    <row r="723" spans="13:34" ht="12.75">
      <c r="M723" s="162"/>
      <c r="N723" s="162"/>
      <c r="AG723" s="142"/>
      <c r="AH723" s="142"/>
    </row>
    <row r="724" spans="13:34" ht="12.75">
      <c r="M724" s="162"/>
      <c r="N724" s="162"/>
      <c r="AG724" s="142"/>
      <c r="AH724" s="142"/>
    </row>
    <row r="725" spans="13:34" ht="12.75">
      <c r="M725" s="162"/>
      <c r="N725" s="162"/>
      <c r="AG725" s="142"/>
      <c r="AH725" s="142"/>
    </row>
    <row r="726" spans="13:34" ht="12.75">
      <c r="M726" s="162"/>
      <c r="N726" s="162"/>
      <c r="AG726" s="142"/>
      <c r="AH726" s="142"/>
    </row>
    <row r="727" spans="13:34" ht="12.75">
      <c r="M727" s="162"/>
      <c r="N727" s="162"/>
      <c r="AG727" s="142"/>
      <c r="AH727" s="142"/>
    </row>
    <row r="728" spans="13:34" ht="12.75">
      <c r="M728" s="162"/>
      <c r="N728" s="162"/>
      <c r="AG728" s="142"/>
      <c r="AH728" s="142"/>
    </row>
    <row r="729" spans="13:34" ht="12.75">
      <c r="M729" s="162"/>
      <c r="N729" s="162"/>
      <c r="AG729" s="142"/>
      <c r="AH729" s="142"/>
    </row>
    <row r="730" spans="13:34" ht="12.75">
      <c r="M730" s="162"/>
      <c r="N730" s="162"/>
      <c r="AG730" s="142"/>
      <c r="AH730" s="142"/>
    </row>
    <row r="731" spans="13:34" ht="12.75">
      <c r="M731" s="162"/>
      <c r="N731" s="162"/>
      <c r="AG731" s="142"/>
      <c r="AH731" s="142"/>
    </row>
    <row r="732" spans="13:34" ht="12.75">
      <c r="M732" s="162"/>
      <c r="N732" s="162"/>
      <c r="AG732" s="142"/>
      <c r="AH732" s="142"/>
    </row>
    <row r="733" spans="13:34" ht="12.75">
      <c r="M733" s="162"/>
      <c r="N733" s="162"/>
      <c r="AG733" s="142"/>
      <c r="AH733" s="142"/>
    </row>
    <row r="734" spans="13:34" ht="12.75">
      <c r="M734" s="162"/>
      <c r="N734" s="162"/>
      <c r="AG734" s="142"/>
      <c r="AH734" s="142"/>
    </row>
    <row r="735" spans="13:34" ht="12.75">
      <c r="M735" s="162"/>
      <c r="N735" s="162"/>
      <c r="AG735" s="142"/>
      <c r="AH735" s="142"/>
    </row>
    <row r="736" spans="13:34" ht="12.75">
      <c r="M736" s="162"/>
      <c r="N736" s="162"/>
      <c r="AG736" s="142"/>
      <c r="AH736" s="142"/>
    </row>
    <row r="737" spans="13:34" ht="12.75">
      <c r="M737" s="162"/>
      <c r="N737" s="162"/>
      <c r="AG737" s="142"/>
      <c r="AH737" s="142"/>
    </row>
    <row r="738" spans="13:34" ht="12.75">
      <c r="M738" s="162"/>
      <c r="N738" s="162"/>
      <c r="AG738" s="142"/>
      <c r="AH738" s="142"/>
    </row>
    <row r="739" spans="13:34" ht="12.75">
      <c r="M739" s="162"/>
      <c r="N739" s="162"/>
      <c r="AG739" s="142"/>
      <c r="AH739" s="142"/>
    </row>
    <row r="740" spans="13:34" ht="12.75">
      <c r="M740" s="162"/>
      <c r="N740" s="162"/>
      <c r="AG740" s="142"/>
      <c r="AH740" s="142"/>
    </row>
    <row r="741" spans="13:34" ht="12.75">
      <c r="M741" s="162"/>
      <c r="N741" s="162"/>
      <c r="AG741" s="142"/>
      <c r="AH741" s="142"/>
    </row>
    <row r="742" spans="13:34" ht="12.75">
      <c r="M742" s="162"/>
      <c r="N742" s="162"/>
      <c r="AG742" s="142"/>
      <c r="AH742" s="142"/>
    </row>
    <row r="743" spans="13:34" ht="12.75">
      <c r="M743" s="162"/>
      <c r="N743" s="162"/>
      <c r="AG743" s="142"/>
      <c r="AH743" s="142"/>
    </row>
    <row r="744" spans="13:34" ht="12.75">
      <c r="M744" s="162"/>
      <c r="N744" s="162"/>
      <c r="AG744" s="142"/>
      <c r="AH744" s="142"/>
    </row>
    <row r="745" spans="13:34" ht="12.75">
      <c r="M745" s="162"/>
      <c r="N745" s="162"/>
      <c r="AG745" s="142"/>
      <c r="AH745" s="142"/>
    </row>
    <row r="746" spans="13:34" ht="12.75">
      <c r="M746" s="162"/>
      <c r="N746" s="162"/>
      <c r="AG746" s="142"/>
      <c r="AH746" s="142"/>
    </row>
    <row r="747" spans="13:34" ht="12.75">
      <c r="M747" s="162"/>
      <c r="N747" s="162"/>
      <c r="AG747" s="142"/>
      <c r="AH747" s="142"/>
    </row>
    <row r="748" spans="13:34" ht="12.75">
      <c r="M748" s="162"/>
      <c r="N748" s="162"/>
      <c r="AG748" s="142"/>
      <c r="AH748" s="142"/>
    </row>
    <row r="749" spans="13:34" ht="12.75">
      <c r="M749" s="162"/>
      <c r="N749" s="162"/>
      <c r="AG749" s="142"/>
      <c r="AH749" s="142"/>
    </row>
    <row r="750" spans="13:34" ht="12.75">
      <c r="M750" s="162"/>
      <c r="N750" s="162"/>
      <c r="AG750" s="142"/>
      <c r="AH750" s="142"/>
    </row>
    <row r="751" spans="13:34" ht="12.75">
      <c r="M751" s="162"/>
      <c r="N751" s="162"/>
      <c r="AG751" s="142"/>
      <c r="AH751" s="142"/>
    </row>
    <row r="752" spans="13:34" ht="12.75">
      <c r="M752" s="162"/>
      <c r="N752" s="162"/>
      <c r="AG752" s="142"/>
      <c r="AH752" s="142"/>
    </row>
    <row r="753" spans="13:34" ht="12.75">
      <c r="M753" s="162"/>
      <c r="N753" s="162"/>
      <c r="AG753" s="142"/>
      <c r="AH753" s="142"/>
    </row>
    <row r="754" spans="13:34" ht="12.75">
      <c r="M754" s="162"/>
      <c r="N754" s="162"/>
      <c r="AG754" s="142"/>
      <c r="AH754" s="142"/>
    </row>
    <row r="755" spans="13:34" ht="12.75">
      <c r="M755" s="162"/>
      <c r="N755" s="162"/>
      <c r="AG755" s="142"/>
      <c r="AH755" s="142"/>
    </row>
    <row r="756" spans="13:34" ht="12.75">
      <c r="M756" s="162"/>
      <c r="N756" s="162"/>
      <c r="AG756" s="142"/>
      <c r="AH756" s="142"/>
    </row>
    <row r="757" spans="13:34" ht="12.75">
      <c r="M757" s="162"/>
      <c r="N757" s="162"/>
      <c r="AG757" s="142"/>
      <c r="AH757" s="142"/>
    </row>
    <row r="758" spans="13:34" ht="12.75">
      <c r="M758" s="162"/>
      <c r="N758" s="162"/>
      <c r="AG758" s="142"/>
      <c r="AH758" s="142"/>
    </row>
    <row r="759" spans="13:34" ht="12.75">
      <c r="M759" s="162"/>
      <c r="N759" s="162"/>
      <c r="AG759" s="142"/>
      <c r="AH759" s="142"/>
    </row>
    <row r="760" spans="13:34" ht="12.75">
      <c r="M760" s="162"/>
      <c r="N760" s="162"/>
      <c r="AG760" s="142"/>
      <c r="AH760" s="142"/>
    </row>
    <row r="761" spans="13:34" ht="12.75">
      <c r="M761" s="162"/>
      <c r="N761" s="162"/>
      <c r="AG761" s="142"/>
      <c r="AH761" s="142"/>
    </row>
    <row r="762" spans="13:34" ht="12.75">
      <c r="M762" s="162"/>
      <c r="N762" s="162"/>
      <c r="AG762" s="142"/>
      <c r="AH762" s="142"/>
    </row>
    <row r="763" spans="13:34" ht="12.75">
      <c r="M763" s="162"/>
      <c r="N763" s="162"/>
      <c r="AG763" s="142"/>
      <c r="AH763" s="142"/>
    </row>
    <row r="764" spans="13:34" ht="12.75">
      <c r="M764" s="162"/>
      <c r="N764" s="162"/>
      <c r="AG764" s="142"/>
      <c r="AH764" s="142"/>
    </row>
    <row r="765" spans="13:34" ht="12.75">
      <c r="M765" s="162"/>
      <c r="N765" s="162"/>
      <c r="AG765" s="142"/>
      <c r="AH765" s="142"/>
    </row>
    <row r="766" spans="13:34" ht="12.75">
      <c r="M766" s="162"/>
      <c r="N766" s="162"/>
      <c r="AG766" s="142"/>
      <c r="AH766" s="142"/>
    </row>
    <row r="767" spans="13:34" ht="12.75">
      <c r="M767" s="162"/>
      <c r="N767" s="162"/>
      <c r="AG767" s="142"/>
      <c r="AH767" s="142"/>
    </row>
    <row r="768" spans="13:34" ht="12.75">
      <c r="M768" s="162"/>
      <c r="N768" s="162"/>
      <c r="AG768" s="142"/>
      <c r="AH768" s="142"/>
    </row>
    <row r="769" spans="13:34" ht="12.75">
      <c r="M769" s="162"/>
      <c r="N769" s="162"/>
      <c r="AG769" s="142"/>
      <c r="AH769" s="142"/>
    </row>
    <row r="770" spans="13:34" ht="12.75">
      <c r="M770" s="162"/>
      <c r="N770" s="162"/>
      <c r="AG770" s="142"/>
      <c r="AH770" s="142"/>
    </row>
    <row r="771" spans="13:34" ht="12.75">
      <c r="M771" s="162"/>
      <c r="N771" s="162"/>
      <c r="AG771" s="142"/>
      <c r="AH771" s="142"/>
    </row>
    <row r="772" spans="13:34" ht="12.75">
      <c r="M772" s="162"/>
      <c r="N772" s="162"/>
      <c r="AG772" s="142"/>
      <c r="AH772" s="142"/>
    </row>
    <row r="773" spans="13:34" ht="12.75">
      <c r="M773" s="162"/>
      <c r="N773" s="162"/>
      <c r="AG773" s="142"/>
      <c r="AH773" s="142"/>
    </row>
    <row r="774" spans="13:34" ht="12.75">
      <c r="M774" s="162"/>
      <c r="N774" s="162"/>
      <c r="AG774" s="142"/>
      <c r="AH774" s="142"/>
    </row>
    <row r="775" spans="13:34" ht="12.75">
      <c r="M775" s="162"/>
      <c r="N775" s="162"/>
      <c r="AG775" s="142"/>
      <c r="AH775" s="142"/>
    </row>
    <row r="776" spans="13:34" ht="12.75">
      <c r="M776" s="162"/>
      <c r="N776" s="162"/>
      <c r="AG776" s="142"/>
      <c r="AH776" s="142"/>
    </row>
    <row r="777" spans="13:34" ht="12.75">
      <c r="M777" s="162"/>
      <c r="N777" s="162"/>
      <c r="AG777" s="142"/>
      <c r="AH777" s="142"/>
    </row>
    <row r="778" spans="13:34" ht="12.75">
      <c r="M778" s="162"/>
      <c r="N778" s="162"/>
      <c r="AG778" s="142"/>
      <c r="AH778" s="142"/>
    </row>
    <row r="779" spans="13:34" ht="12.75">
      <c r="M779" s="162"/>
      <c r="N779" s="162"/>
      <c r="AG779" s="142"/>
      <c r="AH779" s="142"/>
    </row>
    <row r="780" spans="13:34" ht="12.75">
      <c r="M780" s="162"/>
      <c r="N780" s="162"/>
      <c r="AG780" s="142"/>
      <c r="AH780" s="142"/>
    </row>
    <row r="781" spans="13:34" ht="12.75">
      <c r="M781" s="162"/>
      <c r="N781" s="162"/>
      <c r="AG781" s="142"/>
      <c r="AH781" s="142"/>
    </row>
    <row r="782" spans="13:34" ht="12.75">
      <c r="M782" s="162"/>
      <c r="N782" s="162"/>
      <c r="AG782" s="142"/>
      <c r="AH782" s="142"/>
    </row>
    <row r="783" spans="13:34" ht="12.75">
      <c r="M783" s="162"/>
      <c r="N783" s="162"/>
      <c r="AG783" s="142"/>
      <c r="AH783" s="142"/>
    </row>
    <row r="784" spans="13:34" ht="12.75">
      <c r="M784" s="162"/>
      <c r="N784" s="162"/>
      <c r="AG784" s="142"/>
      <c r="AH784" s="142"/>
    </row>
    <row r="785" spans="13:34" ht="12.75">
      <c r="M785" s="162"/>
      <c r="N785" s="162"/>
      <c r="AG785" s="142"/>
      <c r="AH785" s="142"/>
    </row>
    <row r="786" spans="13:34" ht="12.75">
      <c r="M786" s="162"/>
      <c r="N786" s="162"/>
      <c r="AG786" s="142"/>
      <c r="AH786" s="142"/>
    </row>
    <row r="787" spans="13:34" ht="12.75">
      <c r="M787" s="162"/>
      <c r="N787" s="162"/>
      <c r="AG787" s="142"/>
      <c r="AH787" s="142"/>
    </row>
    <row r="788" spans="13:34" ht="12.75">
      <c r="M788" s="162"/>
      <c r="N788" s="162"/>
      <c r="AG788" s="142"/>
      <c r="AH788" s="142"/>
    </row>
    <row r="789" spans="13:34" ht="12.75">
      <c r="M789" s="162"/>
      <c r="N789" s="162"/>
      <c r="AG789" s="142"/>
      <c r="AH789" s="142"/>
    </row>
    <row r="790" spans="13:34" ht="12.75">
      <c r="M790" s="162"/>
      <c r="N790" s="162"/>
      <c r="AG790" s="142"/>
      <c r="AH790" s="142"/>
    </row>
    <row r="791" spans="13:34" ht="12.75">
      <c r="M791" s="162"/>
      <c r="N791" s="162"/>
      <c r="AG791" s="142"/>
      <c r="AH791" s="142"/>
    </row>
    <row r="792" spans="13:34" ht="12.75">
      <c r="M792" s="162"/>
      <c r="N792" s="162"/>
      <c r="AG792" s="142"/>
      <c r="AH792" s="142"/>
    </row>
    <row r="793" spans="13:34" ht="12.75">
      <c r="M793" s="162"/>
      <c r="N793" s="162"/>
      <c r="AG793" s="142"/>
      <c r="AH793" s="142"/>
    </row>
    <row r="794" spans="13:34" ht="12.75">
      <c r="M794" s="162"/>
      <c r="N794" s="162"/>
      <c r="AG794" s="142"/>
      <c r="AH794" s="142"/>
    </row>
    <row r="795" spans="13:34" ht="12.75">
      <c r="M795" s="162"/>
      <c r="N795" s="162"/>
      <c r="AG795" s="142"/>
      <c r="AH795" s="142"/>
    </row>
    <row r="796" spans="13:34" ht="12.75">
      <c r="M796" s="162"/>
      <c r="N796" s="162"/>
      <c r="AG796" s="142"/>
      <c r="AH796" s="142"/>
    </row>
    <row r="797" spans="13:34" ht="12.75">
      <c r="M797" s="162"/>
      <c r="N797" s="162"/>
      <c r="AG797" s="142"/>
      <c r="AH797" s="142"/>
    </row>
    <row r="798" spans="13:34" ht="12.75">
      <c r="M798" s="162"/>
      <c r="N798" s="162"/>
      <c r="AG798" s="142"/>
      <c r="AH798" s="142"/>
    </row>
    <row r="799" spans="13:34" ht="12.75">
      <c r="M799" s="162"/>
      <c r="N799" s="162"/>
      <c r="AG799" s="142"/>
      <c r="AH799" s="142"/>
    </row>
    <row r="800" spans="13:34" ht="12.75">
      <c r="M800" s="162"/>
      <c r="N800" s="162"/>
      <c r="AG800" s="142"/>
      <c r="AH800" s="142"/>
    </row>
    <row r="801" spans="13:34" ht="12.75">
      <c r="M801" s="162"/>
      <c r="N801" s="162"/>
      <c r="AG801" s="142"/>
      <c r="AH801" s="142"/>
    </row>
    <row r="802" spans="13:34" ht="12.75">
      <c r="M802" s="162"/>
      <c r="N802" s="162"/>
      <c r="AG802" s="142"/>
      <c r="AH802" s="142"/>
    </row>
    <row r="803" spans="13:34" ht="12.75">
      <c r="M803" s="162"/>
      <c r="N803" s="162"/>
      <c r="AG803" s="142"/>
      <c r="AH803" s="142"/>
    </row>
    <row r="804" spans="13:34" ht="12.75">
      <c r="M804" s="162"/>
      <c r="N804" s="162"/>
      <c r="AG804" s="142"/>
      <c r="AH804" s="142"/>
    </row>
    <row r="805" spans="13:34" ht="12.75">
      <c r="M805" s="162"/>
      <c r="N805" s="162"/>
      <c r="AG805" s="142"/>
      <c r="AH805" s="142"/>
    </row>
    <row r="806" spans="13:34" ht="12.75">
      <c r="M806" s="162"/>
      <c r="N806" s="162"/>
      <c r="AG806" s="142"/>
      <c r="AH806" s="142"/>
    </row>
    <row r="807" spans="13:34" ht="12.75">
      <c r="M807" s="162"/>
      <c r="N807" s="162"/>
      <c r="AG807" s="142"/>
      <c r="AH807" s="142"/>
    </row>
    <row r="808" spans="13:34" ht="12.75">
      <c r="M808" s="162"/>
      <c r="N808" s="162"/>
      <c r="AG808" s="142"/>
      <c r="AH808" s="142"/>
    </row>
    <row r="809" spans="13:34" ht="12.75">
      <c r="M809" s="162"/>
      <c r="N809" s="162"/>
      <c r="AG809" s="142"/>
      <c r="AH809" s="142"/>
    </row>
    <row r="810" spans="13:34" ht="12.75">
      <c r="M810" s="162"/>
      <c r="N810" s="162"/>
      <c r="AG810" s="142"/>
      <c r="AH810" s="142"/>
    </row>
    <row r="811" spans="13:34" ht="12.75">
      <c r="M811" s="162"/>
      <c r="N811" s="162"/>
      <c r="AG811" s="142"/>
      <c r="AH811" s="142"/>
    </row>
    <row r="812" spans="13:34" ht="12.75">
      <c r="M812" s="162"/>
      <c r="N812" s="162"/>
      <c r="AG812" s="142"/>
      <c r="AH812" s="142"/>
    </row>
    <row r="813" spans="13:34" ht="12.75">
      <c r="M813" s="162"/>
      <c r="N813" s="162"/>
      <c r="AG813" s="142"/>
      <c r="AH813" s="142"/>
    </row>
    <row r="814" spans="13:34" ht="12.75">
      <c r="M814" s="162"/>
      <c r="N814" s="162"/>
      <c r="AG814" s="142"/>
      <c r="AH814" s="142"/>
    </row>
    <row r="815" spans="13:34" ht="12.75">
      <c r="M815" s="162"/>
      <c r="N815" s="162"/>
      <c r="AG815" s="142"/>
      <c r="AH815" s="142"/>
    </row>
    <row r="816" spans="13:34" ht="12.75">
      <c r="M816" s="162"/>
      <c r="N816" s="162"/>
      <c r="AG816" s="142"/>
      <c r="AH816" s="142"/>
    </row>
    <row r="817" spans="13:34" ht="12.75">
      <c r="M817" s="162"/>
      <c r="N817" s="162"/>
      <c r="AG817" s="142"/>
      <c r="AH817" s="142"/>
    </row>
    <row r="818" spans="13:34" ht="12.75">
      <c r="M818" s="162"/>
      <c r="N818" s="162"/>
      <c r="AG818" s="142"/>
      <c r="AH818" s="142"/>
    </row>
    <row r="819" spans="13:34" ht="12.75">
      <c r="M819" s="162"/>
      <c r="N819" s="162"/>
      <c r="AG819" s="142"/>
      <c r="AH819" s="142"/>
    </row>
    <row r="820" spans="13:34" ht="12.75">
      <c r="M820" s="162"/>
      <c r="N820" s="162"/>
      <c r="AG820" s="142"/>
      <c r="AH820" s="142"/>
    </row>
    <row r="821" spans="13:34" ht="12.75">
      <c r="M821" s="162"/>
      <c r="N821" s="162"/>
      <c r="AG821" s="142"/>
      <c r="AH821" s="142"/>
    </row>
    <row r="822" spans="13:34" ht="12.75">
      <c r="M822" s="162"/>
      <c r="N822" s="162"/>
      <c r="AG822" s="142"/>
      <c r="AH822" s="142"/>
    </row>
    <row r="823" spans="13:34" ht="12.75">
      <c r="M823" s="162"/>
      <c r="N823" s="162"/>
      <c r="AG823" s="142"/>
      <c r="AH823" s="142"/>
    </row>
    <row r="824" spans="13:34" ht="12.75">
      <c r="M824" s="162"/>
      <c r="N824" s="162"/>
      <c r="AG824" s="142"/>
      <c r="AH824" s="142"/>
    </row>
    <row r="825" spans="13:34" ht="12.75">
      <c r="M825" s="162"/>
      <c r="N825" s="162"/>
      <c r="AG825" s="142"/>
      <c r="AH825" s="142"/>
    </row>
    <row r="826" spans="13:34" ht="12.75">
      <c r="M826" s="162"/>
      <c r="N826" s="162"/>
      <c r="AG826" s="142"/>
      <c r="AH826" s="142"/>
    </row>
    <row r="827" spans="13:34" ht="12.75">
      <c r="M827" s="162"/>
      <c r="N827" s="162"/>
      <c r="AG827" s="142"/>
      <c r="AH827" s="142"/>
    </row>
    <row r="828" spans="13:34" ht="12.75">
      <c r="M828" s="162"/>
      <c r="N828" s="162"/>
      <c r="AG828" s="142"/>
      <c r="AH828" s="142"/>
    </row>
    <row r="829" spans="13:34" ht="12.75">
      <c r="M829" s="162"/>
      <c r="N829" s="162"/>
      <c r="AG829" s="142"/>
      <c r="AH829" s="142"/>
    </row>
    <row r="830" spans="13:34" ht="12.75">
      <c r="M830" s="162"/>
      <c r="N830" s="162"/>
      <c r="AG830" s="142"/>
      <c r="AH830" s="142"/>
    </row>
    <row r="831" spans="13:34" ht="12.75">
      <c r="M831" s="162"/>
      <c r="N831" s="162"/>
      <c r="AG831" s="142"/>
      <c r="AH831" s="142"/>
    </row>
    <row r="832" spans="13:34" ht="12.75">
      <c r="M832" s="162"/>
      <c r="N832" s="162"/>
      <c r="AG832" s="142"/>
      <c r="AH832" s="142"/>
    </row>
    <row r="833" spans="13:34" ht="12.75">
      <c r="M833" s="162"/>
      <c r="N833" s="162"/>
      <c r="AG833" s="142"/>
      <c r="AH833" s="142"/>
    </row>
    <row r="834" spans="13:34" ht="12.75">
      <c r="M834" s="162"/>
      <c r="N834" s="162"/>
      <c r="AG834" s="142"/>
      <c r="AH834" s="142"/>
    </row>
    <row r="835" spans="13:34" ht="12.75">
      <c r="M835" s="162"/>
      <c r="N835" s="162"/>
      <c r="AG835" s="142"/>
      <c r="AH835" s="142"/>
    </row>
    <row r="836" spans="13:34" ht="12.75">
      <c r="M836" s="162"/>
      <c r="N836" s="162"/>
      <c r="AG836" s="142"/>
      <c r="AH836" s="142"/>
    </row>
    <row r="837" spans="13:34" ht="12.75">
      <c r="M837" s="162"/>
      <c r="N837" s="162"/>
      <c r="AG837" s="142"/>
      <c r="AH837" s="142"/>
    </row>
    <row r="838" spans="13:34" ht="12.75">
      <c r="M838" s="162"/>
      <c r="N838" s="162"/>
      <c r="AG838" s="142"/>
      <c r="AH838" s="142"/>
    </row>
    <row r="839" spans="13:34" ht="12.75">
      <c r="M839" s="162"/>
      <c r="N839" s="162"/>
      <c r="AG839" s="142"/>
      <c r="AH839" s="142"/>
    </row>
    <row r="840" spans="13:34" ht="12.75">
      <c r="M840" s="162"/>
      <c r="N840" s="162"/>
      <c r="AG840" s="142"/>
      <c r="AH840" s="142"/>
    </row>
    <row r="841" spans="13:34" ht="12.75">
      <c r="M841" s="162"/>
      <c r="N841" s="162"/>
      <c r="AG841" s="142"/>
      <c r="AH841" s="142"/>
    </row>
    <row r="842" spans="13:34" ht="12.75">
      <c r="M842" s="162"/>
      <c r="N842" s="162"/>
      <c r="AG842" s="142"/>
      <c r="AH842" s="142"/>
    </row>
    <row r="843" spans="13:34" ht="12.75">
      <c r="M843" s="162"/>
      <c r="N843" s="162"/>
      <c r="AG843" s="142"/>
      <c r="AH843" s="142"/>
    </row>
    <row r="844" spans="13:34" ht="12.75">
      <c r="M844" s="162"/>
      <c r="N844" s="162"/>
      <c r="AG844" s="142"/>
      <c r="AH844" s="142"/>
    </row>
    <row r="845" spans="13:34" ht="12.75">
      <c r="M845" s="162"/>
      <c r="N845" s="162"/>
      <c r="AG845" s="142"/>
      <c r="AH845" s="142"/>
    </row>
    <row r="846" spans="13:34" ht="12.75">
      <c r="M846" s="162"/>
      <c r="N846" s="162"/>
      <c r="AG846" s="142"/>
      <c r="AH846" s="142"/>
    </row>
    <row r="847" spans="13:34" ht="12.75">
      <c r="M847" s="162"/>
      <c r="N847" s="162"/>
      <c r="AG847" s="142"/>
      <c r="AH847" s="142"/>
    </row>
    <row r="848" spans="13:34" ht="12.75">
      <c r="M848" s="162"/>
      <c r="N848" s="162"/>
      <c r="AG848" s="142"/>
      <c r="AH848" s="142"/>
    </row>
    <row r="849" spans="13:34" ht="12.75">
      <c r="M849" s="162"/>
      <c r="N849" s="162"/>
      <c r="AG849" s="142"/>
      <c r="AH849" s="142"/>
    </row>
    <row r="850" spans="13:34" ht="12.75">
      <c r="M850" s="162"/>
      <c r="N850" s="162"/>
      <c r="AG850" s="142"/>
      <c r="AH850" s="142"/>
    </row>
    <row r="851" spans="13:34" ht="12.75">
      <c r="M851" s="162"/>
      <c r="N851" s="162"/>
      <c r="AG851" s="142"/>
      <c r="AH851" s="142"/>
    </row>
    <row r="852" spans="13:34" ht="12.75">
      <c r="M852" s="162"/>
      <c r="N852" s="162"/>
      <c r="AG852" s="142"/>
      <c r="AH852" s="142"/>
    </row>
    <row r="853" spans="13:34" ht="12.75">
      <c r="M853" s="162"/>
      <c r="N853" s="162"/>
      <c r="AG853" s="142"/>
      <c r="AH853" s="142"/>
    </row>
    <row r="854" spans="13:34" ht="12.75">
      <c r="M854" s="162"/>
      <c r="N854" s="162"/>
      <c r="AG854" s="142"/>
      <c r="AH854" s="142"/>
    </row>
    <row r="855" spans="13:34" ht="12.75">
      <c r="M855" s="162"/>
      <c r="N855" s="162"/>
      <c r="AG855" s="142"/>
      <c r="AH855" s="142"/>
    </row>
    <row r="856" spans="13:34" ht="12.75">
      <c r="M856" s="162"/>
      <c r="N856" s="162"/>
      <c r="AG856" s="142"/>
      <c r="AH856" s="142"/>
    </row>
    <row r="857" spans="13:34" ht="12.75">
      <c r="M857" s="162"/>
      <c r="N857" s="162"/>
      <c r="AG857" s="142"/>
      <c r="AH857" s="142"/>
    </row>
    <row r="858" spans="13:34" ht="12.75">
      <c r="M858" s="162"/>
      <c r="N858" s="162"/>
      <c r="AG858" s="142"/>
      <c r="AH858" s="142"/>
    </row>
    <row r="859" spans="13:34" ht="12.75">
      <c r="M859" s="162"/>
      <c r="N859" s="162"/>
      <c r="AG859" s="142"/>
      <c r="AH859" s="142"/>
    </row>
    <row r="860" spans="13:34" ht="12.75">
      <c r="M860" s="162"/>
      <c r="N860" s="162"/>
      <c r="AG860" s="142"/>
      <c r="AH860" s="142"/>
    </row>
    <row r="861" spans="13:34" ht="12.75">
      <c r="M861" s="162"/>
      <c r="N861" s="162"/>
      <c r="AG861" s="142"/>
      <c r="AH861" s="142"/>
    </row>
    <row r="862" spans="13:34" ht="12.75">
      <c r="M862" s="162"/>
      <c r="N862" s="162"/>
      <c r="AG862" s="142"/>
      <c r="AH862" s="142"/>
    </row>
    <row r="863" spans="13:34" ht="12.75">
      <c r="M863" s="162"/>
      <c r="N863" s="162"/>
      <c r="AG863" s="142"/>
      <c r="AH863" s="142"/>
    </row>
    <row r="864" spans="13:34" ht="12.75">
      <c r="M864" s="162"/>
      <c r="N864" s="162"/>
      <c r="AG864" s="142"/>
      <c r="AH864" s="142"/>
    </row>
    <row r="865" spans="13:34" ht="12.75">
      <c r="M865" s="162"/>
      <c r="N865" s="162"/>
      <c r="AG865" s="142"/>
      <c r="AH865" s="142"/>
    </row>
    <row r="866" spans="13:34" ht="12.75">
      <c r="M866" s="162"/>
      <c r="N866" s="162"/>
      <c r="AG866" s="142"/>
      <c r="AH866" s="142"/>
    </row>
    <row r="867" spans="13:34" ht="12.75">
      <c r="M867" s="162"/>
      <c r="N867" s="162"/>
      <c r="AG867" s="142"/>
      <c r="AH867" s="142"/>
    </row>
    <row r="868" spans="13:34" ht="12.75">
      <c r="M868" s="162"/>
      <c r="N868" s="162"/>
      <c r="AG868" s="142"/>
      <c r="AH868" s="142"/>
    </row>
    <row r="869" spans="13:34" ht="12.75">
      <c r="M869" s="162"/>
      <c r="N869" s="162"/>
      <c r="AG869" s="142"/>
      <c r="AH869" s="142"/>
    </row>
    <row r="870" spans="13:34" ht="12.75">
      <c r="M870" s="162"/>
      <c r="N870" s="162"/>
      <c r="AG870" s="142"/>
      <c r="AH870" s="142"/>
    </row>
    <row r="871" spans="13:34" ht="12.75">
      <c r="M871" s="162"/>
      <c r="N871" s="162"/>
      <c r="AG871" s="142"/>
      <c r="AH871" s="142"/>
    </row>
    <row r="872" spans="13:34" ht="12.75">
      <c r="M872" s="162"/>
      <c r="N872" s="162"/>
      <c r="AG872" s="142"/>
      <c r="AH872" s="142"/>
    </row>
    <row r="873" spans="13:34" ht="12.75">
      <c r="M873" s="162"/>
      <c r="N873" s="162"/>
      <c r="AG873" s="142"/>
      <c r="AH873" s="142"/>
    </row>
    <row r="874" spans="13:34" ht="12.75">
      <c r="M874" s="162"/>
      <c r="N874" s="162"/>
      <c r="AG874" s="142"/>
      <c r="AH874" s="142"/>
    </row>
    <row r="875" spans="13:34" ht="12.75">
      <c r="M875" s="162"/>
      <c r="N875" s="162"/>
      <c r="AG875" s="142"/>
      <c r="AH875" s="142"/>
    </row>
    <row r="876" spans="13:34" ht="12.75">
      <c r="M876" s="162"/>
      <c r="N876" s="162"/>
      <c r="AG876" s="142"/>
      <c r="AH876" s="142"/>
    </row>
    <row r="877" spans="13:34" ht="12.75">
      <c r="M877" s="162"/>
      <c r="N877" s="162"/>
      <c r="AG877" s="142"/>
      <c r="AH877" s="142"/>
    </row>
    <row r="878" spans="13:34" ht="12.75">
      <c r="M878" s="162"/>
      <c r="N878" s="162"/>
      <c r="AG878" s="142"/>
      <c r="AH878" s="142"/>
    </row>
    <row r="879" spans="13:34" ht="12.75">
      <c r="M879" s="162"/>
      <c r="N879" s="162"/>
      <c r="AG879" s="142"/>
      <c r="AH879" s="142"/>
    </row>
    <row r="880" spans="13:34" ht="12.75">
      <c r="M880" s="162"/>
      <c r="N880" s="162"/>
      <c r="AG880" s="142"/>
      <c r="AH880" s="142"/>
    </row>
    <row r="881" spans="13:34" ht="12.75">
      <c r="M881" s="162"/>
      <c r="N881" s="162"/>
      <c r="AG881" s="142"/>
      <c r="AH881" s="142"/>
    </row>
    <row r="882" spans="13:34" ht="12.75">
      <c r="M882" s="162"/>
      <c r="N882" s="162"/>
      <c r="AG882" s="142"/>
      <c r="AH882" s="142"/>
    </row>
    <row r="883" spans="13:34" ht="12.75">
      <c r="M883" s="162"/>
      <c r="N883" s="162"/>
      <c r="AG883" s="142"/>
      <c r="AH883" s="142"/>
    </row>
    <row r="884" spans="13:34" ht="12.75">
      <c r="M884" s="162"/>
      <c r="N884" s="162"/>
      <c r="AG884" s="142"/>
      <c r="AH884" s="142"/>
    </row>
    <row r="885" spans="13:34" ht="12.75">
      <c r="M885" s="162"/>
      <c r="N885" s="162"/>
      <c r="AG885" s="142"/>
      <c r="AH885" s="142"/>
    </row>
    <row r="886" spans="13:34" ht="12.75">
      <c r="M886" s="162"/>
      <c r="N886" s="162"/>
      <c r="AG886" s="142"/>
      <c r="AH886" s="142"/>
    </row>
    <row r="887" spans="13:34" ht="12.75">
      <c r="M887" s="162"/>
      <c r="N887" s="162"/>
      <c r="AG887" s="142"/>
      <c r="AH887" s="142"/>
    </row>
    <row r="888" spans="13:34" ht="12.75">
      <c r="M888" s="162"/>
      <c r="N888" s="162"/>
      <c r="AG888" s="142"/>
      <c r="AH888" s="142"/>
    </row>
    <row r="889" spans="13:34" ht="12.75">
      <c r="M889" s="162"/>
      <c r="N889" s="162"/>
      <c r="AG889" s="142"/>
      <c r="AH889" s="142"/>
    </row>
    <row r="890" spans="13:34" ht="12.75">
      <c r="M890" s="162"/>
      <c r="N890" s="162"/>
      <c r="AG890" s="142"/>
      <c r="AH890" s="142"/>
    </row>
    <row r="891" spans="13:34" ht="12.75">
      <c r="M891" s="162"/>
      <c r="N891" s="162"/>
      <c r="AG891" s="142"/>
      <c r="AH891" s="142"/>
    </row>
    <row r="892" spans="13:34" ht="12.75">
      <c r="M892" s="162"/>
      <c r="N892" s="162"/>
      <c r="AG892" s="142"/>
      <c r="AH892" s="142"/>
    </row>
    <row r="893" spans="13:34" ht="12.75">
      <c r="M893" s="162"/>
      <c r="N893" s="162"/>
      <c r="AG893" s="142"/>
      <c r="AH893" s="142"/>
    </row>
    <row r="894" spans="13:34" ht="12.75">
      <c r="M894" s="162"/>
      <c r="N894" s="162"/>
      <c r="AG894" s="142"/>
      <c r="AH894" s="142"/>
    </row>
    <row r="895" spans="13:34" ht="12.75">
      <c r="M895" s="162"/>
      <c r="N895" s="162"/>
      <c r="AG895" s="142"/>
      <c r="AH895" s="142"/>
    </row>
    <row r="896" spans="13:34" ht="12.75">
      <c r="M896" s="162"/>
      <c r="N896" s="162"/>
      <c r="AG896" s="142"/>
      <c r="AH896" s="142"/>
    </row>
    <row r="897" spans="13:34" ht="12.75">
      <c r="M897" s="162"/>
      <c r="N897" s="162"/>
      <c r="AG897" s="142"/>
      <c r="AH897" s="142"/>
    </row>
    <row r="898" spans="13:34" ht="12.75">
      <c r="M898" s="162"/>
      <c r="N898" s="162"/>
      <c r="AG898" s="142"/>
      <c r="AH898" s="142"/>
    </row>
    <row r="899" spans="13:34" ht="12.75">
      <c r="M899" s="162"/>
      <c r="N899" s="162"/>
      <c r="AG899" s="142"/>
      <c r="AH899" s="142"/>
    </row>
    <row r="900" spans="13:34" ht="12.75">
      <c r="M900" s="162"/>
      <c r="N900" s="162"/>
      <c r="AG900" s="142"/>
      <c r="AH900" s="142"/>
    </row>
    <row r="901" spans="13:34" ht="12.75">
      <c r="M901" s="162"/>
      <c r="N901" s="162"/>
      <c r="AG901" s="142"/>
      <c r="AH901" s="142"/>
    </row>
    <row r="902" spans="13:34" ht="12.75">
      <c r="M902" s="162"/>
      <c r="N902" s="162"/>
      <c r="AG902" s="142"/>
      <c r="AH902" s="142"/>
    </row>
    <row r="903" spans="13:34" ht="12.75">
      <c r="M903" s="162"/>
      <c r="N903" s="162"/>
      <c r="AG903" s="142"/>
      <c r="AH903" s="142"/>
    </row>
    <row r="904" spans="13:34" ht="12.75">
      <c r="M904" s="162"/>
      <c r="N904" s="162"/>
      <c r="AG904" s="142"/>
      <c r="AH904" s="142"/>
    </row>
    <row r="905" spans="13:34" ht="12.75">
      <c r="M905" s="162"/>
      <c r="N905" s="162"/>
      <c r="AG905" s="142"/>
      <c r="AH905" s="142"/>
    </row>
    <row r="906" spans="13:34" ht="12.75">
      <c r="M906" s="162"/>
      <c r="N906" s="162"/>
      <c r="AG906" s="142"/>
      <c r="AH906" s="142"/>
    </row>
    <row r="907" spans="13:34" ht="12.75">
      <c r="M907" s="162"/>
      <c r="N907" s="162"/>
      <c r="AG907" s="142"/>
      <c r="AH907" s="142"/>
    </row>
    <row r="908" spans="13:34" ht="12.75">
      <c r="M908" s="162"/>
      <c r="N908" s="162"/>
      <c r="AG908" s="142"/>
      <c r="AH908" s="142"/>
    </row>
    <row r="909" spans="13:34" ht="12.75">
      <c r="M909" s="162"/>
      <c r="N909" s="162"/>
      <c r="AG909" s="142"/>
      <c r="AH909" s="142"/>
    </row>
    <row r="910" spans="13:34" ht="12.75">
      <c r="M910" s="162"/>
      <c r="N910" s="162"/>
      <c r="AG910" s="142"/>
      <c r="AH910" s="142"/>
    </row>
    <row r="911" spans="13:34" ht="12.75">
      <c r="M911" s="162"/>
      <c r="N911" s="162"/>
      <c r="AG911" s="142"/>
      <c r="AH911" s="142"/>
    </row>
    <row r="912" spans="13:34" ht="12.75">
      <c r="M912" s="162"/>
      <c r="N912" s="162"/>
      <c r="AG912" s="142"/>
      <c r="AH912" s="142"/>
    </row>
    <row r="913" spans="13:34" ht="12.75">
      <c r="M913" s="162"/>
      <c r="N913" s="162"/>
      <c r="AG913" s="142"/>
      <c r="AH913" s="142"/>
    </row>
    <row r="914" spans="13:34" ht="12.75">
      <c r="M914" s="162"/>
      <c r="N914" s="162"/>
      <c r="AG914" s="142"/>
      <c r="AH914" s="142"/>
    </row>
    <row r="915" spans="13:34" ht="12.75">
      <c r="M915" s="162"/>
      <c r="N915" s="162"/>
      <c r="AG915" s="142"/>
      <c r="AH915" s="142"/>
    </row>
    <row r="916" spans="13:34" ht="12.75">
      <c r="M916" s="162"/>
      <c r="N916" s="162"/>
      <c r="AG916" s="142"/>
      <c r="AH916" s="142"/>
    </row>
    <row r="917" spans="13:34" ht="12.75">
      <c r="M917" s="162"/>
      <c r="N917" s="162"/>
      <c r="AG917" s="142"/>
      <c r="AH917" s="142"/>
    </row>
    <row r="918" spans="13:34" ht="12.75">
      <c r="M918" s="162"/>
      <c r="N918" s="162"/>
      <c r="AG918" s="142"/>
      <c r="AH918" s="142"/>
    </row>
    <row r="919" spans="13:34" ht="12.75">
      <c r="M919" s="162"/>
      <c r="N919" s="162"/>
      <c r="AG919" s="142"/>
      <c r="AH919" s="142"/>
    </row>
    <row r="920" spans="13:34" ht="12.75">
      <c r="M920" s="162"/>
      <c r="N920" s="162"/>
      <c r="AG920" s="142"/>
      <c r="AH920" s="142"/>
    </row>
    <row r="921" spans="13:34" ht="12.75">
      <c r="M921" s="162"/>
      <c r="N921" s="162"/>
      <c r="AG921" s="142"/>
      <c r="AH921" s="142"/>
    </row>
    <row r="922" spans="13:34" ht="12.75">
      <c r="M922" s="162"/>
      <c r="N922" s="162"/>
      <c r="AG922" s="142"/>
      <c r="AH922" s="142"/>
    </row>
    <row r="923" spans="13:34" ht="12.75">
      <c r="M923" s="162"/>
      <c r="N923" s="162"/>
      <c r="AG923" s="142"/>
      <c r="AH923" s="142"/>
    </row>
    <row r="924" spans="13:34" ht="12.75">
      <c r="M924" s="162"/>
      <c r="N924" s="162"/>
      <c r="AG924" s="142"/>
      <c r="AH924" s="142"/>
    </row>
    <row r="925" spans="13:34" ht="12.75">
      <c r="M925" s="162"/>
      <c r="N925" s="162"/>
      <c r="AG925" s="142"/>
      <c r="AH925" s="142"/>
    </row>
    <row r="926" spans="13:34" ht="12.75">
      <c r="M926" s="162"/>
      <c r="N926" s="162"/>
      <c r="AG926" s="142"/>
      <c r="AH926" s="142"/>
    </row>
    <row r="927" spans="13:34" ht="12.75">
      <c r="M927" s="162"/>
      <c r="N927" s="162"/>
      <c r="AG927" s="142"/>
      <c r="AH927" s="142"/>
    </row>
    <row r="928" spans="13:34" ht="12.75">
      <c r="M928" s="162"/>
      <c r="N928" s="162"/>
      <c r="AG928" s="142"/>
      <c r="AH928" s="142"/>
    </row>
    <row r="929" spans="13:34" ht="12.75">
      <c r="M929" s="162"/>
      <c r="N929" s="162"/>
      <c r="AG929" s="142"/>
      <c r="AH929" s="142"/>
    </row>
    <row r="930" spans="13:34" ht="12.75">
      <c r="M930" s="162"/>
      <c r="N930" s="162"/>
      <c r="AG930" s="142"/>
      <c r="AH930" s="142"/>
    </row>
    <row r="931" spans="13:34" ht="12.75">
      <c r="M931" s="162"/>
      <c r="N931" s="162"/>
      <c r="AG931" s="142"/>
      <c r="AH931" s="142"/>
    </row>
    <row r="932" spans="13:34" ht="12.75">
      <c r="M932" s="162"/>
      <c r="N932" s="162"/>
      <c r="AG932" s="142"/>
      <c r="AH932" s="142"/>
    </row>
    <row r="933" spans="13:34" ht="12.75">
      <c r="M933" s="162"/>
      <c r="N933" s="162"/>
      <c r="AG933" s="142"/>
      <c r="AH933" s="142"/>
    </row>
    <row r="934" spans="13:34" ht="12.75">
      <c r="M934" s="162"/>
      <c r="N934" s="162"/>
      <c r="AG934" s="142"/>
      <c r="AH934" s="142"/>
    </row>
    <row r="935" spans="13:34" ht="12.75">
      <c r="M935" s="162"/>
      <c r="N935" s="162"/>
      <c r="AG935" s="142"/>
      <c r="AH935" s="142"/>
    </row>
    <row r="936" spans="13:34" ht="12.75">
      <c r="M936" s="162"/>
      <c r="N936" s="162"/>
      <c r="AG936" s="142"/>
      <c r="AH936" s="142"/>
    </row>
    <row r="937" spans="13:34" ht="12.75">
      <c r="M937" s="162"/>
      <c r="N937" s="162"/>
      <c r="AG937" s="142"/>
      <c r="AH937" s="142"/>
    </row>
    <row r="938" spans="13:34" ht="12.75">
      <c r="M938" s="162"/>
      <c r="N938" s="162"/>
      <c r="AG938" s="142"/>
      <c r="AH938" s="142"/>
    </row>
    <row r="939" spans="13:34" ht="12.75">
      <c r="M939" s="162"/>
      <c r="N939" s="162"/>
      <c r="AG939" s="142"/>
      <c r="AH939" s="142"/>
    </row>
    <row r="940" spans="13:34" ht="12.75">
      <c r="M940" s="162"/>
      <c r="N940" s="162"/>
      <c r="AG940" s="142"/>
      <c r="AH940" s="142"/>
    </row>
    <row r="941" spans="13:34" ht="12.75">
      <c r="M941" s="162"/>
      <c r="N941" s="162"/>
      <c r="AG941" s="142"/>
      <c r="AH941" s="142"/>
    </row>
    <row r="942" spans="13:34" ht="12.75">
      <c r="M942" s="162"/>
      <c r="N942" s="162"/>
      <c r="AG942" s="142"/>
      <c r="AH942" s="142"/>
    </row>
    <row r="943" spans="13:34" ht="12.75">
      <c r="M943" s="162"/>
      <c r="N943" s="162"/>
      <c r="AG943" s="142"/>
      <c r="AH943" s="142"/>
    </row>
    <row r="944" spans="13:34" ht="12.75">
      <c r="M944" s="162"/>
      <c r="N944" s="162"/>
      <c r="AG944" s="142"/>
      <c r="AH944" s="142"/>
    </row>
    <row r="945" spans="13:34" ht="12.75">
      <c r="M945" s="162"/>
      <c r="N945" s="162"/>
      <c r="AG945" s="142"/>
      <c r="AH945" s="142"/>
    </row>
    <row r="946" spans="13:34" ht="12.75">
      <c r="M946" s="162"/>
      <c r="N946" s="162"/>
      <c r="AG946" s="142"/>
      <c r="AH946" s="142"/>
    </row>
    <row r="947" spans="13:34" ht="12.75">
      <c r="M947" s="162"/>
      <c r="N947" s="162"/>
      <c r="AG947" s="142"/>
      <c r="AH947" s="142"/>
    </row>
    <row r="948" spans="13:34" ht="12.75">
      <c r="M948" s="162"/>
      <c r="N948" s="162"/>
      <c r="AG948" s="142"/>
      <c r="AH948" s="142"/>
    </row>
    <row r="949" spans="13:34" ht="12.75">
      <c r="M949" s="162"/>
      <c r="N949" s="162"/>
      <c r="AG949" s="142"/>
      <c r="AH949" s="142"/>
    </row>
    <row r="950" spans="13:34" ht="12.75">
      <c r="M950" s="162"/>
      <c r="N950" s="162"/>
      <c r="AG950" s="142"/>
      <c r="AH950" s="142"/>
    </row>
    <row r="951" spans="13:34" ht="12.75">
      <c r="M951" s="162"/>
      <c r="N951" s="162"/>
      <c r="AG951" s="142"/>
      <c r="AH951" s="142"/>
    </row>
    <row r="952" spans="13:34" ht="12.75">
      <c r="M952" s="162"/>
      <c r="N952" s="162"/>
      <c r="AG952" s="142"/>
      <c r="AH952" s="142"/>
    </row>
    <row r="953" spans="13:34" ht="12.75">
      <c r="M953" s="162"/>
      <c r="N953" s="162"/>
      <c r="AG953" s="142"/>
      <c r="AH953" s="142"/>
    </row>
    <row r="954" spans="13:34" ht="12.75">
      <c r="M954" s="162"/>
      <c r="N954" s="162"/>
      <c r="AG954" s="142"/>
      <c r="AH954" s="142"/>
    </row>
    <row r="955" spans="13:34" ht="12.75">
      <c r="M955" s="162"/>
      <c r="N955" s="162"/>
      <c r="AG955" s="142"/>
      <c r="AH955" s="142"/>
    </row>
    <row r="956" spans="13:34" ht="12.75">
      <c r="M956" s="162"/>
      <c r="N956" s="162"/>
      <c r="AG956" s="142"/>
      <c r="AH956" s="142"/>
    </row>
    <row r="957" spans="13:34" ht="12.75">
      <c r="M957" s="162"/>
      <c r="N957" s="162"/>
      <c r="AG957" s="142"/>
      <c r="AH957" s="142"/>
    </row>
    <row r="958" spans="13:34" ht="12.75">
      <c r="M958" s="162"/>
      <c r="N958" s="162"/>
      <c r="AG958" s="142"/>
      <c r="AH958" s="142"/>
    </row>
    <row r="959" spans="13:34" ht="12.75">
      <c r="M959" s="162"/>
      <c r="N959" s="162"/>
      <c r="AG959" s="142"/>
      <c r="AH959" s="142"/>
    </row>
    <row r="960" spans="13:34" ht="12.75">
      <c r="M960" s="162"/>
      <c r="N960" s="162"/>
      <c r="AG960" s="142"/>
      <c r="AH960" s="142"/>
    </row>
    <row r="961" spans="13:34" ht="12.75">
      <c r="M961" s="162"/>
      <c r="N961" s="162"/>
      <c r="AG961" s="142"/>
      <c r="AH961" s="142"/>
    </row>
    <row r="962" spans="13:34" ht="12.75">
      <c r="M962" s="162"/>
      <c r="N962" s="162"/>
      <c r="AG962" s="142"/>
      <c r="AH962" s="142"/>
    </row>
    <row r="963" spans="13:34" ht="12.75">
      <c r="M963" s="162"/>
      <c r="N963" s="162"/>
      <c r="AG963" s="142"/>
      <c r="AH963" s="142"/>
    </row>
    <row r="964" spans="13:34" ht="12.75">
      <c r="M964" s="162"/>
      <c r="N964" s="162"/>
      <c r="AG964" s="142"/>
      <c r="AH964" s="142"/>
    </row>
    <row r="965" spans="13:34" ht="12.75">
      <c r="M965" s="162"/>
      <c r="N965" s="162"/>
      <c r="AG965" s="142"/>
      <c r="AH965" s="142"/>
    </row>
    <row r="966" spans="13:34" ht="12.75">
      <c r="M966" s="162"/>
      <c r="N966" s="162"/>
      <c r="AG966" s="142"/>
      <c r="AH966" s="142"/>
    </row>
    <row r="967" spans="13:34" ht="12.75">
      <c r="M967" s="162"/>
      <c r="N967" s="162"/>
      <c r="AG967" s="142"/>
      <c r="AH967" s="142"/>
    </row>
    <row r="968" spans="13:34" ht="12.75">
      <c r="M968" s="162"/>
      <c r="N968" s="162"/>
      <c r="AG968" s="142"/>
      <c r="AH968" s="142"/>
    </row>
    <row r="969" spans="13:34" ht="12.75">
      <c r="M969" s="162"/>
      <c r="N969" s="162"/>
      <c r="AG969" s="142"/>
      <c r="AH969" s="142"/>
    </row>
    <row r="970" spans="13:34" ht="12.75">
      <c r="M970" s="162"/>
      <c r="N970" s="162"/>
      <c r="AG970" s="142"/>
      <c r="AH970" s="142"/>
    </row>
    <row r="971" spans="13:34" ht="12.75">
      <c r="M971" s="162"/>
      <c r="N971" s="162"/>
      <c r="AG971" s="142"/>
      <c r="AH971" s="142"/>
    </row>
    <row r="972" spans="13:34" ht="12.75">
      <c r="M972" s="162"/>
      <c r="N972" s="162"/>
      <c r="AG972" s="142"/>
      <c r="AH972" s="142"/>
    </row>
    <row r="973" spans="13:34" ht="12.75">
      <c r="M973" s="162"/>
      <c r="N973" s="162"/>
      <c r="AG973" s="142"/>
      <c r="AH973" s="142"/>
    </row>
    <row r="974" spans="13:34" ht="12.75">
      <c r="M974" s="162"/>
      <c r="N974" s="162"/>
      <c r="AG974" s="142"/>
      <c r="AH974" s="142"/>
    </row>
    <row r="975" spans="13:34" ht="12.75">
      <c r="M975" s="162"/>
      <c r="N975" s="162"/>
      <c r="AG975" s="142"/>
      <c r="AH975" s="142"/>
    </row>
    <row r="976" spans="13:34" ht="12.75">
      <c r="M976" s="162"/>
      <c r="N976" s="162"/>
      <c r="AG976" s="142"/>
      <c r="AH976" s="142"/>
    </row>
    <row r="977" spans="13:34" ht="12.75">
      <c r="M977" s="162"/>
      <c r="N977" s="162"/>
      <c r="AG977" s="142"/>
      <c r="AH977" s="142"/>
    </row>
    <row r="978" spans="13:34" ht="12.75">
      <c r="M978" s="162"/>
      <c r="N978" s="162"/>
      <c r="AG978" s="142"/>
      <c r="AH978" s="142"/>
    </row>
    <row r="979" spans="13:34" ht="12.75">
      <c r="M979" s="162"/>
      <c r="N979" s="162"/>
      <c r="AG979" s="142"/>
      <c r="AH979" s="142"/>
    </row>
    <row r="980" spans="13:34" ht="12.75">
      <c r="M980" s="162"/>
      <c r="N980" s="162"/>
      <c r="AG980" s="142"/>
      <c r="AH980" s="142"/>
    </row>
    <row r="981" spans="13:34" ht="12.75">
      <c r="M981" s="162"/>
      <c r="N981" s="162"/>
      <c r="AG981" s="142"/>
      <c r="AH981" s="142"/>
    </row>
    <row r="982" spans="13:34" ht="12.75">
      <c r="M982" s="162"/>
      <c r="N982" s="162"/>
      <c r="AG982" s="142"/>
      <c r="AH982" s="142"/>
    </row>
    <row r="983" spans="13:34" ht="12.75">
      <c r="M983" s="162"/>
      <c r="N983" s="162"/>
      <c r="AG983" s="142"/>
      <c r="AH983" s="142"/>
    </row>
    <row r="984" spans="13:34" ht="12.75">
      <c r="M984" s="162"/>
      <c r="N984" s="162"/>
      <c r="AG984" s="142"/>
      <c r="AH984" s="142"/>
    </row>
    <row r="985" spans="13:34" ht="12.75">
      <c r="M985" s="162"/>
      <c r="N985" s="162"/>
      <c r="AG985" s="142"/>
      <c r="AH985" s="142"/>
    </row>
    <row r="986" spans="13:34" ht="12.75">
      <c r="M986" s="162"/>
      <c r="N986" s="162"/>
      <c r="AG986" s="142"/>
      <c r="AH986" s="142"/>
    </row>
    <row r="987" spans="13:34" ht="12.75">
      <c r="M987" s="162"/>
      <c r="N987" s="162"/>
      <c r="AG987" s="142"/>
      <c r="AH987" s="142"/>
    </row>
    <row r="988" spans="13:34" ht="12.75">
      <c r="M988" s="162"/>
      <c r="N988" s="162"/>
      <c r="AG988" s="142"/>
      <c r="AH988" s="142"/>
    </row>
    <row r="989" spans="13:34" ht="12.75">
      <c r="M989" s="162"/>
      <c r="N989" s="162"/>
      <c r="AG989" s="142"/>
      <c r="AH989" s="142"/>
    </row>
    <row r="990" spans="13:34" ht="12.75">
      <c r="M990" s="162"/>
      <c r="N990" s="162"/>
      <c r="AG990" s="142"/>
      <c r="AH990" s="142"/>
    </row>
    <row r="991" spans="13:34" ht="12.75">
      <c r="M991" s="162"/>
      <c r="N991" s="162"/>
      <c r="AG991" s="142"/>
      <c r="AH991" s="142"/>
    </row>
    <row r="992" spans="13:34" ht="12.75">
      <c r="M992" s="162"/>
      <c r="N992" s="162"/>
      <c r="AG992" s="142"/>
      <c r="AH992" s="142"/>
    </row>
    <row r="993" spans="13:34" ht="12.75">
      <c r="M993" s="162"/>
      <c r="N993" s="162"/>
      <c r="AG993" s="142"/>
      <c r="AH993" s="142"/>
    </row>
    <row r="994" spans="13:34" ht="12.75">
      <c r="M994" s="162"/>
      <c r="N994" s="162"/>
      <c r="AG994" s="142"/>
      <c r="AH994" s="142"/>
    </row>
    <row r="995" spans="13:34" ht="12.75">
      <c r="M995" s="162"/>
      <c r="N995" s="162"/>
      <c r="AG995" s="142"/>
      <c r="AH995" s="142"/>
    </row>
    <row r="996" spans="13:34" ht="12.75">
      <c r="M996" s="162"/>
      <c r="N996" s="162"/>
      <c r="AG996" s="142"/>
      <c r="AH996" s="142"/>
    </row>
    <row r="997" spans="13:34" ht="12.75">
      <c r="M997" s="162"/>
      <c r="N997" s="162"/>
      <c r="AG997" s="142"/>
      <c r="AH997" s="142"/>
    </row>
    <row r="998" spans="13:34" ht="12.75">
      <c r="M998" s="162"/>
      <c r="N998" s="162"/>
      <c r="AG998" s="142"/>
      <c r="AH998" s="142"/>
    </row>
    <row r="999" spans="13:34" ht="12.75">
      <c r="M999" s="162"/>
      <c r="N999" s="162"/>
      <c r="AG999" s="142"/>
      <c r="AH999" s="142"/>
    </row>
    <row r="1000" spans="13:34" ht="12.75">
      <c r="M1000" s="162"/>
      <c r="N1000" s="162"/>
      <c r="AG1000" s="142"/>
      <c r="AH1000" s="142"/>
    </row>
    <row r="1001" spans="13:34" ht="12.75">
      <c r="M1001" s="162"/>
      <c r="N1001" s="162"/>
      <c r="AG1001" s="142"/>
      <c r="AH1001" s="142"/>
    </row>
    <row r="1002" spans="13:34" ht="12.75">
      <c r="M1002" s="162"/>
      <c r="N1002" s="162"/>
      <c r="AG1002" s="142"/>
      <c r="AH1002" s="142"/>
    </row>
    <row r="1003" spans="13:34" ht="12.75">
      <c r="M1003" s="162"/>
      <c r="N1003" s="162"/>
      <c r="AG1003" s="142"/>
      <c r="AH1003" s="142"/>
    </row>
    <row r="1004" spans="13:34" ht="12.75">
      <c r="M1004" s="162"/>
      <c r="N1004" s="162"/>
      <c r="AG1004" s="142"/>
      <c r="AH1004" s="142"/>
    </row>
    <row r="1005" spans="13:34" ht="12.75">
      <c r="M1005" s="162"/>
      <c r="N1005" s="162"/>
      <c r="AG1005" s="142"/>
      <c r="AH1005" s="142"/>
    </row>
    <row r="1006" spans="13:34" ht="12.75">
      <c r="M1006" s="162"/>
      <c r="N1006" s="162"/>
      <c r="AG1006" s="142"/>
      <c r="AH1006" s="142"/>
    </row>
    <row r="1007" spans="13:34" ht="12.75">
      <c r="M1007" s="162"/>
      <c r="N1007" s="162"/>
      <c r="AG1007" s="142"/>
      <c r="AH1007" s="142"/>
    </row>
    <row r="1008" spans="13:34" ht="12.75">
      <c r="M1008" s="162"/>
      <c r="N1008" s="162"/>
      <c r="AG1008" s="142"/>
      <c r="AH1008" s="142"/>
    </row>
    <row r="1009" spans="13:34" ht="12.75">
      <c r="M1009" s="162"/>
      <c r="N1009" s="162"/>
      <c r="AG1009" s="142"/>
      <c r="AH1009" s="142"/>
    </row>
    <row r="1010" spans="13:34" ht="12.75">
      <c r="M1010" s="162"/>
      <c r="N1010" s="162"/>
      <c r="AG1010" s="142"/>
      <c r="AH1010" s="142"/>
    </row>
    <row r="1011" spans="13:34" ht="12.75">
      <c r="M1011" s="162"/>
      <c r="N1011" s="162"/>
      <c r="AG1011" s="142"/>
      <c r="AH1011" s="142"/>
    </row>
    <row r="1012" spans="13:34" ht="12.75">
      <c r="M1012" s="162"/>
      <c r="N1012" s="162"/>
      <c r="AG1012" s="142"/>
      <c r="AH1012" s="142"/>
    </row>
    <row r="1013" spans="13:34" ht="12.75">
      <c r="M1013" s="162"/>
      <c r="N1013" s="162"/>
      <c r="AG1013" s="142"/>
      <c r="AH1013" s="142"/>
    </row>
    <row r="1014" spans="13:34" ht="12.75">
      <c r="M1014" s="162"/>
      <c r="N1014" s="162"/>
      <c r="AG1014" s="142"/>
      <c r="AH1014" s="142"/>
    </row>
    <row r="1015" spans="13:34" ht="12.75">
      <c r="M1015" s="162"/>
      <c r="N1015" s="162"/>
      <c r="AG1015" s="142"/>
      <c r="AH1015" s="142"/>
    </row>
    <row r="1016" spans="13:34" ht="12.75">
      <c r="M1016" s="162"/>
      <c r="N1016" s="162"/>
      <c r="AG1016" s="142"/>
      <c r="AH1016" s="142"/>
    </row>
    <row r="1017" spans="13:34" ht="12.75">
      <c r="M1017" s="162"/>
      <c r="N1017" s="162"/>
      <c r="AG1017" s="142"/>
      <c r="AH1017" s="142"/>
    </row>
    <row r="1018" spans="13:34" ht="12.75">
      <c r="M1018" s="162"/>
      <c r="N1018" s="162"/>
      <c r="AG1018" s="142"/>
      <c r="AH1018" s="142"/>
    </row>
    <row r="1019" spans="13:34" ht="12.75">
      <c r="M1019" s="162"/>
      <c r="N1019" s="162"/>
      <c r="AG1019" s="142"/>
      <c r="AH1019" s="142"/>
    </row>
    <row r="1020" spans="13:34" ht="12.75">
      <c r="M1020" s="162"/>
      <c r="N1020" s="162"/>
      <c r="AG1020" s="142"/>
      <c r="AH1020" s="142"/>
    </row>
    <row r="1021" spans="13:34" ht="12.75">
      <c r="M1021" s="162"/>
      <c r="N1021" s="162"/>
      <c r="AG1021" s="142"/>
      <c r="AH1021" s="142"/>
    </row>
    <row r="1022" spans="13:34" ht="12.75">
      <c r="M1022" s="162"/>
      <c r="N1022" s="162"/>
      <c r="AG1022" s="142"/>
      <c r="AH1022" s="142"/>
    </row>
    <row r="1023" spans="13:34" ht="12.75">
      <c r="M1023" s="162"/>
      <c r="N1023" s="162"/>
      <c r="AG1023" s="142"/>
      <c r="AH1023" s="142"/>
    </row>
    <row r="1024" spans="13:34" ht="12.75">
      <c r="M1024" s="162"/>
      <c r="N1024" s="162"/>
      <c r="AG1024" s="142"/>
      <c r="AH1024" s="142"/>
    </row>
    <row r="1025" spans="13:34" ht="12.75">
      <c r="M1025" s="162"/>
      <c r="N1025" s="162"/>
      <c r="AG1025" s="142"/>
      <c r="AH1025" s="142"/>
    </row>
    <row r="1026" spans="13:34" ht="12.75">
      <c r="M1026" s="162"/>
      <c r="N1026" s="162"/>
      <c r="AG1026" s="142"/>
      <c r="AH1026" s="142"/>
    </row>
    <row r="1027" spans="13:34" ht="12.75">
      <c r="M1027" s="162"/>
      <c r="N1027" s="162"/>
      <c r="AG1027" s="142"/>
      <c r="AH1027" s="142"/>
    </row>
    <row r="1028" spans="13:34" ht="12.75">
      <c r="M1028" s="162"/>
      <c r="N1028" s="162"/>
      <c r="AG1028" s="142"/>
      <c r="AH1028" s="142"/>
    </row>
    <row r="1029" spans="13:34" ht="12.75">
      <c r="M1029" s="162"/>
      <c r="N1029" s="162"/>
      <c r="AG1029" s="142"/>
      <c r="AH1029" s="142"/>
    </row>
    <row r="1030" spans="13:34" ht="12.75">
      <c r="M1030" s="162"/>
      <c r="N1030" s="162"/>
      <c r="AG1030" s="142"/>
      <c r="AH1030" s="142"/>
    </row>
    <row r="1031" spans="13:34" ht="12.75">
      <c r="M1031" s="162"/>
      <c r="N1031" s="162"/>
      <c r="AG1031" s="142"/>
      <c r="AH1031" s="142"/>
    </row>
    <row r="1032" spans="13:34" ht="12.75">
      <c r="M1032" s="162"/>
      <c r="N1032" s="162"/>
      <c r="AG1032" s="142"/>
      <c r="AH1032" s="142"/>
    </row>
    <row r="1033" spans="13:34" ht="12.75">
      <c r="M1033" s="162"/>
      <c r="N1033" s="162"/>
      <c r="AG1033" s="142"/>
      <c r="AH1033" s="142"/>
    </row>
    <row r="1034" spans="13:34" ht="12.75">
      <c r="M1034" s="162"/>
      <c r="N1034" s="162"/>
      <c r="AG1034" s="142"/>
      <c r="AH1034" s="142"/>
    </row>
    <row r="1035" spans="13:34" ht="12.75">
      <c r="M1035" s="162"/>
      <c r="N1035" s="162"/>
      <c r="AG1035" s="142"/>
      <c r="AH1035" s="142"/>
    </row>
    <row r="1036" spans="13:34" ht="12.75">
      <c r="M1036" s="162"/>
      <c r="N1036" s="162"/>
      <c r="AG1036" s="142"/>
      <c r="AH1036" s="142"/>
    </row>
    <row r="1037" spans="13:34" ht="12.75">
      <c r="M1037" s="162"/>
      <c r="N1037" s="162"/>
      <c r="AG1037" s="142"/>
      <c r="AH1037" s="142"/>
    </row>
    <row r="1038" spans="13:34" ht="12.75">
      <c r="M1038" s="162"/>
      <c r="N1038" s="162"/>
      <c r="AG1038" s="142"/>
      <c r="AH1038" s="142"/>
    </row>
    <row r="1039" spans="13:34" ht="12.75">
      <c r="M1039" s="162"/>
      <c r="N1039" s="162"/>
      <c r="AG1039" s="142"/>
      <c r="AH1039" s="142"/>
    </row>
    <row r="1040" spans="13:34" ht="12.75">
      <c r="M1040" s="162"/>
      <c r="N1040" s="162"/>
      <c r="AG1040" s="142"/>
      <c r="AH1040" s="142"/>
    </row>
    <row r="1041" spans="13:34" ht="12.75">
      <c r="M1041" s="162"/>
      <c r="N1041" s="162"/>
      <c r="AG1041" s="142"/>
      <c r="AH1041" s="142"/>
    </row>
    <row r="1042" spans="13:34" ht="12.75">
      <c r="M1042" s="162"/>
      <c r="N1042" s="162"/>
      <c r="AG1042" s="142"/>
      <c r="AH1042" s="142"/>
    </row>
    <row r="1043" spans="13:34" ht="12.75">
      <c r="M1043" s="162"/>
      <c r="N1043" s="162"/>
      <c r="AG1043" s="142"/>
      <c r="AH1043" s="142"/>
    </row>
    <row r="1044" spans="13:34" ht="12.75">
      <c r="M1044" s="162"/>
      <c r="N1044" s="162"/>
      <c r="AG1044" s="142"/>
      <c r="AH1044" s="142"/>
    </row>
    <row r="1045" spans="13:34" ht="12.75">
      <c r="M1045" s="162"/>
      <c r="N1045" s="162"/>
      <c r="AG1045" s="142"/>
      <c r="AH1045" s="142"/>
    </row>
    <row r="1046" spans="13:34" ht="12.75">
      <c r="M1046" s="162"/>
      <c r="N1046" s="162"/>
      <c r="AG1046" s="142"/>
      <c r="AH1046" s="142"/>
    </row>
    <row r="1047" spans="13:34" ht="12.75">
      <c r="M1047" s="162"/>
      <c r="N1047" s="162"/>
      <c r="AG1047" s="142"/>
      <c r="AH1047" s="142"/>
    </row>
    <row r="1048" spans="13:34" ht="12.75">
      <c r="M1048" s="162"/>
      <c r="N1048" s="162"/>
      <c r="AG1048" s="142"/>
      <c r="AH1048" s="142"/>
    </row>
    <row r="1049" spans="13:34" ht="12.75">
      <c r="M1049" s="162"/>
      <c r="N1049" s="162"/>
      <c r="AG1049" s="142"/>
      <c r="AH1049" s="142"/>
    </row>
    <row r="1050" spans="13:34" ht="12.75">
      <c r="M1050" s="162"/>
      <c r="N1050" s="162"/>
      <c r="AG1050" s="142"/>
      <c r="AH1050" s="142"/>
    </row>
    <row r="1051" spans="13:34" ht="12.75">
      <c r="M1051" s="162"/>
      <c r="N1051" s="162"/>
      <c r="AG1051" s="142"/>
      <c r="AH1051" s="142"/>
    </row>
    <row r="1052" spans="13:34" ht="12.75">
      <c r="M1052" s="162"/>
      <c r="N1052" s="162"/>
      <c r="AG1052" s="142"/>
      <c r="AH1052" s="142"/>
    </row>
    <row r="1053" spans="13:34" ht="12.75">
      <c r="M1053" s="162"/>
      <c r="N1053" s="162"/>
      <c r="AG1053" s="142"/>
      <c r="AH1053" s="142"/>
    </row>
    <row r="1054" spans="13:34" ht="12.75">
      <c r="M1054" s="162"/>
      <c r="N1054" s="162"/>
      <c r="AG1054" s="142"/>
      <c r="AH1054" s="142"/>
    </row>
    <row r="1055" spans="13:34" ht="12.75">
      <c r="M1055" s="162"/>
      <c r="N1055" s="162"/>
      <c r="AG1055" s="142"/>
      <c r="AH1055" s="142"/>
    </row>
    <row r="1056" spans="13:34" ht="12.75">
      <c r="M1056" s="162"/>
      <c r="N1056" s="162"/>
      <c r="AG1056" s="142"/>
      <c r="AH1056" s="142"/>
    </row>
    <row r="1057" spans="13:34" ht="12.75">
      <c r="M1057" s="162"/>
      <c r="N1057" s="162"/>
      <c r="AG1057" s="142"/>
      <c r="AH1057" s="142"/>
    </row>
    <row r="1058" spans="13:34" ht="12.75">
      <c r="M1058" s="162"/>
      <c r="N1058" s="162"/>
      <c r="AG1058" s="142"/>
      <c r="AH1058" s="142"/>
    </row>
    <row r="1059" spans="13:34" ht="12.75">
      <c r="M1059" s="162"/>
      <c r="N1059" s="162"/>
      <c r="AG1059" s="142"/>
      <c r="AH1059" s="142"/>
    </row>
    <row r="1060" spans="13:34" ht="12.75">
      <c r="M1060" s="162"/>
      <c r="N1060" s="162"/>
      <c r="AG1060" s="142"/>
      <c r="AH1060" s="142"/>
    </row>
    <row r="1061" spans="13:34" ht="12.75">
      <c r="M1061" s="162"/>
      <c r="N1061" s="162"/>
      <c r="AG1061" s="142"/>
      <c r="AH1061" s="142"/>
    </row>
    <row r="1062" spans="13:34" ht="12.75">
      <c r="M1062" s="162"/>
      <c r="N1062" s="162"/>
      <c r="AG1062" s="142"/>
      <c r="AH1062" s="142"/>
    </row>
    <row r="1063" spans="13:34" ht="12.75">
      <c r="M1063" s="162"/>
      <c r="N1063" s="162"/>
      <c r="AG1063" s="142"/>
      <c r="AH1063" s="142"/>
    </row>
    <row r="1064" spans="13:34" ht="12.75">
      <c r="M1064" s="162"/>
      <c r="N1064" s="162"/>
      <c r="AG1064" s="142"/>
      <c r="AH1064" s="142"/>
    </row>
    <row r="1065" spans="13:34" ht="12.75">
      <c r="M1065" s="162"/>
      <c r="N1065" s="162"/>
      <c r="AG1065" s="142"/>
      <c r="AH1065" s="142"/>
    </row>
    <row r="1066" spans="13:34" ht="12.75">
      <c r="M1066" s="162"/>
      <c r="N1066" s="162"/>
      <c r="AG1066" s="142"/>
      <c r="AH1066" s="142"/>
    </row>
    <row r="1067" spans="13:34" ht="12.75">
      <c r="M1067" s="162"/>
      <c r="N1067" s="162"/>
      <c r="AG1067" s="142"/>
      <c r="AH1067" s="142"/>
    </row>
    <row r="1068" spans="13:34" ht="12.75">
      <c r="M1068" s="162"/>
      <c r="N1068" s="162"/>
      <c r="AG1068" s="142"/>
      <c r="AH1068" s="142"/>
    </row>
    <row r="1069" spans="13:34" ht="12.75">
      <c r="M1069" s="162"/>
      <c r="N1069" s="162"/>
      <c r="AG1069" s="142"/>
      <c r="AH1069" s="142"/>
    </row>
    <row r="1070" spans="13:34" ht="12.75">
      <c r="M1070" s="162"/>
      <c r="N1070" s="162"/>
      <c r="AG1070" s="142"/>
      <c r="AH1070" s="142"/>
    </row>
    <row r="1071" spans="13:34" ht="12.75">
      <c r="M1071" s="162"/>
      <c r="N1071" s="162"/>
      <c r="AG1071" s="142"/>
      <c r="AH1071" s="142"/>
    </row>
    <row r="1072" spans="13:34" ht="12.75">
      <c r="M1072" s="162"/>
      <c r="N1072" s="162"/>
      <c r="AG1072" s="142"/>
      <c r="AH1072" s="142"/>
    </row>
    <row r="1073" spans="13:34" ht="12.75">
      <c r="M1073" s="162"/>
      <c r="N1073" s="162"/>
      <c r="AG1073" s="142"/>
      <c r="AH1073" s="142"/>
    </row>
    <row r="1074" spans="13:34" ht="12.75">
      <c r="M1074" s="162"/>
      <c r="N1074" s="162"/>
      <c r="AG1074" s="142"/>
      <c r="AH1074" s="142"/>
    </row>
    <row r="1075" spans="13:34" ht="12.75">
      <c r="M1075" s="162"/>
      <c r="N1075" s="162"/>
      <c r="AG1075" s="142"/>
      <c r="AH1075" s="142"/>
    </row>
    <row r="1076" spans="13:34" ht="12.75">
      <c r="M1076" s="162"/>
      <c r="N1076" s="162"/>
      <c r="AG1076" s="142"/>
      <c r="AH1076" s="142"/>
    </row>
    <row r="1077" spans="13:34" ht="12.75">
      <c r="M1077" s="162"/>
      <c r="N1077" s="162"/>
      <c r="AG1077" s="142"/>
      <c r="AH1077" s="142"/>
    </row>
    <row r="1078" spans="13:34" ht="12.75">
      <c r="M1078" s="162"/>
      <c r="N1078" s="162"/>
      <c r="AG1078" s="142"/>
      <c r="AH1078" s="142"/>
    </row>
    <row r="1079" spans="13:34" ht="12.75">
      <c r="M1079" s="162"/>
      <c r="N1079" s="162"/>
      <c r="AG1079" s="142"/>
      <c r="AH1079" s="142"/>
    </row>
    <row r="1080" spans="13:34" ht="12.75">
      <c r="M1080" s="162"/>
      <c r="N1080" s="162"/>
      <c r="AG1080" s="142"/>
      <c r="AH1080" s="142"/>
    </row>
    <row r="1081" spans="13:34" ht="12.75">
      <c r="M1081" s="162"/>
      <c r="N1081" s="162"/>
      <c r="AG1081" s="142"/>
      <c r="AH1081" s="142"/>
    </row>
    <row r="1082" spans="13:34" ht="12.75">
      <c r="M1082" s="162"/>
      <c r="N1082" s="162"/>
      <c r="AG1082" s="142"/>
      <c r="AH1082" s="142"/>
    </row>
    <row r="1083" spans="13:34" ht="12.75">
      <c r="M1083" s="162"/>
      <c r="N1083" s="162"/>
      <c r="AG1083" s="142"/>
      <c r="AH1083" s="142"/>
    </row>
    <row r="1084" spans="13:34" ht="12.75">
      <c r="M1084" s="162"/>
      <c r="N1084" s="162"/>
      <c r="AG1084" s="142"/>
      <c r="AH1084" s="142"/>
    </row>
    <row r="1085" spans="13:34" ht="12.75">
      <c r="M1085" s="162"/>
      <c r="N1085" s="162"/>
      <c r="AG1085" s="142"/>
      <c r="AH1085" s="142"/>
    </row>
    <row r="1086" spans="13:34" ht="12.75">
      <c r="M1086" s="162"/>
      <c r="N1086" s="162"/>
      <c r="AG1086" s="142"/>
      <c r="AH1086" s="142"/>
    </row>
    <row r="1087" spans="13:34" ht="12.75">
      <c r="M1087" s="162"/>
      <c r="N1087" s="162"/>
      <c r="AG1087" s="142"/>
      <c r="AH1087" s="142"/>
    </row>
    <row r="1088" spans="13:34" ht="12.75">
      <c r="M1088" s="162"/>
      <c r="N1088" s="162"/>
      <c r="AG1088" s="142"/>
      <c r="AH1088" s="142"/>
    </row>
    <row r="1089" spans="13:34" ht="12.75">
      <c r="M1089" s="162"/>
      <c r="N1089" s="162"/>
      <c r="AG1089" s="142"/>
      <c r="AH1089" s="142"/>
    </row>
    <row r="1090" spans="13:34" ht="12.75">
      <c r="M1090" s="162"/>
      <c r="N1090" s="162"/>
      <c r="AG1090" s="142"/>
      <c r="AH1090" s="142"/>
    </row>
    <row r="1091" spans="13:34" ht="12.75">
      <c r="M1091" s="162"/>
      <c r="N1091" s="162"/>
      <c r="AG1091" s="142"/>
      <c r="AH1091" s="142"/>
    </row>
    <row r="1092" spans="13:34" ht="12.75">
      <c r="M1092" s="162"/>
      <c r="N1092" s="162"/>
      <c r="AG1092" s="142"/>
      <c r="AH1092" s="142"/>
    </row>
    <row r="1093" spans="13:34" ht="12.75">
      <c r="M1093" s="162"/>
      <c r="N1093" s="162"/>
      <c r="AG1093" s="142"/>
      <c r="AH1093" s="142"/>
    </row>
    <row r="1094" spans="13:34" ht="12.75">
      <c r="M1094" s="162"/>
      <c r="N1094" s="162"/>
      <c r="AG1094" s="142"/>
      <c r="AH1094" s="142"/>
    </row>
    <row r="1095" spans="13:34" ht="12.75">
      <c r="M1095" s="162"/>
      <c r="N1095" s="162"/>
      <c r="AG1095" s="142"/>
      <c r="AH1095" s="142"/>
    </row>
    <row r="1096" spans="13:34" ht="12.75">
      <c r="M1096" s="162"/>
      <c r="N1096" s="162"/>
      <c r="AG1096" s="142"/>
      <c r="AH1096" s="142"/>
    </row>
    <row r="1097" spans="13:34" ht="12.75">
      <c r="M1097" s="162"/>
      <c r="N1097" s="162"/>
      <c r="AG1097" s="142"/>
      <c r="AH1097" s="142"/>
    </row>
    <row r="1098" spans="13:34" ht="12.75">
      <c r="M1098" s="162"/>
      <c r="N1098" s="162"/>
      <c r="AG1098" s="142"/>
      <c r="AH1098" s="142"/>
    </row>
    <row r="1099" spans="13:34" ht="12.75">
      <c r="M1099" s="162"/>
      <c r="N1099" s="162"/>
      <c r="AG1099" s="142"/>
      <c r="AH1099" s="142"/>
    </row>
    <row r="1100" spans="13:34" ht="12.75">
      <c r="M1100" s="162"/>
      <c r="N1100" s="162"/>
      <c r="AG1100" s="142"/>
      <c r="AH1100" s="142"/>
    </row>
    <row r="1101" spans="13:34" ht="12.75">
      <c r="M1101" s="162"/>
      <c r="N1101" s="162"/>
      <c r="AG1101" s="142"/>
      <c r="AH1101" s="142"/>
    </row>
    <row r="1102" spans="13:34" ht="12.75">
      <c r="M1102" s="162"/>
      <c r="N1102" s="162"/>
      <c r="AG1102" s="142"/>
      <c r="AH1102" s="142"/>
    </row>
    <row r="1103" spans="13:34" ht="12.75">
      <c r="M1103" s="162"/>
      <c r="N1103" s="162"/>
      <c r="AG1103" s="142"/>
      <c r="AH1103" s="142"/>
    </row>
    <row r="1104" spans="13:34" ht="12.75">
      <c r="M1104" s="162"/>
      <c r="N1104" s="162"/>
      <c r="AG1104" s="142"/>
      <c r="AH1104" s="142"/>
    </row>
    <row r="1105" spans="13:34" ht="12.75">
      <c r="M1105" s="162"/>
      <c r="N1105" s="162"/>
      <c r="AG1105" s="142"/>
      <c r="AH1105" s="142"/>
    </row>
    <row r="1106" spans="13:34" ht="12.75">
      <c r="M1106" s="162"/>
      <c r="N1106" s="162"/>
      <c r="AG1106" s="142"/>
      <c r="AH1106" s="142"/>
    </row>
    <row r="1107" spans="13:34" ht="12.75">
      <c r="M1107" s="162"/>
      <c r="N1107" s="162"/>
      <c r="AG1107" s="142"/>
      <c r="AH1107" s="142"/>
    </row>
    <row r="1108" spans="13:34" ht="12.75">
      <c r="M1108" s="162"/>
      <c r="N1108" s="162"/>
      <c r="AG1108" s="142"/>
      <c r="AH1108" s="142"/>
    </row>
    <row r="1109" spans="13:34" ht="12.75">
      <c r="M1109" s="162"/>
      <c r="N1109" s="162"/>
      <c r="AG1109" s="142"/>
      <c r="AH1109" s="142"/>
    </row>
    <row r="1110" spans="13:34" ht="12.75">
      <c r="M1110" s="162"/>
      <c r="N1110" s="162"/>
      <c r="AG1110" s="142"/>
      <c r="AH1110" s="142"/>
    </row>
    <row r="1111" spans="13:34" ht="12.75">
      <c r="M1111" s="162"/>
      <c r="N1111" s="162"/>
      <c r="AG1111" s="142"/>
      <c r="AH1111" s="142"/>
    </row>
    <row r="1112" spans="13:34" ht="12.75">
      <c r="M1112" s="162"/>
      <c r="N1112" s="162"/>
      <c r="AG1112" s="142"/>
      <c r="AH1112" s="142"/>
    </row>
    <row r="1113" spans="13:34" ht="12.75">
      <c r="M1113" s="162"/>
      <c r="N1113" s="162"/>
      <c r="AG1113" s="142"/>
      <c r="AH1113" s="142"/>
    </row>
    <row r="1114" spans="13:34" ht="12.75">
      <c r="M1114" s="162"/>
      <c r="N1114" s="162"/>
      <c r="AG1114" s="142"/>
      <c r="AH1114" s="142"/>
    </row>
    <row r="1115" spans="13:34" ht="12.75">
      <c r="M1115" s="162"/>
      <c r="N1115" s="162"/>
      <c r="AG1115" s="142"/>
      <c r="AH1115" s="142"/>
    </row>
    <row r="1116" spans="13:34" ht="12.75">
      <c r="M1116" s="162"/>
      <c r="N1116" s="162"/>
      <c r="AG1116" s="142"/>
      <c r="AH1116" s="142"/>
    </row>
    <row r="1117" spans="13:34" ht="12.75">
      <c r="M1117" s="162"/>
      <c r="N1117" s="162"/>
      <c r="AG1117" s="142"/>
      <c r="AH1117" s="142"/>
    </row>
    <row r="1118" spans="13:34" ht="12.75">
      <c r="M1118" s="162"/>
      <c r="N1118" s="162"/>
      <c r="AG1118" s="142"/>
      <c r="AH1118" s="142"/>
    </row>
    <row r="1119" spans="13:34" ht="12.75">
      <c r="M1119" s="162"/>
      <c r="N1119" s="162"/>
      <c r="AG1119" s="142"/>
      <c r="AH1119" s="142"/>
    </row>
    <row r="1120" spans="13:34" ht="12.75">
      <c r="M1120" s="162"/>
      <c r="N1120" s="162"/>
      <c r="AG1120" s="142"/>
      <c r="AH1120" s="142"/>
    </row>
    <row r="1121" spans="13:34" ht="12.75">
      <c r="M1121" s="162"/>
      <c r="N1121" s="162"/>
      <c r="AG1121" s="142"/>
      <c r="AH1121" s="142"/>
    </row>
    <row r="1122" spans="13:34" ht="12.75">
      <c r="M1122" s="162"/>
      <c r="N1122" s="162"/>
      <c r="AG1122" s="142"/>
      <c r="AH1122" s="142"/>
    </row>
    <row r="1123" spans="13:34" ht="12.75">
      <c r="M1123" s="162"/>
      <c r="N1123" s="162"/>
      <c r="AG1123" s="142"/>
      <c r="AH1123" s="142"/>
    </row>
    <row r="1124" spans="13:34" ht="12.75">
      <c r="M1124" s="162"/>
      <c r="N1124" s="162"/>
      <c r="AG1124" s="142"/>
      <c r="AH1124" s="142"/>
    </row>
    <row r="1125" spans="13:34" ht="12.75">
      <c r="M1125" s="162"/>
      <c r="N1125" s="162"/>
      <c r="AG1125" s="142"/>
      <c r="AH1125" s="142"/>
    </row>
    <row r="1126" spans="13:34" ht="12.75">
      <c r="M1126" s="162"/>
      <c r="N1126" s="162"/>
      <c r="AG1126" s="142"/>
      <c r="AH1126" s="142"/>
    </row>
    <row r="1127" spans="13:34" ht="12.75">
      <c r="M1127" s="162"/>
      <c r="N1127" s="162"/>
      <c r="AG1127" s="142"/>
      <c r="AH1127" s="142"/>
    </row>
    <row r="1128" spans="13:34" ht="12.75">
      <c r="M1128" s="162"/>
      <c r="N1128" s="162"/>
      <c r="AG1128" s="142"/>
      <c r="AH1128" s="142"/>
    </row>
    <row r="1129" spans="13:34" ht="12.75">
      <c r="M1129" s="162"/>
      <c r="N1129" s="162"/>
      <c r="AG1129" s="142"/>
      <c r="AH1129" s="142"/>
    </row>
    <row r="1130" spans="13:34" ht="12.75">
      <c r="M1130" s="162"/>
      <c r="N1130" s="162"/>
      <c r="AG1130" s="142"/>
      <c r="AH1130" s="142"/>
    </row>
    <row r="1131" spans="13:34" ht="12.75">
      <c r="M1131" s="162"/>
      <c r="N1131" s="162"/>
      <c r="AG1131" s="142"/>
      <c r="AH1131" s="142"/>
    </row>
    <row r="1132" spans="13:34" ht="12.75">
      <c r="M1132" s="162"/>
      <c r="N1132" s="162"/>
      <c r="AG1132" s="142"/>
      <c r="AH1132" s="142"/>
    </row>
    <row r="1133" spans="13:34" ht="12.75">
      <c r="M1133" s="162"/>
      <c r="N1133" s="162"/>
      <c r="AG1133" s="142"/>
      <c r="AH1133" s="142"/>
    </row>
    <row r="1134" spans="13:34" ht="12.75">
      <c r="M1134" s="162"/>
      <c r="N1134" s="162"/>
      <c r="AG1134" s="142"/>
      <c r="AH1134" s="142"/>
    </row>
    <row r="1135" spans="13:34" ht="12.75">
      <c r="M1135" s="162"/>
      <c r="N1135" s="162"/>
      <c r="AG1135" s="142"/>
      <c r="AH1135" s="142"/>
    </row>
    <row r="1136" spans="13:34" ht="12.75">
      <c r="M1136" s="162"/>
      <c r="N1136" s="162"/>
      <c r="AG1136" s="142"/>
      <c r="AH1136" s="142"/>
    </row>
    <row r="1137" spans="13:34" ht="12.75">
      <c r="M1137" s="162"/>
      <c r="N1137" s="162"/>
      <c r="AG1137" s="142"/>
      <c r="AH1137" s="142"/>
    </row>
    <row r="1138" spans="13:34" ht="12.75">
      <c r="M1138" s="162"/>
      <c r="N1138" s="162"/>
      <c r="AG1138" s="142"/>
      <c r="AH1138" s="142"/>
    </row>
    <row r="1139" spans="13:34" ht="12.75">
      <c r="M1139" s="162"/>
      <c r="N1139" s="162"/>
      <c r="AG1139" s="142"/>
      <c r="AH1139" s="142"/>
    </row>
    <row r="1140" spans="13:34" ht="12.75">
      <c r="M1140" s="162"/>
      <c r="N1140" s="162"/>
      <c r="AG1140" s="142"/>
      <c r="AH1140" s="142"/>
    </row>
    <row r="1141" spans="13:34" ht="12.75">
      <c r="M1141" s="162"/>
      <c r="N1141" s="162"/>
      <c r="AG1141" s="142"/>
      <c r="AH1141" s="142"/>
    </row>
    <row r="1142" spans="13:34" ht="12.75">
      <c r="M1142" s="162"/>
      <c r="N1142" s="162"/>
      <c r="AG1142" s="142"/>
      <c r="AH1142" s="142"/>
    </row>
    <row r="1143" spans="13:34" ht="12.75">
      <c r="M1143" s="162"/>
      <c r="N1143" s="162"/>
      <c r="AG1143" s="142"/>
      <c r="AH1143" s="142"/>
    </row>
    <row r="1144" spans="13:34" ht="12.75">
      <c r="M1144" s="162"/>
      <c r="N1144" s="162"/>
      <c r="AG1144" s="142"/>
      <c r="AH1144" s="142"/>
    </row>
    <row r="1145" spans="13:34" ht="12.75">
      <c r="M1145" s="162"/>
      <c r="N1145" s="162"/>
      <c r="AG1145" s="142"/>
      <c r="AH1145" s="142"/>
    </row>
    <row r="1146" spans="13:34" ht="12.75">
      <c r="M1146" s="162"/>
      <c r="N1146" s="162"/>
      <c r="AG1146" s="142"/>
      <c r="AH1146" s="142"/>
    </row>
    <row r="1147" spans="13:34" ht="12.75">
      <c r="M1147" s="162"/>
      <c r="N1147" s="162"/>
      <c r="AG1147" s="142"/>
      <c r="AH1147" s="142"/>
    </row>
    <row r="1148" spans="13:34" ht="12.75">
      <c r="M1148" s="162"/>
      <c r="N1148" s="162"/>
      <c r="AG1148" s="142"/>
      <c r="AH1148" s="142"/>
    </row>
    <row r="1149" spans="13:34" ht="12.75">
      <c r="M1149" s="162"/>
      <c r="N1149" s="162"/>
      <c r="AG1149" s="142"/>
      <c r="AH1149" s="142"/>
    </row>
    <row r="1150" spans="13:34" ht="12.75">
      <c r="M1150" s="162"/>
      <c r="N1150" s="162"/>
      <c r="AG1150" s="142"/>
      <c r="AH1150" s="142"/>
    </row>
    <row r="1151" spans="13:34" ht="12.75">
      <c r="M1151" s="162"/>
      <c r="N1151" s="162"/>
      <c r="AG1151" s="142"/>
      <c r="AH1151" s="142"/>
    </row>
    <row r="1152" spans="13:34" ht="12.75">
      <c r="M1152" s="162"/>
      <c r="N1152" s="162"/>
      <c r="AG1152" s="142"/>
      <c r="AH1152" s="142"/>
    </row>
    <row r="1153" spans="13:34" ht="12.75">
      <c r="M1153" s="162"/>
      <c r="N1153" s="162"/>
      <c r="AG1153" s="142"/>
      <c r="AH1153" s="142"/>
    </row>
    <row r="1154" spans="13:34" ht="12.75">
      <c r="M1154" s="162"/>
      <c r="N1154" s="162"/>
      <c r="AG1154" s="142"/>
      <c r="AH1154" s="142"/>
    </row>
    <row r="1155" spans="13:34" ht="12.75">
      <c r="M1155" s="162"/>
      <c r="N1155" s="162"/>
      <c r="AG1155" s="142"/>
      <c r="AH1155" s="142"/>
    </row>
    <row r="1156" spans="13:34" ht="12.75">
      <c r="M1156" s="162"/>
      <c r="N1156" s="162"/>
      <c r="AG1156" s="142"/>
      <c r="AH1156" s="142"/>
    </row>
    <row r="1157" spans="13:34" ht="12.75">
      <c r="M1157" s="162"/>
      <c r="N1157" s="162"/>
      <c r="AG1157" s="142"/>
      <c r="AH1157" s="142"/>
    </row>
    <row r="1158" spans="13:34" ht="12.75">
      <c r="M1158" s="162"/>
      <c r="N1158" s="162"/>
      <c r="AG1158" s="142"/>
      <c r="AH1158" s="142"/>
    </row>
    <row r="1159" spans="13:34" ht="12.75">
      <c r="M1159" s="162"/>
      <c r="N1159" s="162"/>
      <c r="AG1159" s="142"/>
      <c r="AH1159" s="142"/>
    </row>
    <row r="1160" spans="13:34" ht="12.75">
      <c r="M1160" s="162"/>
      <c r="N1160" s="162"/>
      <c r="AG1160" s="142"/>
      <c r="AH1160" s="142"/>
    </row>
    <row r="1161" spans="13:34" ht="12.75">
      <c r="M1161" s="162"/>
      <c r="N1161" s="162"/>
      <c r="AG1161" s="142"/>
      <c r="AH1161" s="142"/>
    </row>
    <row r="1162" spans="13:34" ht="12.75">
      <c r="M1162" s="162"/>
      <c r="N1162" s="162"/>
      <c r="AG1162" s="142"/>
      <c r="AH1162" s="142"/>
    </row>
    <row r="1163" spans="13:34" ht="12.75">
      <c r="M1163" s="162"/>
      <c r="N1163" s="162"/>
      <c r="AG1163" s="142"/>
      <c r="AH1163" s="142"/>
    </row>
    <row r="1164" spans="13:34" ht="12.75">
      <c r="M1164" s="162"/>
      <c r="N1164" s="162"/>
      <c r="AG1164" s="142"/>
      <c r="AH1164" s="142"/>
    </row>
    <row r="1165" spans="13:34" ht="12.75">
      <c r="M1165" s="162"/>
      <c r="N1165" s="162"/>
      <c r="AG1165" s="142"/>
      <c r="AH1165" s="142"/>
    </row>
    <row r="1166" spans="13:34" ht="12.75">
      <c r="M1166" s="162"/>
      <c r="N1166" s="162"/>
      <c r="AG1166" s="142"/>
      <c r="AH1166" s="142"/>
    </row>
    <row r="1167" spans="13:34" ht="12.75">
      <c r="M1167" s="162"/>
      <c r="N1167" s="162"/>
      <c r="AG1167" s="142"/>
      <c r="AH1167" s="142"/>
    </row>
    <row r="1168" spans="13:34" ht="12.75">
      <c r="M1168" s="162"/>
      <c r="N1168" s="162"/>
      <c r="AG1168" s="142"/>
      <c r="AH1168" s="142"/>
    </row>
    <row r="1169" spans="13:34" ht="12.75">
      <c r="M1169" s="162"/>
      <c r="N1169" s="162"/>
      <c r="AG1169" s="142"/>
      <c r="AH1169" s="142"/>
    </row>
    <row r="1170" spans="13:34" ht="12.75">
      <c r="M1170" s="162"/>
      <c r="N1170" s="162"/>
      <c r="AG1170" s="142"/>
      <c r="AH1170" s="142"/>
    </row>
    <row r="1171" spans="13:34" ht="12.75">
      <c r="M1171" s="162"/>
      <c r="N1171" s="162"/>
      <c r="AG1171" s="142"/>
      <c r="AH1171" s="142"/>
    </row>
    <row r="1172" spans="13:34" ht="12.75">
      <c r="M1172" s="162"/>
      <c r="N1172" s="162"/>
      <c r="AG1172" s="142"/>
      <c r="AH1172" s="142"/>
    </row>
    <row r="1173" spans="13:34" ht="12.75">
      <c r="M1173" s="162"/>
      <c r="N1173" s="162"/>
      <c r="AG1173" s="142"/>
      <c r="AH1173" s="142"/>
    </row>
    <row r="1174" spans="13:34" ht="12.75">
      <c r="M1174" s="162"/>
      <c r="N1174" s="162"/>
      <c r="AG1174" s="142"/>
      <c r="AH1174" s="142"/>
    </row>
    <row r="1175" spans="13:34" ht="12.75">
      <c r="M1175" s="162"/>
      <c r="N1175" s="162"/>
      <c r="AG1175" s="142"/>
      <c r="AH1175" s="142"/>
    </row>
    <row r="1176" spans="13:34" ht="12.75">
      <c r="M1176" s="162"/>
      <c r="N1176" s="162"/>
      <c r="AG1176" s="142"/>
      <c r="AH1176" s="142"/>
    </row>
    <row r="1177" spans="13:34" ht="12.75">
      <c r="M1177" s="162"/>
      <c r="N1177" s="162"/>
      <c r="AG1177" s="142"/>
      <c r="AH1177" s="142"/>
    </row>
    <row r="1178" spans="13:34" ht="12.75">
      <c r="M1178" s="162"/>
      <c r="N1178" s="162"/>
      <c r="AG1178" s="142"/>
      <c r="AH1178" s="142"/>
    </row>
    <row r="1179" spans="13:34" ht="12.75">
      <c r="M1179" s="162"/>
      <c r="N1179" s="162"/>
      <c r="AG1179" s="142"/>
      <c r="AH1179" s="142"/>
    </row>
    <row r="1180" spans="13:34" ht="12.75">
      <c r="M1180" s="162"/>
      <c r="N1180" s="162"/>
      <c r="AG1180" s="142"/>
      <c r="AH1180" s="142"/>
    </row>
    <row r="1181" spans="13:34" ht="12.75">
      <c r="M1181" s="162"/>
      <c r="N1181" s="162"/>
      <c r="AG1181" s="142"/>
      <c r="AH1181" s="142"/>
    </row>
    <row r="1182" spans="13:34" ht="12.75">
      <c r="M1182" s="162"/>
      <c r="N1182" s="162"/>
      <c r="AG1182" s="142"/>
      <c r="AH1182" s="142"/>
    </row>
    <row r="1183" spans="13:34" ht="12.75">
      <c r="M1183" s="162"/>
      <c r="N1183" s="162"/>
      <c r="AG1183" s="142"/>
      <c r="AH1183" s="142"/>
    </row>
    <row r="1184" spans="13:34" ht="12.75">
      <c r="M1184" s="162"/>
      <c r="N1184" s="162"/>
      <c r="AG1184" s="142"/>
      <c r="AH1184" s="142"/>
    </row>
    <row r="1185" spans="13:34" ht="12.75">
      <c r="M1185" s="162"/>
      <c r="N1185" s="162"/>
      <c r="AG1185" s="142"/>
      <c r="AH1185" s="142"/>
    </row>
    <row r="1186" spans="13:34" ht="12.75">
      <c r="M1186" s="162"/>
      <c r="N1186" s="162"/>
      <c r="AG1186" s="142"/>
      <c r="AH1186" s="142"/>
    </row>
    <row r="1187" spans="13:34" ht="12.75">
      <c r="M1187" s="162"/>
      <c r="N1187" s="162"/>
      <c r="AG1187" s="142"/>
      <c r="AH1187" s="142"/>
    </row>
    <row r="1188" spans="13:34" ht="12.75">
      <c r="M1188" s="162"/>
      <c r="N1188" s="162"/>
      <c r="AG1188" s="142"/>
      <c r="AH1188" s="142"/>
    </row>
    <row r="1189" spans="13:34" ht="12.75">
      <c r="M1189" s="162"/>
      <c r="N1189" s="162"/>
      <c r="AG1189" s="142"/>
      <c r="AH1189" s="142"/>
    </row>
    <row r="1190" spans="13:34" ht="12.75">
      <c r="M1190" s="162"/>
      <c r="N1190" s="162"/>
      <c r="AG1190" s="142"/>
      <c r="AH1190" s="142"/>
    </row>
    <row r="1191" spans="13:34" ht="12.75">
      <c r="M1191" s="162"/>
      <c r="N1191" s="162"/>
      <c r="AG1191" s="142"/>
      <c r="AH1191" s="142"/>
    </row>
    <row r="1192" spans="13:34" ht="12.75">
      <c r="M1192" s="162"/>
      <c r="N1192" s="162"/>
      <c r="AG1192" s="142"/>
      <c r="AH1192" s="142"/>
    </row>
    <row r="1193" spans="13:34" ht="12.75">
      <c r="M1193" s="162"/>
      <c r="N1193" s="162"/>
      <c r="AG1193" s="142"/>
      <c r="AH1193" s="142"/>
    </row>
    <row r="1194" spans="13:34" ht="12.75">
      <c r="M1194" s="162"/>
      <c r="N1194" s="162"/>
      <c r="AG1194" s="142"/>
      <c r="AH1194" s="142"/>
    </row>
    <row r="1195" spans="13:34" ht="12.75">
      <c r="M1195" s="162"/>
      <c r="N1195" s="162"/>
      <c r="AG1195" s="142"/>
      <c r="AH1195" s="142"/>
    </row>
    <row r="1196" spans="13:34" ht="12.75">
      <c r="M1196" s="162"/>
      <c r="N1196" s="162"/>
      <c r="AG1196" s="142"/>
      <c r="AH1196" s="142"/>
    </row>
    <row r="1197" spans="13:34" ht="12.75">
      <c r="M1197" s="162"/>
      <c r="N1197" s="162"/>
      <c r="AG1197" s="142"/>
      <c r="AH1197" s="142"/>
    </row>
    <row r="1198" spans="13:34" ht="12.75">
      <c r="M1198" s="162"/>
      <c r="N1198" s="162"/>
      <c r="AG1198" s="142"/>
      <c r="AH1198" s="142"/>
    </row>
    <row r="1199" spans="13:34" ht="12.75">
      <c r="M1199" s="162"/>
      <c r="N1199" s="162"/>
      <c r="AG1199" s="142"/>
      <c r="AH1199" s="142"/>
    </row>
    <row r="1200" spans="13:34" ht="12.75">
      <c r="M1200" s="162"/>
      <c r="N1200" s="162"/>
      <c r="AG1200" s="142"/>
      <c r="AH1200" s="142"/>
    </row>
    <row r="1201" spans="13:34" ht="12.75">
      <c r="M1201" s="162"/>
      <c r="N1201" s="162"/>
      <c r="AG1201" s="142"/>
      <c r="AH1201" s="142"/>
    </row>
    <row r="1202" spans="13:34" ht="12.75">
      <c r="M1202" s="162"/>
      <c r="N1202" s="162"/>
      <c r="AG1202" s="142"/>
      <c r="AH1202" s="142"/>
    </row>
    <row r="1203" spans="13:34" ht="12.75">
      <c r="M1203" s="162"/>
      <c r="N1203" s="162"/>
      <c r="AG1203" s="142"/>
      <c r="AH1203" s="142"/>
    </row>
    <row r="1204" spans="13:34" ht="12.75">
      <c r="M1204" s="162"/>
      <c r="N1204" s="162"/>
      <c r="AG1204" s="142"/>
      <c r="AH1204" s="142"/>
    </row>
    <row r="1205" spans="13:34" ht="12.75">
      <c r="M1205" s="162"/>
      <c r="N1205" s="162"/>
      <c r="AG1205" s="142"/>
      <c r="AH1205" s="142"/>
    </row>
    <row r="1206" spans="13:34" ht="12.75">
      <c r="M1206" s="162"/>
      <c r="N1206" s="162"/>
      <c r="AG1206" s="142"/>
      <c r="AH1206" s="142"/>
    </row>
    <row r="1207" spans="13:34" ht="12.75">
      <c r="M1207" s="162"/>
      <c r="N1207" s="162"/>
      <c r="AG1207" s="142"/>
      <c r="AH1207" s="142"/>
    </row>
    <row r="1208" spans="13:34" ht="12.75">
      <c r="M1208" s="162"/>
      <c r="N1208" s="162"/>
      <c r="AG1208" s="142"/>
      <c r="AH1208" s="142"/>
    </row>
    <row r="1209" spans="13:34" ht="12.75">
      <c r="M1209" s="162"/>
      <c r="N1209" s="162"/>
      <c r="AG1209" s="142"/>
      <c r="AH1209" s="142"/>
    </row>
    <row r="1210" spans="13:34" ht="12.75">
      <c r="M1210" s="162"/>
      <c r="N1210" s="162"/>
      <c r="AG1210" s="142"/>
      <c r="AH1210" s="142"/>
    </row>
    <row r="1211" spans="13:34" ht="12.75">
      <c r="M1211" s="162"/>
      <c r="N1211" s="162"/>
      <c r="AG1211" s="142"/>
      <c r="AH1211" s="142"/>
    </row>
    <row r="1212" spans="13:34" ht="12.75">
      <c r="M1212" s="162"/>
      <c r="N1212" s="162"/>
      <c r="AG1212" s="142"/>
      <c r="AH1212" s="142"/>
    </row>
    <row r="1213" spans="13:34" ht="12.75">
      <c r="M1213" s="162"/>
      <c r="N1213" s="162"/>
      <c r="AG1213" s="142"/>
      <c r="AH1213" s="142"/>
    </row>
    <row r="1214" spans="13:34" ht="12.75">
      <c r="M1214" s="162"/>
      <c r="N1214" s="162"/>
      <c r="AG1214" s="142"/>
      <c r="AH1214" s="142"/>
    </row>
    <row r="1215" spans="13:34" ht="12.75">
      <c r="M1215" s="162"/>
      <c r="N1215" s="162"/>
      <c r="AG1215" s="142"/>
      <c r="AH1215" s="142"/>
    </row>
    <row r="1216" spans="13:34" ht="12.75">
      <c r="M1216" s="162"/>
      <c r="N1216" s="162"/>
      <c r="AG1216" s="142"/>
      <c r="AH1216" s="142"/>
    </row>
    <row r="1217" spans="13:34" ht="12.75">
      <c r="M1217" s="162"/>
      <c r="N1217" s="162"/>
      <c r="AG1217" s="142"/>
      <c r="AH1217" s="142"/>
    </row>
    <row r="1218" spans="13:34" ht="12.75">
      <c r="M1218" s="162"/>
      <c r="N1218" s="162"/>
      <c r="AG1218" s="142"/>
      <c r="AH1218" s="142"/>
    </row>
    <row r="1219" spans="13:34" ht="12.75">
      <c r="M1219" s="162"/>
      <c r="N1219" s="162"/>
      <c r="AG1219" s="142"/>
      <c r="AH1219" s="142"/>
    </row>
    <row r="1220" spans="13:34" ht="12.75">
      <c r="M1220" s="162"/>
      <c r="N1220" s="162"/>
      <c r="AG1220" s="142"/>
      <c r="AH1220" s="142"/>
    </row>
    <row r="1221" spans="13:34" ht="12.75">
      <c r="M1221" s="162"/>
      <c r="N1221" s="162"/>
      <c r="AG1221" s="142"/>
      <c r="AH1221" s="142"/>
    </row>
    <row r="1222" spans="13:34" ht="12.75">
      <c r="M1222" s="162"/>
      <c r="N1222" s="162"/>
      <c r="AG1222" s="142"/>
      <c r="AH1222" s="142"/>
    </row>
    <row r="1223" spans="13:34" ht="12.75">
      <c r="M1223" s="162"/>
      <c r="N1223" s="162"/>
      <c r="AG1223" s="142"/>
      <c r="AH1223" s="142"/>
    </row>
    <row r="1224" spans="13:34" ht="12.75">
      <c r="M1224" s="162"/>
      <c r="N1224" s="162"/>
      <c r="AG1224" s="142"/>
      <c r="AH1224" s="142"/>
    </row>
    <row r="1225" spans="13:34" ht="12.75">
      <c r="M1225" s="162"/>
      <c r="N1225" s="162"/>
      <c r="AG1225" s="142"/>
      <c r="AH1225" s="142"/>
    </row>
    <row r="1226" spans="13:34" ht="12.75">
      <c r="M1226" s="162"/>
      <c r="N1226" s="162"/>
      <c r="AG1226" s="142"/>
      <c r="AH1226" s="142"/>
    </row>
    <row r="1227" spans="13:34" ht="12.75">
      <c r="M1227" s="162"/>
      <c r="N1227" s="162"/>
      <c r="AG1227" s="142"/>
      <c r="AH1227" s="142"/>
    </row>
    <row r="1228" spans="13:34" ht="12.75">
      <c r="M1228" s="162"/>
      <c r="N1228" s="162"/>
      <c r="AG1228" s="142"/>
      <c r="AH1228" s="142"/>
    </row>
    <row r="1229" spans="13:34" ht="12.75">
      <c r="M1229" s="162"/>
      <c r="N1229" s="162"/>
      <c r="AG1229" s="142"/>
      <c r="AH1229" s="142"/>
    </row>
    <row r="1230" spans="13:34" ht="12.75">
      <c r="M1230" s="162"/>
      <c r="N1230" s="162"/>
      <c r="AG1230" s="142"/>
      <c r="AH1230" s="142"/>
    </row>
    <row r="1231" spans="13:34" ht="12.75">
      <c r="M1231" s="162"/>
      <c r="N1231" s="162"/>
      <c r="AG1231" s="142"/>
      <c r="AH1231" s="142"/>
    </row>
    <row r="1232" spans="13:34" ht="12.75">
      <c r="M1232" s="162"/>
      <c r="N1232" s="162"/>
      <c r="AG1232" s="142"/>
      <c r="AH1232" s="142"/>
    </row>
    <row r="1233" spans="13:34" ht="12.75">
      <c r="M1233" s="162"/>
      <c r="N1233" s="162"/>
      <c r="AG1233" s="142"/>
      <c r="AH1233" s="142"/>
    </row>
    <row r="1234" spans="13:34" ht="12.75">
      <c r="M1234" s="162"/>
      <c r="N1234" s="162"/>
      <c r="AG1234" s="142"/>
      <c r="AH1234" s="142"/>
    </row>
    <row r="1235" spans="13:34" ht="12.75">
      <c r="M1235" s="162"/>
      <c r="N1235" s="162"/>
      <c r="AG1235" s="142"/>
      <c r="AH1235" s="142"/>
    </row>
    <row r="1236" spans="13:34" ht="12.75">
      <c r="M1236" s="162"/>
      <c r="N1236" s="162"/>
      <c r="AG1236" s="142"/>
      <c r="AH1236" s="142"/>
    </row>
    <row r="1237" spans="13:34" ht="12.75">
      <c r="M1237" s="162"/>
      <c r="N1237" s="162"/>
      <c r="AG1237" s="142"/>
      <c r="AH1237" s="142"/>
    </row>
    <row r="1238" spans="13:34" ht="12.75">
      <c r="M1238" s="162"/>
      <c r="N1238" s="162"/>
      <c r="AG1238" s="142"/>
      <c r="AH1238" s="142"/>
    </row>
    <row r="1239" spans="13:34" ht="12.75">
      <c r="M1239" s="162"/>
      <c r="N1239" s="162"/>
      <c r="AG1239" s="142"/>
      <c r="AH1239" s="142"/>
    </row>
    <row r="1240" spans="13:34" ht="12.75">
      <c r="M1240" s="162"/>
      <c r="N1240" s="162"/>
      <c r="AG1240" s="142"/>
      <c r="AH1240" s="142"/>
    </row>
    <row r="1241" spans="13:34" ht="12.75">
      <c r="M1241" s="162"/>
      <c r="N1241" s="162"/>
      <c r="AG1241" s="142"/>
      <c r="AH1241" s="142"/>
    </row>
    <row r="1242" spans="13:34" ht="12.75">
      <c r="M1242" s="162"/>
      <c r="N1242" s="162"/>
      <c r="AG1242" s="142"/>
      <c r="AH1242" s="142"/>
    </row>
    <row r="1243" spans="13:34" ht="12.75">
      <c r="M1243" s="162"/>
      <c r="N1243" s="162"/>
      <c r="AG1243" s="142"/>
      <c r="AH1243" s="142"/>
    </row>
    <row r="1244" spans="13:34" ht="12.75">
      <c r="M1244" s="162"/>
      <c r="N1244" s="162"/>
      <c r="AG1244" s="142"/>
      <c r="AH1244" s="142"/>
    </row>
    <row r="1245" spans="13:34" ht="12.75">
      <c r="M1245" s="162"/>
      <c r="N1245" s="162"/>
      <c r="AG1245" s="142"/>
      <c r="AH1245" s="142"/>
    </row>
    <row r="1246" spans="13:34" ht="12.75">
      <c r="M1246" s="162"/>
      <c r="N1246" s="162"/>
      <c r="AG1246" s="142"/>
      <c r="AH1246" s="142"/>
    </row>
    <row r="1247" spans="13:34" ht="12.75">
      <c r="M1247" s="162"/>
      <c r="N1247" s="162"/>
      <c r="AG1247" s="142"/>
      <c r="AH1247" s="142"/>
    </row>
    <row r="1248" spans="13:34" ht="12.75">
      <c r="M1248" s="162"/>
      <c r="N1248" s="162"/>
      <c r="AG1248" s="142"/>
      <c r="AH1248" s="142"/>
    </row>
    <row r="1249" spans="13:34" ht="12.75">
      <c r="M1249" s="162"/>
      <c r="N1249" s="162"/>
      <c r="AG1249" s="142"/>
      <c r="AH1249" s="142"/>
    </row>
    <row r="1250" spans="13:34" ht="12.75">
      <c r="M1250" s="162"/>
      <c r="N1250" s="162"/>
      <c r="AG1250" s="142"/>
      <c r="AH1250" s="142"/>
    </row>
    <row r="1251" spans="13:34" ht="12.75">
      <c r="M1251" s="162"/>
      <c r="N1251" s="162"/>
      <c r="AG1251" s="142"/>
      <c r="AH1251" s="142"/>
    </row>
    <row r="1252" spans="13:34" ht="12.75">
      <c r="M1252" s="162"/>
      <c r="N1252" s="162"/>
      <c r="AG1252" s="142"/>
      <c r="AH1252" s="142"/>
    </row>
    <row r="1253" spans="13:34" ht="12.75">
      <c r="M1253" s="162"/>
      <c r="N1253" s="162"/>
      <c r="AG1253" s="142"/>
      <c r="AH1253" s="142"/>
    </row>
    <row r="1254" spans="13:34" ht="12.75">
      <c r="M1254" s="162"/>
      <c r="N1254" s="162"/>
      <c r="AG1254" s="142"/>
      <c r="AH1254" s="142"/>
    </row>
    <row r="1255" spans="13:34" ht="12.75">
      <c r="M1255" s="162"/>
      <c r="N1255" s="162"/>
      <c r="AG1255" s="142"/>
      <c r="AH1255" s="142"/>
    </row>
    <row r="1256" spans="13:34" ht="12.75">
      <c r="M1256" s="162"/>
      <c r="N1256" s="162"/>
      <c r="AG1256" s="142"/>
      <c r="AH1256" s="142"/>
    </row>
    <row r="1257" spans="13:34" ht="12.75">
      <c r="M1257" s="162"/>
      <c r="N1257" s="162"/>
      <c r="AG1257" s="142"/>
      <c r="AH1257" s="142"/>
    </row>
    <row r="1258" spans="13:34" ht="12.75">
      <c r="M1258" s="162"/>
      <c r="N1258" s="162"/>
      <c r="AG1258" s="142"/>
      <c r="AH1258" s="142"/>
    </row>
    <row r="1259" spans="13:34" ht="12.75">
      <c r="M1259" s="162"/>
      <c r="N1259" s="162"/>
      <c r="AG1259" s="142"/>
      <c r="AH1259" s="142"/>
    </row>
    <row r="1260" spans="13:34" ht="12.75">
      <c r="M1260" s="162"/>
      <c r="N1260" s="162"/>
      <c r="AG1260" s="142"/>
      <c r="AH1260" s="142"/>
    </row>
    <row r="1261" spans="13:34" ht="12.75">
      <c r="M1261" s="162"/>
      <c r="N1261" s="162"/>
      <c r="AG1261" s="142"/>
      <c r="AH1261" s="142"/>
    </row>
    <row r="1262" spans="13:34" ht="12.75">
      <c r="M1262" s="162"/>
      <c r="N1262" s="162"/>
      <c r="AG1262" s="142"/>
      <c r="AH1262" s="142"/>
    </row>
    <row r="1263" spans="13:34" ht="12.75">
      <c r="M1263" s="162"/>
      <c r="N1263" s="162"/>
      <c r="AG1263" s="142"/>
      <c r="AH1263" s="142"/>
    </row>
    <row r="1264" spans="13:34" ht="12.75">
      <c r="M1264" s="162"/>
      <c r="N1264" s="162"/>
      <c r="AG1264" s="142"/>
      <c r="AH1264" s="142"/>
    </row>
    <row r="1265" spans="13:34" ht="12.75">
      <c r="M1265" s="162"/>
      <c r="N1265" s="162"/>
      <c r="AG1265" s="142"/>
      <c r="AH1265" s="142"/>
    </row>
    <row r="1266" spans="13:34" ht="12.75">
      <c r="M1266" s="162"/>
      <c r="N1266" s="162"/>
      <c r="AG1266" s="142"/>
      <c r="AH1266" s="142"/>
    </row>
    <row r="1267" spans="13:34" ht="12.75">
      <c r="M1267" s="162"/>
      <c r="N1267" s="162"/>
      <c r="AG1267" s="142"/>
      <c r="AH1267" s="142"/>
    </row>
    <row r="1268" spans="13:34" ht="12.75">
      <c r="M1268" s="162"/>
      <c r="N1268" s="162"/>
      <c r="AG1268" s="142"/>
      <c r="AH1268" s="142"/>
    </row>
    <row r="1269" spans="13:34" ht="12.75">
      <c r="M1269" s="162"/>
      <c r="N1269" s="162"/>
      <c r="AG1269" s="142"/>
      <c r="AH1269" s="142"/>
    </row>
    <row r="1270" spans="13:34" ht="12.75">
      <c r="M1270" s="162"/>
      <c r="N1270" s="162"/>
      <c r="AG1270" s="142"/>
      <c r="AH1270" s="142"/>
    </row>
    <row r="1271" spans="13:34" ht="12.75">
      <c r="M1271" s="162"/>
      <c r="N1271" s="162"/>
      <c r="AG1271" s="142"/>
      <c r="AH1271" s="142"/>
    </row>
    <row r="1272" spans="13:34" ht="12.75">
      <c r="M1272" s="162"/>
      <c r="N1272" s="162"/>
      <c r="AG1272" s="142"/>
      <c r="AH1272" s="142"/>
    </row>
    <row r="1273" spans="13:34" ht="12.75">
      <c r="M1273" s="162"/>
      <c r="N1273" s="162"/>
      <c r="AG1273" s="142"/>
      <c r="AH1273" s="142"/>
    </row>
    <row r="1274" spans="13:34" ht="12.75">
      <c r="M1274" s="162"/>
      <c r="N1274" s="162"/>
      <c r="AG1274" s="142"/>
      <c r="AH1274" s="142"/>
    </row>
    <row r="1275" spans="13:34" ht="12.75">
      <c r="M1275" s="162"/>
      <c r="N1275" s="162"/>
      <c r="AG1275" s="142"/>
      <c r="AH1275" s="142"/>
    </row>
    <row r="1276" spans="13:34" ht="12.75">
      <c r="M1276" s="162"/>
      <c r="N1276" s="162"/>
      <c r="AG1276" s="142"/>
      <c r="AH1276" s="142"/>
    </row>
    <row r="1277" spans="13:34" ht="12.75">
      <c r="M1277" s="162"/>
      <c r="N1277" s="162"/>
      <c r="AG1277" s="142"/>
      <c r="AH1277" s="142"/>
    </row>
    <row r="1278" spans="13:34" ht="12.75">
      <c r="M1278" s="162"/>
      <c r="N1278" s="162"/>
      <c r="AG1278" s="142"/>
      <c r="AH1278" s="142"/>
    </row>
    <row r="1279" spans="13:34" ht="12.75">
      <c r="M1279" s="162"/>
      <c r="N1279" s="162"/>
      <c r="AG1279" s="142"/>
      <c r="AH1279" s="142"/>
    </row>
    <row r="1280" spans="13:34" ht="12.75">
      <c r="M1280" s="162"/>
      <c r="N1280" s="162"/>
      <c r="AG1280" s="142"/>
      <c r="AH1280" s="142"/>
    </row>
    <row r="1281" spans="13:34" ht="12.75">
      <c r="M1281" s="162"/>
      <c r="N1281" s="162"/>
      <c r="AG1281" s="142"/>
      <c r="AH1281" s="142"/>
    </row>
    <row r="1282" spans="13:34" ht="12.75">
      <c r="M1282" s="162"/>
      <c r="N1282" s="162"/>
      <c r="AG1282" s="142"/>
      <c r="AH1282" s="142"/>
    </row>
    <row r="1283" spans="13:34" ht="12.75">
      <c r="M1283" s="162"/>
      <c r="N1283" s="162"/>
      <c r="AG1283" s="142"/>
      <c r="AH1283" s="142"/>
    </row>
    <row r="1284" spans="13:34" ht="12.75">
      <c r="M1284" s="162"/>
      <c r="N1284" s="162"/>
      <c r="AG1284" s="142"/>
      <c r="AH1284" s="142"/>
    </row>
    <row r="1285" spans="13:34" ht="12.75">
      <c r="M1285" s="162"/>
      <c r="N1285" s="162"/>
      <c r="AG1285" s="142"/>
      <c r="AH1285" s="142"/>
    </row>
    <row r="1286" spans="13:34" ht="12.75">
      <c r="M1286" s="162"/>
      <c r="N1286" s="162"/>
      <c r="AG1286" s="142"/>
      <c r="AH1286" s="142"/>
    </row>
    <row r="1287" spans="13:34" ht="12.75">
      <c r="M1287" s="162"/>
      <c r="N1287" s="162"/>
      <c r="AG1287" s="142"/>
      <c r="AH1287" s="142"/>
    </row>
    <row r="1288" spans="13:34" ht="12.75">
      <c r="M1288" s="162"/>
      <c r="N1288" s="162"/>
      <c r="AG1288" s="142"/>
      <c r="AH1288" s="142"/>
    </row>
    <row r="1289" spans="13:34" ht="12.75">
      <c r="M1289" s="162"/>
      <c r="N1289" s="162"/>
      <c r="AG1289" s="142"/>
      <c r="AH1289" s="142"/>
    </row>
    <row r="1290" spans="13:34" ht="12.75">
      <c r="M1290" s="162"/>
      <c r="N1290" s="162"/>
      <c r="AG1290" s="142"/>
      <c r="AH1290" s="142"/>
    </row>
    <row r="1291" spans="13:34" ht="12.75">
      <c r="M1291" s="162"/>
      <c r="N1291" s="162"/>
      <c r="AG1291" s="142"/>
      <c r="AH1291" s="142"/>
    </row>
    <row r="1292" spans="13:34" ht="12.75">
      <c r="M1292" s="162"/>
      <c r="N1292" s="162"/>
      <c r="AG1292" s="142"/>
      <c r="AH1292" s="142"/>
    </row>
    <row r="1293" spans="13:34" ht="12.75">
      <c r="M1293" s="162"/>
      <c r="N1293" s="162"/>
      <c r="AG1293" s="142"/>
      <c r="AH1293" s="142"/>
    </row>
    <row r="1294" spans="13:34" ht="12.75">
      <c r="M1294" s="162"/>
      <c r="N1294" s="162"/>
      <c r="AG1294" s="142"/>
      <c r="AH1294" s="142"/>
    </row>
    <row r="1295" spans="13:34" ht="12.75">
      <c r="M1295" s="162"/>
      <c r="N1295" s="162"/>
      <c r="AG1295" s="142"/>
      <c r="AH1295" s="142"/>
    </row>
    <row r="1296" spans="13:34" ht="12.75">
      <c r="M1296" s="162"/>
      <c r="N1296" s="162"/>
      <c r="AG1296" s="142"/>
      <c r="AH1296" s="142"/>
    </row>
    <row r="1297" spans="13:34" ht="12.75">
      <c r="M1297" s="162"/>
      <c r="N1297" s="162"/>
      <c r="AG1297" s="142"/>
      <c r="AH1297" s="142"/>
    </row>
    <row r="1298" spans="13:34" ht="12.75">
      <c r="M1298" s="162"/>
      <c r="N1298" s="162"/>
      <c r="AG1298" s="142"/>
      <c r="AH1298" s="142"/>
    </row>
    <row r="1299" spans="13:34" ht="12.75">
      <c r="M1299" s="162"/>
      <c r="N1299" s="162"/>
      <c r="AG1299" s="142"/>
      <c r="AH1299" s="142"/>
    </row>
    <row r="1300" spans="13:34" ht="12.75">
      <c r="M1300" s="162"/>
      <c r="N1300" s="162"/>
      <c r="AG1300" s="142"/>
      <c r="AH1300" s="142"/>
    </row>
    <row r="1301" spans="13:34" ht="12.75">
      <c r="M1301" s="162"/>
      <c r="N1301" s="162"/>
      <c r="AG1301" s="142"/>
      <c r="AH1301" s="142"/>
    </row>
    <row r="1302" spans="13:34" ht="12.75">
      <c r="M1302" s="162"/>
      <c r="N1302" s="162"/>
      <c r="AG1302" s="142"/>
      <c r="AH1302" s="142"/>
    </row>
    <row r="1303" spans="13:34" ht="12.75">
      <c r="M1303" s="162"/>
      <c r="N1303" s="162"/>
      <c r="AG1303" s="142"/>
      <c r="AH1303" s="142"/>
    </row>
    <row r="1304" spans="13:34" ht="12.75">
      <c r="M1304" s="162"/>
      <c r="N1304" s="162"/>
      <c r="AG1304" s="142"/>
      <c r="AH1304" s="142"/>
    </row>
    <row r="1305" spans="13:34" ht="12.75">
      <c r="M1305" s="162"/>
      <c r="N1305" s="162"/>
      <c r="AG1305" s="142"/>
      <c r="AH1305" s="142"/>
    </row>
    <row r="1306" spans="13:34" ht="12.75">
      <c r="M1306" s="162"/>
      <c r="N1306" s="162"/>
      <c r="AG1306" s="142"/>
      <c r="AH1306" s="142"/>
    </row>
    <row r="1307" spans="13:34" ht="12.75">
      <c r="M1307" s="162"/>
      <c r="N1307" s="162"/>
      <c r="AG1307" s="142"/>
      <c r="AH1307" s="142"/>
    </row>
    <row r="1308" spans="13:34" ht="12.75">
      <c r="M1308" s="162"/>
      <c r="N1308" s="162"/>
      <c r="AG1308" s="142"/>
      <c r="AH1308" s="142"/>
    </row>
    <row r="1309" spans="13:34" ht="12.75">
      <c r="M1309" s="162"/>
      <c r="N1309" s="162"/>
      <c r="AG1309" s="142"/>
      <c r="AH1309" s="142"/>
    </row>
    <row r="1310" spans="13:34" ht="12.75">
      <c r="M1310" s="162"/>
      <c r="N1310" s="162"/>
      <c r="AG1310" s="142"/>
      <c r="AH1310" s="142"/>
    </row>
    <row r="1311" spans="13:34" ht="12.75">
      <c r="M1311" s="162"/>
      <c r="N1311" s="162"/>
      <c r="AG1311" s="142"/>
      <c r="AH1311" s="142"/>
    </row>
    <row r="1312" spans="13:34" ht="12.75">
      <c r="M1312" s="162"/>
      <c r="N1312" s="162"/>
      <c r="AG1312" s="142"/>
      <c r="AH1312" s="142"/>
    </row>
    <row r="1313" spans="13:34" ht="12.75">
      <c r="M1313" s="162"/>
      <c r="N1313" s="162"/>
      <c r="AG1313" s="142"/>
      <c r="AH1313" s="142"/>
    </row>
    <row r="1314" spans="13:34" ht="12.75">
      <c r="M1314" s="162"/>
      <c r="N1314" s="162"/>
      <c r="AG1314" s="142"/>
      <c r="AH1314" s="142"/>
    </row>
    <row r="1315" spans="13:34" ht="12.75">
      <c r="M1315" s="162"/>
      <c r="N1315" s="162"/>
      <c r="AG1315" s="142"/>
      <c r="AH1315" s="142"/>
    </row>
    <row r="1316" spans="13:34" ht="12.75">
      <c r="M1316" s="162"/>
      <c r="N1316" s="162"/>
      <c r="AG1316" s="142"/>
      <c r="AH1316" s="142"/>
    </row>
    <row r="1317" spans="13:34" ht="12.75">
      <c r="M1317" s="162"/>
      <c r="N1317" s="162"/>
      <c r="AG1317" s="142"/>
      <c r="AH1317" s="142"/>
    </row>
    <row r="1318" spans="13:34" ht="12.75">
      <c r="M1318" s="162"/>
      <c r="N1318" s="162"/>
      <c r="AG1318" s="142"/>
      <c r="AH1318" s="142"/>
    </row>
    <row r="1319" spans="13:34" ht="12.75">
      <c r="M1319" s="162"/>
      <c r="N1319" s="162"/>
      <c r="AG1319" s="142"/>
      <c r="AH1319" s="142"/>
    </row>
    <row r="1320" spans="13:34" ht="12.75">
      <c r="M1320" s="162"/>
      <c r="N1320" s="162"/>
      <c r="AG1320" s="142"/>
      <c r="AH1320" s="142"/>
    </row>
    <row r="1321" spans="13:34" ht="12.75">
      <c r="M1321" s="162"/>
      <c r="N1321" s="162"/>
      <c r="AG1321" s="142"/>
      <c r="AH1321" s="142"/>
    </row>
    <row r="1322" spans="13:34" ht="12.75">
      <c r="M1322" s="162"/>
      <c r="N1322" s="162"/>
      <c r="AG1322" s="142"/>
      <c r="AH1322" s="142"/>
    </row>
    <row r="1323" spans="13:34" ht="12.75">
      <c r="M1323" s="162"/>
      <c r="N1323" s="162"/>
      <c r="AG1323" s="142"/>
      <c r="AH1323" s="142"/>
    </row>
    <row r="1324" spans="13:34" ht="12.75">
      <c r="M1324" s="162"/>
      <c r="N1324" s="162"/>
      <c r="AG1324" s="142"/>
      <c r="AH1324" s="142"/>
    </row>
    <row r="1325" spans="13:34" ht="12.75">
      <c r="M1325" s="162"/>
      <c r="N1325" s="162"/>
      <c r="AG1325" s="142"/>
      <c r="AH1325" s="142"/>
    </row>
    <row r="1326" spans="13:34" ht="12.75">
      <c r="M1326" s="162"/>
      <c r="N1326" s="162"/>
      <c r="AG1326" s="142"/>
      <c r="AH1326" s="142"/>
    </row>
    <row r="1327" spans="13:34" ht="12.75">
      <c r="M1327" s="162"/>
      <c r="N1327" s="162"/>
      <c r="AG1327" s="142"/>
      <c r="AH1327" s="142"/>
    </row>
    <row r="1328" spans="13:34" ht="12.75">
      <c r="M1328" s="162"/>
      <c r="N1328" s="162"/>
      <c r="AG1328" s="142"/>
      <c r="AH1328" s="142"/>
    </row>
    <row r="1329" spans="13:34" ht="12.75">
      <c r="M1329" s="162"/>
      <c r="N1329" s="162"/>
      <c r="AG1329" s="142"/>
      <c r="AH1329" s="142"/>
    </row>
    <row r="1330" spans="13:34" ht="12.75">
      <c r="M1330" s="162"/>
      <c r="N1330" s="162"/>
      <c r="AG1330" s="142"/>
      <c r="AH1330" s="142"/>
    </row>
    <row r="1331" spans="13:34" ht="12.75">
      <c r="M1331" s="162"/>
      <c r="N1331" s="162"/>
      <c r="AG1331" s="142"/>
      <c r="AH1331" s="142"/>
    </row>
    <row r="1332" spans="13:34" ht="12.75">
      <c r="M1332" s="162"/>
      <c r="N1332" s="162"/>
      <c r="AG1332" s="142"/>
      <c r="AH1332" s="142"/>
    </row>
    <row r="1333" spans="13:34" ht="12.75">
      <c r="M1333" s="162"/>
      <c r="N1333" s="162"/>
      <c r="AG1333" s="142"/>
      <c r="AH1333" s="142"/>
    </row>
    <row r="1334" spans="13:34" ht="12.75">
      <c r="M1334" s="162"/>
      <c r="N1334" s="162"/>
      <c r="AG1334" s="142"/>
      <c r="AH1334" s="142"/>
    </row>
    <row r="1335" spans="13:34" ht="12.75">
      <c r="M1335" s="162"/>
      <c r="N1335" s="162"/>
      <c r="AG1335" s="142"/>
      <c r="AH1335" s="142"/>
    </row>
    <row r="1336" spans="13:34" ht="12.75">
      <c r="M1336" s="162"/>
      <c r="N1336" s="162"/>
      <c r="AG1336" s="142"/>
      <c r="AH1336" s="142"/>
    </row>
    <row r="1337" spans="13:34" ht="12.75">
      <c r="M1337" s="162"/>
      <c r="N1337" s="162"/>
      <c r="AG1337" s="142"/>
      <c r="AH1337" s="142"/>
    </row>
    <row r="1338" spans="13:34" ht="12.75">
      <c r="M1338" s="162"/>
      <c r="N1338" s="162"/>
      <c r="AG1338" s="142"/>
      <c r="AH1338" s="142"/>
    </row>
    <row r="1339" spans="13:34" ht="12.75">
      <c r="M1339" s="162"/>
      <c r="N1339" s="162"/>
      <c r="AG1339" s="142"/>
      <c r="AH1339" s="142"/>
    </row>
    <row r="1340" spans="13:34" ht="12.75">
      <c r="M1340" s="162"/>
      <c r="N1340" s="162"/>
      <c r="AG1340" s="142"/>
      <c r="AH1340" s="142"/>
    </row>
    <row r="1341" spans="13:34" ht="12.75">
      <c r="M1341" s="162"/>
      <c r="N1341" s="162"/>
      <c r="AG1341" s="142"/>
      <c r="AH1341" s="142"/>
    </row>
    <row r="1342" spans="13:34" ht="12.75">
      <c r="M1342" s="162"/>
      <c r="N1342" s="162"/>
      <c r="AG1342" s="142"/>
      <c r="AH1342" s="142"/>
    </row>
    <row r="1343" spans="13:34" ht="12.75">
      <c r="M1343" s="162"/>
      <c r="N1343" s="162"/>
      <c r="AG1343" s="142"/>
      <c r="AH1343" s="142"/>
    </row>
    <row r="1344" spans="13:34" ht="12.75">
      <c r="M1344" s="162"/>
      <c r="N1344" s="162"/>
      <c r="AG1344" s="142"/>
      <c r="AH1344" s="142"/>
    </row>
    <row r="1345" spans="13:34" ht="12.75">
      <c r="M1345" s="162"/>
      <c r="N1345" s="162"/>
      <c r="AG1345" s="142"/>
      <c r="AH1345" s="142"/>
    </row>
    <row r="1346" spans="13:34" ht="12.75">
      <c r="M1346" s="162"/>
      <c r="N1346" s="162"/>
      <c r="AG1346" s="142"/>
      <c r="AH1346" s="142"/>
    </row>
    <row r="1347" spans="13:34" ht="12.75">
      <c r="M1347" s="162"/>
      <c r="N1347" s="162"/>
      <c r="AG1347" s="142"/>
      <c r="AH1347" s="142"/>
    </row>
    <row r="1348" spans="13:34" ht="12.75">
      <c r="M1348" s="162"/>
      <c r="N1348" s="162"/>
      <c r="AG1348" s="142"/>
      <c r="AH1348" s="142"/>
    </row>
    <row r="1349" spans="13:34" ht="12.75">
      <c r="M1349" s="162"/>
      <c r="N1349" s="162"/>
      <c r="AG1349" s="142"/>
      <c r="AH1349" s="142"/>
    </row>
    <row r="1350" spans="13:34" ht="12.75">
      <c r="M1350" s="162"/>
      <c r="N1350" s="162"/>
      <c r="AG1350" s="142"/>
      <c r="AH1350" s="142"/>
    </row>
    <row r="1351" spans="13:34" ht="12.75">
      <c r="M1351" s="162"/>
      <c r="N1351" s="162"/>
      <c r="AG1351" s="142"/>
      <c r="AH1351" s="142"/>
    </row>
    <row r="1352" spans="13:34" ht="12.75">
      <c r="M1352" s="162"/>
      <c r="N1352" s="162"/>
      <c r="AG1352" s="142"/>
      <c r="AH1352" s="142"/>
    </row>
    <row r="1353" spans="13:34" ht="12.75">
      <c r="M1353" s="162"/>
      <c r="N1353" s="162"/>
      <c r="AG1353" s="142"/>
      <c r="AH1353" s="142"/>
    </row>
    <row r="1354" spans="13:34" ht="12.75">
      <c r="M1354" s="162"/>
      <c r="N1354" s="162"/>
      <c r="AG1354" s="142"/>
      <c r="AH1354" s="142"/>
    </row>
    <row r="1355" spans="13:34" ht="12.75">
      <c r="M1355" s="162"/>
      <c r="N1355" s="162"/>
      <c r="AG1355" s="142"/>
      <c r="AH1355" s="142"/>
    </row>
    <row r="1356" spans="13:34" ht="12.75">
      <c r="M1356" s="162"/>
      <c r="N1356" s="162"/>
      <c r="AG1356" s="142"/>
      <c r="AH1356" s="142"/>
    </row>
    <row r="1357" spans="13:34" ht="12.75">
      <c r="M1357" s="162"/>
      <c r="N1357" s="162"/>
      <c r="AG1357" s="142"/>
      <c r="AH1357" s="142"/>
    </row>
    <row r="1358" spans="13:34" ht="12.75">
      <c r="M1358" s="162"/>
      <c r="N1358" s="162"/>
      <c r="AG1358" s="142"/>
      <c r="AH1358" s="142"/>
    </row>
    <row r="1359" spans="13:34" ht="12.75">
      <c r="M1359" s="162"/>
      <c r="N1359" s="162"/>
      <c r="AG1359" s="142"/>
      <c r="AH1359" s="142"/>
    </row>
    <row r="1360" spans="13:34" ht="12.75">
      <c r="M1360" s="162"/>
      <c r="N1360" s="162"/>
      <c r="AG1360" s="142"/>
      <c r="AH1360" s="142"/>
    </row>
    <row r="1361" spans="13:34" ht="12.75">
      <c r="M1361" s="162"/>
      <c r="N1361" s="162"/>
      <c r="AG1361" s="142"/>
      <c r="AH1361" s="142"/>
    </row>
    <row r="1362" spans="13:34" ht="12.75">
      <c r="M1362" s="162"/>
      <c r="N1362" s="162"/>
      <c r="AG1362" s="142"/>
      <c r="AH1362" s="142"/>
    </row>
    <row r="1363" spans="13:34" ht="12.75">
      <c r="M1363" s="162"/>
      <c r="N1363" s="162"/>
      <c r="AG1363" s="142"/>
      <c r="AH1363" s="142"/>
    </row>
    <row r="1364" spans="13:34" ht="12.75">
      <c r="M1364" s="162"/>
      <c r="N1364" s="162"/>
      <c r="AG1364" s="142"/>
      <c r="AH1364" s="142"/>
    </row>
    <row r="1365" spans="13:34" ht="12.75">
      <c r="M1365" s="162"/>
      <c r="N1365" s="162"/>
      <c r="AG1365" s="142"/>
      <c r="AH1365" s="142"/>
    </row>
    <row r="1366" spans="13:34" ht="12.75">
      <c r="M1366" s="162"/>
      <c r="N1366" s="162"/>
      <c r="AG1366" s="142"/>
      <c r="AH1366" s="142"/>
    </row>
    <row r="1367" spans="13:34" ht="12.75">
      <c r="M1367" s="162"/>
      <c r="N1367" s="162"/>
      <c r="AG1367" s="142"/>
      <c r="AH1367" s="142"/>
    </row>
    <row r="1368" spans="13:34" ht="12.75">
      <c r="M1368" s="162"/>
      <c r="N1368" s="162"/>
      <c r="AG1368" s="142"/>
      <c r="AH1368" s="142"/>
    </row>
    <row r="1369" spans="13:34" ht="12.75">
      <c r="M1369" s="162"/>
      <c r="N1369" s="162"/>
      <c r="AG1369" s="142"/>
      <c r="AH1369" s="142"/>
    </row>
    <row r="1370" spans="13:34" ht="12.75">
      <c r="M1370" s="162"/>
      <c r="N1370" s="162"/>
      <c r="AG1370" s="142"/>
      <c r="AH1370" s="142"/>
    </row>
    <row r="1371" spans="13:34" ht="12.75">
      <c r="M1371" s="162"/>
      <c r="N1371" s="162"/>
      <c r="AG1371" s="142"/>
      <c r="AH1371" s="142"/>
    </row>
    <row r="1372" spans="13:34" ht="12.75">
      <c r="M1372" s="162"/>
      <c r="N1372" s="162"/>
      <c r="AG1372" s="142"/>
      <c r="AH1372" s="142"/>
    </row>
    <row r="1373" spans="13:34" ht="12.75">
      <c r="M1373" s="162"/>
      <c r="N1373" s="162"/>
      <c r="AG1373" s="142"/>
      <c r="AH1373" s="142"/>
    </row>
    <row r="1374" spans="13:34" ht="12.75">
      <c r="M1374" s="162"/>
      <c r="N1374" s="162"/>
      <c r="AG1374" s="142"/>
      <c r="AH1374" s="142"/>
    </row>
    <row r="1375" spans="13:34" ht="12.75">
      <c r="M1375" s="162"/>
      <c r="N1375" s="162"/>
      <c r="AG1375" s="142"/>
      <c r="AH1375" s="142"/>
    </row>
    <row r="1376" spans="13:34" ht="12.75">
      <c r="M1376" s="162"/>
      <c r="N1376" s="162"/>
      <c r="AG1376" s="142"/>
      <c r="AH1376" s="142"/>
    </row>
    <row r="1377" spans="13:34" ht="12.75">
      <c r="M1377" s="162"/>
      <c r="N1377" s="162"/>
      <c r="AG1377" s="142"/>
      <c r="AH1377" s="142"/>
    </row>
    <row r="1378" spans="13:34" ht="12.75">
      <c r="M1378" s="162"/>
      <c r="N1378" s="162"/>
      <c r="AG1378" s="142"/>
      <c r="AH1378" s="142"/>
    </row>
    <row r="1379" spans="13:34" ht="12.75">
      <c r="M1379" s="162"/>
      <c r="N1379" s="162"/>
      <c r="AG1379" s="142"/>
      <c r="AH1379" s="142"/>
    </row>
    <row r="1380" spans="13:34" ht="12.75">
      <c r="M1380" s="162"/>
      <c r="N1380" s="162"/>
      <c r="AG1380" s="142"/>
      <c r="AH1380" s="142"/>
    </row>
    <row r="1381" spans="13:34" ht="12.75">
      <c r="M1381" s="162"/>
      <c r="N1381" s="162"/>
      <c r="AG1381" s="142"/>
      <c r="AH1381" s="142"/>
    </row>
    <row r="1382" spans="13:34" ht="12.75">
      <c r="M1382" s="162"/>
      <c r="N1382" s="162"/>
      <c r="AG1382" s="142"/>
      <c r="AH1382" s="142"/>
    </row>
    <row r="1383" spans="13:34" ht="12.75">
      <c r="M1383" s="162"/>
      <c r="N1383" s="162"/>
      <c r="AG1383" s="142"/>
      <c r="AH1383" s="142"/>
    </row>
    <row r="1384" spans="13:34" ht="12.75">
      <c r="M1384" s="162"/>
      <c r="N1384" s="162"/>
      <c r="AG1384" s="142"/>
      <c r="AH1384" s="142"/>
    </row>
    <row r="1385" spans="13:34" ht="12.75">
      <c r="M1385" s="162"/>
      <c r="N1385" s="162"/>
      <c r="AG1385" s="142"/>
      <c r="AH1385" s="142"/>
    </row>
    <row r="1386" spans="13:34" ht="12.75">
      <c r="M1386" s="162"/>
      <c r="N1386" s="162"/>
      <c r="AG1386" s="142"/>
      <c r="AH1386" s="142"/>
    </row>
    <row r="1387" spans="13:34" ht="12.75">
      <c r="M1387" s="162"/>
      <c r="N1387" s="162"/>
      <c r="AG1387" s="142"/>
      <c r="AH1387" s="142"/>
    </row>
    <row r="1388" spans="13:34" ht="12.75">
      <c r="M1388" s="162"/>
      <c r="N1388" s="162"/>
      <c r="AG1388" s="142"/>
      <c r="AH1388" s="142"/>
    </row>
    <row r="1389" spans="13:34" ht="12.75">
      <c r="M1389" s="162"/>
      <c r="N1389" s="162"/>
      <c r="AG1389" s="142"/>
      <c r="AH1389" s="142"/>
    </row>
    <row r="1390" spans="13:34" ht="12.75">
      <c r="M1390" s="162"/>
      <c r="N1390" s="162"/>
      <c r="AG1390" s="142"/>
      <c r="AH1390" s="142"/>
    </row>
    <row r="1391" spans="13:34" ht="12.75">
      <c r="M1391" s="162"/>
      <c r="N1391" s="162"/>
      <c r="AG1391" s="142"/>
      <c r="AH1391" s="142"/>
    </row>
    <row r="1392" spans="13:34" ht="12.75">
      <c r="M1392" s="162"/>
      <c r="N1392" s="162"/>
      <c r="AG1392" s="142"/>
      <c r="AH1392" s="142"/>
    </row>
    <row r="1393" spans="13:34" ht="12.75">
      <c r="M1393" s="162"/>
      <c r="N1393" s="162"/>
      <c r="AG1393" s="142"/>
      <c r="AH1393" s="142"/>
    </row>
    <row r="1394" spans="13:34" ht="12.75">
      <c r="M1394" s="162"/>
      <c r="N1394" s="162"/>
      <c r="AG1394" s="142"/>
      <c r="AH1394" s="142"/>
    </row>
    <row r="1395" spans="13:34" ht="12.75">
      <c r="M1395" s="162"/>
      <c r="N1395" s="162"/>
      <c r="AG1395" s="142"/>
      <c r="AH1395" s="142"/>
    </row>
    <row r="1396" spans="13:34" ht="12.75">
      <c r="M1396" s="162"/>
      <c r="N1396" s="162"/>
      <c r="AG1396" s="142"/>
      <c r="AH1396" s="142"/>
    </row>
    <row r="1397" spans="13:34" ht="12.75">
      <c r="M1397" s="162"/>
      <c r="N1397" s="162"/>
      <c r="AG1397" s="142"/>
      <c r="AH1397" s="142"/>
    </row>
    <row r="1398" spans="13:34" ht="12.75">
      <c r="M1398" s="162"/>
      <c r="N1398" s="162"/>
      <c r="AG1398" s="142"/>
      <c r="AH1398" s="142"/>
    </row>
    <row r="1399" spans="13:34" ht="12.75">
      <c r="M1399" s="162"/>
      <c r="N1399" s="162"/>
      <c r="AG1399" s="142"/>
      <c r="AH1399" s="142"/>
    </row>
    <row r="1400" spans="13:34" ht="12.75">
      <c r="M1400" s="162"/>
      <c r="N1400" s="162"/>
      <c r="AG1400" s="142"/>
      <c r="AH1400" s="142"/>
    </row>
    <row r="1401" spans="13:34" ht="12.75">
      <c r="M1401" s="162"/>
      <c r="N1401" s="162"/>
      <c r="AG1401" s="142"/>
      <c r="AH1401" s="142"/>
    </row>
    <row r="1402" spans="13:34" ht="12.75">
      <c r="M1402" s="162"/>
      <c r="N1402" s="162"/>
      <c r="AG1402" s="142"/>
      <c r="AH1402" s="142"/>
    </row>
    <row r="1403" spans="13:34" ht="12.75">
      <c r="M1403" s="162"/>
      <c r="N1403" s="162"/>
      <c r="AG1403" s="142"/>
      <c r="AH1403" s="142"/>
    </row>
    <row r="1404" spans="13:34" ht="12.75">
      <c r="M1404" s="162"/>
      <c r="N1404" s="162"/>
      <c r="AG1404" s="142"/>
      <c r="AH1404" s="142"/>
    </row>
    <row r="1405" spans="13:34" ht="12.75">
      <c r="M1405" s="162"/>
      <c r="N1405" s="162"/>
      <c r="AG1405" s="142"/>
      <c r="AH1405" s="142"/>
    </row>
    <row r="1406" spans="13:34" ht="12.75">
      <c r="M1406" s="162"/>
      <c r="N1406" s="162"/>
      <c r="AG1406" s="142"/>
      <c r="AH1406" s="142"/>
    </row>
    <row r="1407" spans="13:34" ht="12.75">
      <c r="M1407" s="162"/>
      <c r="N1407" s="162"/>
      <c r="AG1407" s="142"/>
      <c r="AH1407" s="142"/>
    </row>
    <row r="1408" spans="13:34" ht="12.75">
      <c r="M1408" s="162"/>
      <c r="N1408" s="162"/>
      <c r="AG1408" s="142"/>
      <c r="AH1408" s="142"/>
    </row>
    <row r="1409" spans="13:34" ht="12.75">
      <c r="M1409" s="162"/>
      <c r="N1409" s="162"/>
      <c r="AG1409" s="142"/>
      <c r="AH1409" s="142"/>
    </row>
    <row r="1410" spans="13:34" ht="12.75">
      <c r="M1410" s="162"/>
      <c r="N1410" s="162"/>
      <c r="AG1410" s="142"/>
      <c r="AH1410" s="142"/>
    </row>
    <row r="1411" spans="13:34" ht="12.75">
      <c r="M1411" s="162"/>
      <c r="N1411" s="162"/>
      <c r="AG1411" s="142"/>
      <c r="AH1411" s="142"/>
    </row>
    <row r="1412" spans="13:34" ht="12.75">
      <c r="M1412" s="162"/>
      <c r="N1412" s="162"/>
      <c r="AG1412" s="142"/>
      <c r="AH1412" s="142"/>
    </row>
    <row r="1413" spans="13:34" ht="12.75">
      <c r="M1413" s="162"/>
      <c r="N1413" s="162"/>
      <c r="AG1413" s="142"/>
      <c r="AH1413" s="142"/>
    </row>
    <row r="1414" spans="13:34" ht="12.75">
      <c r="M1414" s="162"/>
      <c r="N1414" s="162"/>
      <c r="AG1414" s="142"/>
      <c r="AH1414" s="142"/>
    </row>
    <row r="1415" spans="13:34" ht="12.75">
      <c r="M1415" s="162"/>
      <c r="N1415" s="162"/>
      <c r="AG1415" s="142"/>
      <c r="AH1415" s="142"/>
    </row>
    <row r="1416" spans="13:34" ht="12.75">
      <c r="M1416" s="162"/>
      <c r="N1416" s="162"/>
      <c r="AG1416" s="142"/>
      <c r="AH1416" s="142"/>
    </row>
    <row r="1417" spans="13:34" ht="12.75">
      <c r="M1417" s="162"/>
      <c r="N1417" s="162"/>
      <c r="AG1417" s="142"/>
      <c r="AH1417" s="142"/>
    </row>
    <row r="1418" spans="13:34" ht="12.75">
      <c r="M1418" s="162"/>
      <c r="N1418" s="162"/>
      <c r="AG1418" s="142"/>
      <c r="AH1418" s="142"/>
    </row>
    <row r="1419" spans="13:34" ht="12.75">
      <c r="M1419" s="162"/>
      <c r="N1419" s="162"/>
      <c r="AG1419" s="142"/>
      <c r="AH1419" s="142"/>
    </row>
    <row r="1420" spans="13:34" ht="12.75">
      <c r="M1420" s="162"/>
      <c r="N1420" s="162"/>
      <c r="AG1420" s="142"/>
      <c r="AH1420" s="142"/>
    </row>
    <row r="1421" spans="13:34" ht="12.75">
      <c r="M1421" s="162"/>
      <c r="N1421" s="162"/>
      <c r="AG1421" s="142"/>
      <c r="AH1421" s="142"/>
    </row>
    <row r="1422" spans="13:34" ht="12.75">
      <c r="M1422" s="162"/>
      <c r="N1422" s="162"/>
      <c r="AG1422" s="142"/>
      <c r="AH1422" s="142"/>
    </row>
    <row r="1423" spans="13:34" ht="12.75">
      <c r="M1423" s="162"/>
      <c r="N1423" s="162"/>
      <c r="AG1423" s="142"/>
      <c r="AH1423" s="142"/>
    </row>
    <row r="1424" spans="13:34" ht="12.75">
      <c r="M1424" s="162"/>
      <c r="N1424" s="162"/>
      <c r="AG1424" s="142"/>
      <c r="AH1424" s="142"/>
    </row>
    <row r="1425" spans="13:34" ht="12.75">
      <c r="M1425" s="162"/>
      <c r="N1425" s="162"/>
      <c r="AG1425" s="142"/>
      <c r="AH1425" s="142"/>
    </row>
    <row r="1426" spans="13:34" ht="12.75">
      <c r="M1426" s="162"/>
      <c r="N1426" s="162"/>
      <c r="AG1426" s="142"/>
      <c r="AH1426" s="142"/>
    </row>
    <row r="1427" spans="13:34" ht="12.75">
      <c r="M1427" s="162"/>
      <c r="N1427" s="162"/>
      <c r="AG1427" s="142"/>
      <c r="AH1427" s="142"/>
    </row>
    <row r="1428" spans="13:34" ht="12.75">
      <c r="M1428" s="162"/>
      <c r="N1428" s="162"/>
      <c r="AG1428" s="142"/>
      <c r="AH1428" s="142"/>
    </row>
    <row r="1429" spans="13:34" ht="12.75">
      <c r="M1429" s="162"/>
      <c r="N1429" s="162"/>
      <c r="AG1429" s="142"/>
      <c r="AH1429" s="142"/>
    </row>
    <row r="1430" spans="13:34" ht="12.75">
      <c r="M1430" s="162"/>
      <c r="N1430" s="162"/>
      <c r="AG1430" s="142"/>
      <c r="AH1430" s="142"/>
    </row>
    <row r="1431" spans="13:34" ht="12.75">
      <c r="M1431" s="162"/>
      <c r="N1431" s="162"/>
      <c r="AG1431" s="142"/>
      <c r="AH1431" s="142"/>
    </row>
    <row r="1432" spans="13:34" ht="12.75">
      <c r="M1432" s="162"/>
      <c r="N1432" s="162"/>
      <c r="AG1432" s="142"/>
      <c r="AH1432" s="142"/>
    </row>
    <row r="1433" spans="13:34" ht="12.75">
      <c r="M1433" s="162"/>
      <c r="N1433" s="162"/>
      <c r="AG1433" s="142"/>
      <c r="AH1433" s="142"/>
    </row>
    <row r="1434" spans="13:34" ht="12.75">
      <c r="M1434" s="162"/>
      <c r="N1434" s="162"/>
      <c r="AG1434" s="142"/>
      <c r="AH1434" s="142"/>
    </row>
    <row r="1435" spans="13:34" ht="12.75">
      <c r="M1435" s="162"/>
      <c r="N1435" s="162"/>
      <c r="AG1435" s="142"/>
      <c r="AH1435" s="142"/>
    </row>
    <row r="1436" spans="13:34" ht="12.75">
      <c r="M1436" s="162"/>
      <c r="N1436" s="162"/>
      <c r="AG1436" s="142"/>
      <c r="AH1436" s="142"/>
    </row>
    <row r="1437" spans="13:34" ht="12.75">
      <c r="M1437" s="162"/>
      <c r="N1437" s="162"/>
      <c r="AG1437" s="142"/>
      <c r="AH1437" s="142"/>
    </row>
    <row r="1438" spans="13:34" ht="12.75">
      <c r="M1438" s="162"/>
      <c r="N1438" s="162"/>
      <c r="AG1438" s="142"/>
      <c r="AH1438" s="142"/>
    </row>
    <row r="1439" spans="13:34" ht="12.75">
      <c r="M1439" s="162"/>
      <c r="N1439" s="162"/>
      <c r="AG1439" s="142"/>
      <c r="AH1439" s="142"/>
    </row>
    <row r="1440" spans="13:34" ht="12.75">
      <c r="M1440" s="162"/>
      <c r="N1440" s="162"/>
      <c r="AG1440" s="142"/>
      <c r="AH1440" s="142"/>
    </row>
    <row r="1441" spans="13:34" ht="12.75">
      <c r="M1441" s="162"/>
      <c r="N1441" s="162"/>
      <c r="AG1441" s="142"/>
      <c r="AH1441" s="142"/>
    </row>
    <row r="1442" spans="13:34" ht="12.75">
      <c r="M1442" s="162"/>
      <c r="N1442" s="162"/>
      <c r="AG1442" s="142"/>
      <c r="AH1442" s="142"/>
    </row>
    <row r="1443" spans="13:34" ht="12.75">
      <c r="M1443" s="162"/>
      <c r="N1443" s="162"/>
      <c r="AG1443" s="142"/>
      <c r="AH1443" s="142"/>
    </row>
    <row r="1444" spans="13:34" ht="12.75">
      <c r="M1444" s="162"/>
      <c r="N1444" s="162"/>
      <c r="AG1444" s="142"/>
      <c r="AH1444" s="142"/>
    </row>
    <row r="1445" spans="13:34" ht="12.75">
      <c r="M1445" s="162"/>
      <c r="N1445" s="162"/>
      <c r="AG1445" s="142"/>
      <c r="AH1445" s="142"/>
    </row>
    <row r="1446" spans="13:34" ht="12.75">
      <c r="M1446" s="162"/>
      <c r="N1446" s="162"/>
      <c r="AG1446" s="142"/>
      <c r="AH1446" s="142"/>
    </row>
    <row r="1447" spans="13:34" ht="12.75">
      <c r="M1447" s="162"/>
      <c r="N1447" s="162"/>
      <c r="AG1447" s="142"/>
      <c r="AH1447" s="142"/>
    </row>
    <row r="1448" spans="13:34" ht="12.75">
      <c r="M1448" s="162"/>
      <c r="N1448" s="162"/>
      <c r="AG1448" s="142"/>
      <c r="AH1448" s="142"/>
    </row>
    <row r="1449" spans="13:34" ht="12.75">
      <c r="M1449" s="162"/>
      <c r="N1449" s="162"/>
      <c r="AG1449" s="142"/>
      <c r="AH1449" s="142"/>
    </row>
    <row r="1450" spans="13:34" ht="12.75">
      <c r="M1450" s="162"/>
      <c r="N1450" s="162"/>
      <c r="AG1450" s="142"/>
      <c r="AH1450" s="142"/>
    </row>
    <row r="1451" spans="13:34" ht="12.75">
      <c r="M1451" s="162"/>
      <c r="N1451" s="162"/>
      <c r="AG1451" s="142"/>
      <c r="AH1451" s="142"/>
    </row>
    <row r="1452" spans="13:34" ht="12.75">
      <c r="M1452" s="162"/>
      <c r="N1452" s="162"/>
      <c r="AG1452" s="142"/>
      <c r="AH1452" s="142"/>
    </row>
    <row r="1453" spans="13:34" ht="12.75">
      <c r="M1453" s="162"/>
      <c r="N1453" s="162"/>
      <c r="AG1453" s="142"/>
      <c r="AH1453" s="142"/>
    </row>
    <row r="1454" spans="13:34" ht="12.75">
      <c r="M1454" s="162"/>
      <c r="N1454" s="162"/>
      <c r="AG1454" s="142"/>
      <c r="AH1454" s="142"/>
    </row>
    <row r="1455" spans="13:34" ht="12.75">
      <c r="M1455" s="162"/>
      <c r="N1455" s="162"/>
      <c r="AG1455" s="142"/>
      <c r="AH1455" s="142"/>
    </row>
    <row r="1456" spans="13:34" ht="12.75">
      <c r="M1456" s="162"/>
      <c r="N1456" s="162"/>
      <c r="AG1456" s="142"/>
      <c r="AH1456" s="142"/>
    </row>
    <row r="1457" spans="13:34" ht="12.75">
      <c r="M1457" s="162"/>
      <c r="N1457" s="162"/>
      <c r="AG1457" s="142"/>
      <c r="AH1457" s="142"/>
    </row>
    <row r="1458" spans="13:34" ht="12.75">
      <c r="M1458" s="162"/>
      <c r="N1458" s="162"/>
      <c r="AG1458" s="142"/>
      <c r="AH1458" s="142"/>
    </row>
    <row r="1459" spans="13:34" ht="12.75">
      <c r="M1459" s="162"/>
      <c r="N1459" s="162"/>
      <c r="AG1459" s="142"/>
      <c r="AH1459" s="142"/>
    </row>
    <row r="1460" spans="13:34" ht="12.75">
      <c r="M1460" s="162"/>
      <c r="N1460" s="162"/>
      <c r="AG1460" s="142"/>
      <c r="AH1460" s="142"/>
    </row>
    <row r="1461" spans="13:34" ht="12.75">
      <c r="M1461" s="162"/>
      <c r="N1461" s="162"/>
      <c r="AG1461" s="142"/>
      <c r="AH1461" s="142"/>
    </row>
    <row r="1462" spans="13:34" ht="12.75">
      <c r="M1462" s="162"/>
      <c r="N1462" s="162"/>
      <c r="AG1462" s="142"/>
      <c r="AH1462" s="142"/>
    </row>
    <row r="1463" spans="13:34" ht="12.75">
      <c r="M1463" s="162"/>
      <c r="N1463" s="162"/>
      <c r="AG1463" s="142"/>
      <c r="AH1463" s="142"/>
    </row>
    <row r="1464" spans="13:34" ht="12.75">
      <c r="M1464" s="162"/>
      <c r="N1464" s="162"/>
      <c r="AG1464" s="142"/>
      <c r="AH1464" s="142"/>
    </row>
    <row r="1465" spans="13:34" ht="12.75">
      <c r="M1465" s="162"/>
      <c r="N1465" s="162"/>
      <c r="AG1465" s="142"/>
      <c r="AH1465" s="142"/>
    </row>
    <row r="1466" spans="13:34" ht="12.75">
      <c r="M1466" s="162"/>
      <c r="N1466" s="162"/>
      <c r="AG1466" s="142"/>
      <c r="AH1466" s="142"/>
    </row>
    <row r="1467" spans="13:34" ht="12.75">
      <c r="M1467" s="162"/>
      <c r="N1467" s="162"/>
      <c r="AG1467" s="142"/>
      <c r="AH1467" s="142"/>
    </row>
    <row r="1468" spans="13:34" ht="12.75">
      <c r="M1468" s="162"/>
      <c r="N1468" s="162"/>
      <c r="AG1468" s="142"/>
      <c r="AH1468" s="142"/>
    </row>
    <row r="1469" spans="13:34" ht="12.75">
      <c r="M1469" s="162"/>
      <c r="N1469" s="162"/>
      <c r="AG1469" s="142"/>
      <c r="AH1469" s="142"/>
    </row>
    <row r="1470" spans="13:34" ht="12.75">
      <c r="M1470" s="162"/>
      <c r="N1470" s="162"/>
      <c r="AG1470" s="142"/>
      <c r="AH1470" s="142"/>
    </row>
    <row r="1471" spans="13:34" ht="12.75">
      <c r="M1471" s="162"/>
      <c r="N1471" s="162"/>
      <c r="AG1471" s="142"/>
      <c r="AH1471" s="142"/>
    </row>
    <row r="1472" spans="13:34" ht="12.75">
      <c r="M1472" s="162"/>
      <c r="N1472" s="162"/>
      <c r="AG1472" s="142"/>
      <c r="AH1472" s="142"/>
    </row>
    <row r="1473" spans="13:34" ht="12.75">
      <c r="M1473" s="162"/>
      <c r="N1473" s="162"/>
      <c r="AG1473" s="142"/>
      <c r="AH1473" s="142"/>
    </row>
    <row r="1474" spans="13:34" ht="12.75">
      <c r="M1474" s="162"/>
      <c r="N1474" s="162"/>
      <c r="AG1474" s="142"/>
      <c r="AH1474" s="142"/>
    </row>
    <row r="1475" spans="13:34" ht="12.75">
      <c r="M1475" s="162"/>
      <c r="N1475" s="162"/>
      <c r="AG1475" s="142"/>
      <c r="AH1475" s="142"/>
    </row>
    <row r="1476" spans="13:34" ht="12.75">
      <c r="M1476" s="162"/>
      <c r="N1476" s="162"/>
      <c r="AG1476" s="142"/>
      <c r="AH1476" s="142"/>
    </row>
    <row r="1477" spans="13:34" ht="12.75">
      <c r="M1477" s="162"/>
      <c r="N1477" s="162"/>
      <c r="AG1477" s="142"/>
      <c r="AH1477" s="142"/>
    </row>
    <row r="1478" spans="13:34" ht="12.75">
      <c r="M1478" s="162"/>
      <c r="N1478" s="162"/>
      <c r="AG1478" s="142"/>
      <c r="AH1478" s="142"/>
    </row>
    <row r="1479" spans="13:34" ht="12.75">
      <c r="M1479" s="162"/>
      <c r="N1479" s="162"/>
      <c r="AG1479" s="142"/>
      <c r="AH1479" s="142"/>
    </row>
    <row r="1480" spans="13:34" ht="12.75">
      <c r="M1480" s="162"/>
      <c r="N1480" s="162"/>
      <c r="AG1480" s="142"/>
      <c r="AH1480" s="142"/>
    </row>
    <row r="1481" spans="13:34" ht="12.75">
      <c r="M1481" s="162"/>
      <c r="N1481" s="162"/>
      <c r="AG1481" s="142"/>
      <c r="AH1481" s="142"/>
    </row>
    <row r="1482" spans="13:34" ht="12.75">
      <c r="M1482" s="162"/>
      <c r="N1482" s="162"/>
      <c r="AG1482" s="142"/>
      <c r="AH1482" s="142"/>
    </row>
    <row r="1483" spans="13:34" ht="12.75">
      <c r="M1483" s="162"/>
      <c r="N1483" s="162"/>
      <c r="AG1483" s="142"/>
      <c r="AH1483" s="142"/>
    </row>
    <row r="1484" spans="13:34" ht="12.75">
      <c r="M1484" s="162"/>
      <c r="N1484" s="162"/>
      <c r="AG1484" s="142"/>
      <c r="AH1484" s="142"/>
    </row>
    <row r="1485" spans="13:34" ht="12.75">
      <c r="M1485" s="162"/>
      <c r="N1485" s="162"/>
      <c r="AG1485" s="142"/>
      <c r="AH1485" s="142"/>
    </row>
    <row r="1486" spans="13:34" ht="12.75">
      <c r="M1486" s="162"/>
      <c r="N1486" s="162"/>
      <c r="AG1486" s="142"/>
      <c r="AH1486" s="142"/>
    </row>
    <row r="1487" spans="13:34" ht="12.75">
      <c r="M1487" s="162"/>
      <c r="N1487" s="162"/>
      <c r="AG1487" s="142"/>
      <c r="AH1487" s="142"/>
    </row>
    <row r="1488" spans="13:34" ht="12.75">
      <c r="M1488" s="162"/>
      <c r="N1488" s="162"/>
      <c r="AG1488" s="142"/>
      <c r="AH1488" s="142"/>
    </row>
    <row r="1489" spans="13:34" ht="12.75">
      <c r="M1489" s="162"/>
      <c r="N1489" s="162"/>
      <c r="AG1489" s="142"/>
      <c r="AH1489" s="142"/>
    </row>
    <row r="1490" spans="13:34" ht="12.75">
      <c r="M1490" s="162"/>
      <c r="N1490" s="162"/>
      <c r="AG1490" s="142"/>
      <c r="AH1490" s="142"/>
    </row>
    <row r="1491" spans="13:34" ht="12.75">
      <c r="M1491" s="162"/>
      <c r="N1491" s="162"/>
      <c r="AG1491" s="142"/>
      <c r="AH1491" s="142"/>
    </row>
    <row r="1492" spans="13:34" ht="12.75">
      <c r="M1492" s="162"/>
      <c r="N1492" s="162"/>
      <c r="AG1492" s="142"/>
      <c r="AH1492" s="142"/>
    </row>
    <row r="1493" spans="13:34" ht="12.75">
      <c r="M1493" s="162"/>
      <c r="N1493" s="162"/>
      <c r="AG1493" s="142"/>
      <c r="AH1493" s="142"/>
    </row>
    <row r="1494" spans="13:34" ht="12.75">
      <c r="M1494" s="162"/>
      <c r="N1494" s="162"/>
      <c r="AG1494" s="142"/>
      <c r="AH1494" s="142"/>
    </row>
    <row r="1495" spans="13:34" ht="12.75">
      <c r="M1495" s="162"/>
      <c r="N1495" s="162"/>
      <c r="AG1495" s="142"/>
      <c r="AH1495" s="142"/>
    </row>
    <row r="1496" spans="13:34" ht="12.75">
      <c r="M1496" s="162"/>
      <c r="N1496" s="162"/>
      <c r="AG1496" s="142"/>
      <c r="AH1496" s="142"/>
    </row>
    <row r="1497" spans="13:34" ht="12.75">
      <c r="M1497" s="162"/>
      <c r="N1497" s="162"/>
      <c r="AG1497" s="142"/>
      <c r="AH1497" s="142"/>
    </row>
    <row r="1498" spans="13:34" ht="12.75">
      <c r="M1498" s="162"/>
      <c r="N1498" s="162"/>
      <c r="AG1498" s="142"/>
      <c r="AH1498" s="142"/>
    </row>
    <row r="1499" spans="13:34" ht="12.75">
      <c r="M1499" s="162"/>
      <c r="N1499" s="162"/>
      <c r="AG1499" s="142"/>
      <c r="AH1499" s="142"/>
    </row>
    <row r="1500" spans="13:34" ht="12.75">
      <c r="M1500" s="162"/>
      <c r="N1500" s="162"/>
      <c r="AG1500" s="142"/>
      <c r="AH1500" s="142"/>
    </row>
    <row r="1501" spans="13:34" ht="12.75">
      <c r="M1501" s="162"/>
      <c r="N1501" s="162"/>
      <c r="AG1501" s="142"/>
      <c r="AH1501" s="142"/>
    </row>
    <row r="1502" spans="13:34" ht="12.75">
      <c r="M1502" s="162"/>
      <c r="N1502" s="162"/>
      <c r="AG1502" s="142"/>
      <c r="AH1502" s="142"/>
    </row>
    <row r="1503" spans="13:34" ht="12.75">
      <c r="M1503" s="162"/>
      <c r="N1503" s="162"/>
      <c r="AG1503" s="142"/>
      <c r="AH1503" s="142"/>
    </row>
    <row r="1504" spans="13:34" ht="12.75">
      <c r="M1504" s="162"/>
      <c r="N1504" s="162"/>
      <c r="AG1504" s="142"/>
      <c r="AH1504" s="142"/>
    </row>
    <row r="1505" spans="13:34" ht="12.75">
      <c r="M1505" s="162"/>
      <c r="N1505" s="162"/>
      <c r="AG1505" s="142"/>
      <c r="AH1505" s="142"/>
    </row>
    <row r="1506" spans="13:34" ht="12.75">
      <c r="M1506" s="162"/>
      <c r="N1506" s="162"/>
      <c r="AG1506" s="142"/>
      <c r="AH1506" s="142"/>
    </row>
    <row r="1507" spans="13:34" ht="12.75">
      <c r="M1507" s="162"/>
      <c r="N1507" s="162"/>
      <c r="AG1507" s="142"/>
      <c r="AH1507" s="142"/>
    </row>
    <row r="1508" spans="13:34" ht="12.75">
      <c r="M1508" s="162"/>
      <c r="N1508" s="162"/>
      <c r="AG1508" s="142"/>
      <c r="AH1508" s="142"/>
    </row>
    <row r="1509" spans="13:34" ht="12.75">
      <c r="M1509" s="162"/>
      <c r="N1509" s="162"/>
      <c r="AG1509" s="142"/>
      <c r="AH1509" s="142"/>
    </row>
    <row r="1510" spans="13:34" ht="12.75">
      <c r="M1510" s="162"/>
      <c r="N1510" s="162"/>
      <c r="AG1510" s="142"/>
      <c r="AH1510" s="142"/>
    </row>
    <row r="1511" spans="13:34" ht="12.75">
      <c r="M1511" s="162"/>
      <c r="N1511" s="162"/>
      <c r="AG1511" s="142"/>
      <c r="AH1511" s="142"/>
    </row>
    <row r="1512" spans="13:34" ht="12.75">
      <c r="M1512" s="162"/>
      <c r="N1512" s="162"/>
      <c r="AG1512" s="142"/>
      <c r="AH1512" s="142"/>
    </row>
    <row r="1513" spans="13:34" ht="12.75">
      <c r="M1513" s="162"/>
      <c r="N1513" s="162"/>
      <c r="AG1513" s="142"/>
      <c r="AH1513" s="142"/>
    </row>
    <row r="1514" spans="13:34" ht="12.75">
      <c r="M1514" s="162"/>
      <c r="N1514" s="162"/>
      <c r="AG1514" s="142"/>
      <c r="AH1514" s="142"/>
    </row>
    <row r="1515" spans="13:34" ht="12.75">
      <c r="M1515" s="162"/>
      <c r="N1515" s="162"/>
      <c r="AG1515" s="142"/>
      <c r="AH1515" s="142"/>
    </row>
    <row r="1516" spans="13:34" ht="12.75">
      <c r="M1516" s="162"/>
      <c r="N1516" s="162"/>
      <c r="AG1516" s="142"/>
      <c r="AH1516" s="142"/>
    </row>
    <row r="1517" spans="13:34" ht="12.75">
      <c r="M1517" s="162"/>
      <c r="N1517" s="162"/>
      <c r="AG1517" s="142"/>
      <c r="AH1517" s="142"/>
    </row>
    <row r="1518" spans="13:34" ht="12.75">
      <c r="M1518" s="162"/>
      <c r="N1518" s="162"/>
      <c r="AG1518" s="142"/>
      <c r="AH1518" s="142"/>
    </row>
    <row r="1519" spans="13:34" ht="12.75">
      <c r="M1519" s="162"/>
      <c r="N1519" s="162"/>
      <c r="AG1519" s="142"/>
      <c r="AH1519" s="142"/>
    </row>
    <row r="1520" spans="13:34" ht="12.75">
      <c r="M1520" s="162"/>
      <c r="N1520" s="162"/>
      <c r="AG1520" s="142"/>
      <c r="AH1520" s="142"/>
    </row>
    <row r="1521" spans="13:34" ht="12.75">
      <c r="M1521" s="162"/>
      <c r="N1521" s="162"/>
      <c r="AG1521" s="142"/>
      <c r="AH1521" s="142"/>
    </row>
    <row r="1522" spans="13:34" ht="12.75">
      <c r="M1522" s="162"/>
      <c r="N1522" s="162"/>
      <c r="AG1522" s="142"/>
      <c r="AH1522" s="142"/>
    </row>
    <row r="1523" spans="13:34" ht="12.75">
      <c r="M1523" s="162"/>
      <c r="N1523" s="162"/>
      <c r="AG1523" s="142"/>
      <c r="AH1523" s="142"/>
    </row>
    <row r="1524" spans="13:34" ht="12.75">
      <c r="M1524" s="162"/>
      <c r="N1524" s="162"/>
      <c r="AG1524" s="142"/>
      <c r="AH1524" s="142"/>
    </row>
    <row r="1525" spans="13:34" ht="12.75">
      <c r="M1525" s="162"/>
      <c r="N1525" s="162"/>
      <c r="AG1525" s="142"/>
      <c r="AH1525" s="142"/>
    </row>
    <row r="1526" spans="13:34" ht="12.75">
      <c r="M1526" s="162"/>
      <c r="N1526" s="162"/>
      <c r="AG1526" s="142"/>
      <c r="AH1526" s="142"/>
    </row>
    <row r="1527" spans="13:34" ht="12.75">
      <c r="M1527" s="162"/>
      <c r="N1527" s="162"/>
      <c r="AG1527" s="142"/>
      <c r="AH1527" s="142"/>
    </row>
    <row r="1528" spans="13:34" ht="12.75">
      <c r="M1528" s="162"/>
      <c r="N1528" s="162"/>
      <c r="AG1528" s="142"/>
      <c r="AH1528" s="142"/>
    </row>
    <row r="1529" spans="13:34" ht="12.75">
      <c r="M1529" s="162"/>
      <c r="N1529" s="162"/>
      <c r="AG1529" s="142"/>
      <c r="AH1529" s="142"/>
    </row>
    <row r="1530" spans="13:34" ht="12.75">
      <c r="M1530" s="162"/>
      <c r="N1530" s="162"/>
      <c r="AG1530" s="142"/>
      <c r="AH1530" s="142"/>
    </row>
    <row r="1531" spans="13:34" ht="12.75">
      <c r="M1531" s="162"/>
      <c r="N1531" s="162"/>
      <c r="AG1531" s="142"/>
      <c r="AH1531" s="142"/>
    </row>
    <row r="1532" spans="13:34" ht="12.75">
      <c r="M1532" s="162"/>
      <c r="N1532" s="162"/>
      <c r="AG1532" s="142"/>
      <c r="AH1532" s="142"/>
    </row>
    <row r="1533" spans="13:34" ht="12.75">
      <c r="M1533" s="162"/>
      <c r="N1533" s="162"/>
      <c r="AG1533" s="142"/>
      <c r="AH1533" s="142"/>
    </row>
    <row r="1534" spans="13:34" ht="12.75">
      <c r="M1534" s="162"/>
      <c r="N1534" s="162"/>
      <c r="AG1534" s="142"/>
      <c r="AH1534" s="142"/>
    </row>
    <row r="1535" spans="13:34" ht="12.75">
      <c r="M1535" s="162"/>
      <c r="N1535" s="162"/>
      <c r="AG1535" s="142"/>
      <c r="AH1535" s="142"/>
    </row>
    <row r="1536" spans="13:34" ht="12.75">
      <c r="M1536" s="162"/>
      <c r="N1536" s="162"/>
      <c r="AG1536" s="142"/>
      <c r="AH1536" s="142"/>
    </row>
    <row r="1537" spans="13:34" ht="12.75">
      <c r="M1537" s="162"/>
      <c r="N1537" s="162"/>
      <c r="AG1537" s="142"/>
      <c r="AH1537" s="142"/>
    </row>
    <row r="1538" spans="13:34" ht="12.75">
      <c r="M1538" s="162"/>
      <c r="N1538" s="162"/>
      <c r="AG1538" s="142"/>
      <c r="AH1538" s="142"/>
    </row>
    <row r="1539" spans="13:34" ht="12.75">
      <c r="M1539" s="162"/>
      <c r="N1539" s="162"/>
      <c r="AG1539" s="142"/>
      <c r="AH1539" s="142"/>
    </row>
    <row r="1540" spans="13:34" ht="12.75">
      <c r="M1540" s="162"/>
      <c r="N1540" s="162"/>
      <c r="AG1540" s="142"/>
      <c r="AH1540" s="142"/>
    </row>
    <row r="1541" spans="13:34" ht="12.75">
      <c r="M1541" s="162"/>
      <c r="N1541" s="162"/>
      <c r="AG1541" s="142"/>
      <c r="AH1541" s="142"/>
    </row>
    <row r="1542" spans="13:34" ht="12.75">
      <c r="M1542" s="162"/>
      <c r="N1542" s="162"/>
      <c r="AG1542" s="142"/>
      <c r="AH1542" s="142"/>
    </row>
    <row r="1543" spans="13:34" ht="12.75">
      <c r="M1543" s="162"/>
      <c r="N1543" s="162"/>
      <c r="AG1543" s="142"/>
      <c r="AH1543" s="142"/>
    </row>
    <row r="1544" spans="13:34" ht="12.75">
      <c r="M1544" s="162"/>
      <c r="N1544" s="162"/>
      <c r="AG1544" s="142"/>
      <c r="AH1544" s="142"/>
    </row>
    <row r="1545" spans="13:34" ht="12.75">
      <c r="M1545" s="162"/>
      <c r="N1545" s="162"/>
      <c r="AG1545" s="142"/>
      <c r="AH1545" s="142"/>
    </row>
    <row r="1546" spans="13:34" ht="12.75">
      <c r="M1546" s="162"/>
      <c r="N1546" s="162"/>
      <c r="AG1546" s="142"/>
      <c r="AH1546" s="142"/>
    </row>
    <row r="1547" spans="13:34" ht="12.75">
      <c r="M1547" s="162"/>
      <c r="N1547" s="162"/>
      <c r="AG1547" s="142"/>
      <c r="AH1547" s="142"/>
    </row>
    <row r="1548" spans="13:34" ht="12.75">
      <c r="M1548" s="162"/>
      <c r="N1548" s="162"/>
      <c r="AG1548" s="142"/>
      <c r="AH1548" s="142"/>
    </row>
    <row r="1549" spans="13:34" ht="12.75">
      <c r="M1549" s="162"/>
      <c r="N1549" s="162"/>
      <c r="AG1549" s="142"/>
      <c r="AH1549" s="142"/>
    </row>
    <row r="1550" spans="13:34" ht="12.75">
      <c r="M1550" s="162"/>
      <c r="N1550" s="162"/>
      <c r="AG1550" s="142"/>
      <c r="AH1550" s="142"/>
    </row>
    <row r="1551" spans="13:34" ht="12.75">
      <c r="M1551" s="162"/>
      <c r="N1551" s="162"/>
      <c r="AG1551" s="142"/>
      <c r="AH1551" s="142"/>
    </row>
    <row r="1552" spans="13:34" ht="12.75">
      <c r="M1552" s="162"/>
      <c r="N1552" s="162"/>
      <c r="AG1552" s="142"/>
      <c r="AH1552" s="142"/>
    </row>
    <row r="1553" spans="13:34" ht="12.75">
      <c r="M1553" s="162"/>
      <c r="N1553" s="162"/>
      <c r="AG1553" s="142"/>
      <c r="AH1553" s="142"/>
    </row>
    <row r="1554" spans="13:34" ht="12.75">
      <c r="M1554" s="162"/>
      <c r="N1554" s="162"/>
      <c r="AG1554" s="142"/>
      <c r="AH1554" s="142"/>
    </row>
    <row r="1555" spans="13:34" ht="12.75">
      <c r="M1555" s="162"/>
      <c r="N1555" s="162"/>
      <c r="AG1555" s="142"/>
      <c r="AH1555" s="142"/>
    </row>
    <row r="1556" spans="13:34" ht="12.75">
      <c r="M1556" s="162"/>
      <c r="N1556" s="162"/>
      <c r="AG1556" s="142"/>
      <c r="AH1556" s="142"/>
    </row>
    <row r="1557" spans="13:34" ht="12.75">
      <c r="M1557" s="162"/>
      <c r="N1557" s="162"/>
      <c r="AG1557" s="142"/>
      <c r="AH1557" s="142"/>
    </row>
    <row r="1558" spans="13:34" ht="12.75">
      <c r="M1558" s="162"/>
      <c r="N1558" s="162"/>
      <c r="AG1558" s="142"/>
      <c r="AH1558" s="142"/>
    </row>
    <row r="1559" spans="13:34" ht="12.75">
      <c r="M1559" s="162"/>
      <c r="N1559" s="162"/>
      <c r="AG1559" s="142"/>
      <c r="AH1559" s="142"/>
    </row>
    <row r="1560" spans="13:34" ht="12.75">
      <c r="M1560" s="162"/>
      <c r="N1560" s="162"/>
      <c r="AG1560" s="142"/>
      <c r="AH1560" s="142"/>
    </row>
    <row r="1561" spans="13:34" ht="12.75">
      <c r="M1561" s="162"/>
      <c r="N1561" s="162"/>
      <c r="AG1561" s="142"/>
      <c r="AH1561" s="142"/>
    </row>
    <row r="1562" spans="13:34" ht="12.75">
      <c r="M1562" s="162"/>
      <c r="N1562" s="162"/>
      <c r="AG1562" s="142"/>
      <c r="AH1562" s="142"/>
    </row>
    <row r="1563" spans="13:34" ht="12.75">
      <c r="M1563" s="162"/>
      <c r="N1563" s="162"/>
      <c r="AG1563" s="142"/>
      <c r="AH1563" s="142"/>
    </row>
    <row r="1564" spans="13:34" ht="12.75">
      <c r="M1564" s="162"/>
      <c r="N1564" s="162"/>
      <c r="AG1564" s="142"/>
      <c r="AH1564" s="142"/>
    </row>
    <row r="1565" spans="13:34" ht="12.75">
      <c r="M1565" s="162"/>
      <c r="N1565" s="162"/>
      <c r="AG1565" s="142"/>
      <c r="AH1565" s="142"/>
    </row>
    <row r="1566" spans="13:34" ht="12.75">
      <c r="M1566" s="162"/>
      <c r="N1566" s="162"/>
      <c r="AG1566" s="142"/>
      <c r="AH1566" s="142"/>
    </row>
    <row r="1567" spans="13:34" ht="12.75">
      <c r="M1567" s="162"/>
      <c r="N1567" s="162"/>
      <c r="AG1567" s="142"/>
      <c r="AH1567" s="142"/>
    </row>
    <row r="1568" spans="13:34" ht="12.75">
      <c r="M1568" s="162"/>
      <c r="N1568" s="162"/>
      <c r="AG1568" s="142"/>
      <c r="AH1568" s="142"/>
    </row>
    <row r="1569" spans="13:34" ht="12.75">
      <c r="M1569" s="162"/>
      <c r="N1569" s="162"/>
      <c r="AG1569" s="142"/>
      <c r="AH1569" s="142"/>
    </row>
    <row r="1570" spans="13:34" ht="12.75">
      <c r="M1570" s="162"/>
      <c r="N1570" s="162"/>
      <c r="AG1570" s="142"/>
      <c r="AH1570" s="142"/>
    </row>
    <row r="1571" spans="13:34" ht="12.75">
      <c r="M1571" s="162"/>
      <c r="N1571" s="162"/>
      <c r="AG1571" s="142"/>
      <c r="AH1571" s="142"/>
    </row>
    <row r="1572" spans="13:34" ht="12.75">
      <c r="M1572" s="162"/>
      <c r="N1572" s="162"/>
      <c r="AG1572" s="142"/>
      <c r="AH1572" s="142"/>
    </row>
    <row r="1573" spans="13:34" ht="12.75">
      <c r="M1573" s="162"/>
      <c r="N1573" s="162"/>
      <c r="AG1573" s="142"/>
      <c r="AH1573" s="142"/>
    </row>
    <row r="1574" spans="13:34" ht="12.75">
      <c r="M1574" s="162"/>
      <c r="N1574" s="162"/>
      <c r="AG1574" s="142"/>
      <c r="AH1574" s="142"/>
    </row>
    <row r="1575" spans="13:34" ht="12.75">
      <c r="M1575" s="162"/>
      <c r="N1575" s="162"/>
      <c r="AG1575" s="142"/>
      <c r="AH1575" s="142"/>
    </row>
    <row r="1576" spans="13:34" ht="12.75">
      <c r="M1576" s="162"/>
      <c r="N1576" s="162"/>
      <c r="AG1576" s="142"/>
      <c r="AH1576" s="142"/>
    </row>
    <row r="1577" spans="13:34" ht="12.75">
      <c r="M1577" s="162"/>
      <c r="N1577" s="162"/>
      <c r="AG1577" s="142"/>
      <c r="AH1577" s="142"/>
    </row>
    <row r="1578" spans="13:34" ht="12.75">
      <c r="M1578" s="162"/>
      <c r="N1578" s="162"/>
      <c r="AG1578" s="142"/>
      <c r="AH1578" s="142"/>
    </row>
    <row r="1579" spans="13:34" ht="12.75">
      <c r="M1579" s="162"/>
      <c r="N1579" s="162"/>
      <c r="AG1579" s="142"/>
      <c r="AH1579" s="142"/>
    </row>
    <row r="1580" spans="13:34" ht="12.75">
      <c r="M1580" s="162"/>
      <c r="N1580" s="162"/>
      <c r="AG1580" s="142"/>
      <c r="AH1580" s="142"/>
    </row>
    <row r="1581" spans="13:34" ht="12.75">
      <c r="M1581" s="162"/>
      <c r="N1581" s="162"/>
      <c r="AG1581" s="142"/>
      <c r="AH1581" s="142"/>
    </row>
    <row r="1582" spans="13:34" ht="12.75">
      <c r="M1582" s="162"/>
      <c r="N1582" s="162"/>
      <c r="AG1582" s="142"/>
      <c r="AH1582" s="142"/>
    </row>
    <row r="1583" spans="13:34" ht="12.75">
      <c r="M1583" s="162"/>
      <c r="N1583" s="162"/>
      <c r="AG1583" s="142"/>
      <c r="AH1583" s="142"/>
    </row>
    <row r="1584" spans="13:34" ht="12.75">
      <c r="M1584" s="162"/>
      <c r="N1584" s="162"/>
      <c r="AG1584" s="142"/>
      <c r="AH1584" s="142"/>
    </row>
    <row r="1585" spans="13:34" ht="12.75">
      <c r="M1585" s="162"/>
      <c r="N1585" s="162"/>
      <c r="AG1585" s="142"/>
      <c r="AH1585" s="142"/>
    </row>
    <row r="1586" spans="13:34" ht="12.75">
      <c r="M1586" s="162"/>
      <c r="N1586" s="162"/>
      <c r="AG1586" s="142"/>
      <c r="AH1586" s="142"/>
    </row>
    <row r="1587" spans="13:34" ht="12.75">
      <c r="M1587" s="162"/>
      <c r="N1587" s="162"/>
      <c r="AG1587" s="142"/>
      <c r="AH1587" s="142"/>
    </row>
    <row r="1588" spans="13:34" ht="12.75">
      <c r="M1588" s="162"/>
      <c r="N1588" s="162"/>
      <c r="AG1588" s="142"/>
      <c r="AH1588" s="142"/>
    </row>
    <row r="1589" spans="13:34" ht="12.75">
      <c r="M1589" s="162"/>
      <c r="N1589" s="162"/>
      <c r="AG1589" s="142"/>
      <c r="AH1589" s="142"/>
    </row>
    <row r="1590" spans="13:34" ht="12.75">
      <c r="M1590" s="162"/>
      <c r="N1590" s="162"/>
      <c r="AG1590" s="142"/>
      <c r="AH1590" s="142"/>
    </row>
    <row r="1591" spans="13:34" ht="12.75">
      <c r="M1591" s="162"/>
      <c r="N1591" s="162"/>
      <c r="AG1591" s="142"/>
      <c r="AH1591" s="142"/>
    </row>
    <row r="1592" spans="13:34" ht="12.75">
      <c r="M1592" s="162"/>
      <c r="N1592" s="162"/>
      <c r="AG1592" s="142"/>
      <c r="AH1592" s="142"/>
    </row>
    <row r="1593" spans="13:34" ht="12.75">
      <c r="M1593" s="162"/>
      <c r="N1593" s="162"/>
      <c r="AG1593" s="142"/>
      <c r="AH1593" s="142"/>
    </row>
    <row r="1594" spans="13:34" ht="12.75">
      <c r="M1594" s="162"/>
      <c r="N1594" s="162"/>
      <c r="AG1594" s="142"/>
      <c r="AH1594" s="142"/>
    </row>
    <row r="1595" spans="13:34" ht="12.75">
      <c r="M1595" s="162"/>
      <c r="N1595" s="162"/>
      <c r="AG1595" s="142"/>
      <c r="AH1595" s="142"/>
    </row>
    <row r="1596" spans="13:34" ht="12.75">
      <c r="M1596" s="162"/>
      <c r="N1596" s="162"/>
      <c r="AG1596" s="142"/>
      <c r="AH1596" s="142"/>
    </row>
    <row r="1597" spans="13:34" ht="12.75">
      <c r="M1597" s="162"/>
      <c r="N1597" s="162"/>
      <c r="AG1597" s="142"/>
      <c r="AH1597" s="142"/>
    </row>
    <row r="1598" spans="13:34" ht="12.75">
      <c r="M1598" s="162"/>
      <c r="N1598" s="162"/>
      <c r="AG1598" s="142"/>
      <c r="AH1598" s="142"/>
    </row>
    <row r="1599" spans="13:34" ht="12.75">
      <c r="M1599" s="162"/>
      <c r="N1599" s="162"/>
      <c r="AG1599" s="142"/>
      <c r="AH1599" s="142"/>
    </row>
    <row r="1600" spans="13:34" ht="12.75">
      <c r="M1600" s="162"/>
      <c r="N1600" s="162"/>
      <c r="AG1600" s="142"/>
      <c r="AH1600" s="142"/>
    </row>
    <row r="1601" spans="13:34" ht="12.75">
      <c r="M1601" s="162"/>
      <c r="N1601" s="162"/>
      <c r="AG1601" s="142"/>
      <c r="AH1601" s="142"/>
    </row>
    <row r="1602" spans="13:34" ht="12.75">
      <c r="M1602" s="162"/>
      <c r="N1602" s="162"/>
      <c r="AG1602" s="142"/>
      <c r="AH1602" s="142"/>
    </row>
    <row r="1603" spans="13:34" ht="12.75">
      <c r="M1603" s="162"/>
      <c r="N1603" s="162"/>
      <c r="AG1603" s="142"/>
      <c r="AH1603" s="142"/>
    </row>
    <row r="1604" spans="13:34" ht="12.75">
      <c r="M1604" s="162"/>
      <c r="N1604" s="162"/>
      <c r="AG1604" s="142"/>
      <c r="AH1604" s="142"/>
    </row>
    <row r="1605" spans="13:34" ht="12.75">
      <c r="M1605" s="162"/>
      <c r="N1605" s="162"/>
      <c r="AG1605" s="142"/>
      <c r="AH1605" s="142"/>
    </row>
    <row r="1606" spans="13:34" ht="12.75">
      <c r="M1606" s="162"/>
      <c r="N1606" s="162"/>
      <c r="AG1606" s="142"/>
      <c r="AH1606" s="142"/>
    </row>
    <row r="1607" spans="13:34" ht="12.75">
      <c r="M1607" s="162"/>
      <c r="N1607" s="162"/>
      <c r="AG1607" s="142"/>
      <c r="AH1607" s="142"/>
    </row>
    <row r="1608" spans="13:34" ht="12.75">
      <c r="M1608" s="162"/>
      <c r="N1608" s="162"/>
      <c r="AG1608" s="142"/>
      <c r="AH1608" s="142"/>
    </row>
    <row r="1609" spans="13:34" ht="12.75">
      <c r="M1609" s="162"/>
      <c r="N1609" s="162"/>
      <c r="AG1609" s="142"/>
      <c r="AH1609" s="142"/>
    </row>
    <row r="1610" spans="13:34" ht="12.75">
      <c r="M1610" s="162"/>
      <c r="N1610" s="162"/>
      <c r="AG1610" s="142"/>
      <c r="AH1610" s="142"/>
    </row>
    <row r="1611" spans="13:34" ht="12.75">
      <c r="M1611" s="162"/>
      <c r="N1611" s="162"/>
      <c r="AG1611" s="142"/>
      <c r="AH1611" s="142"/>
    </row>
    <row r="1612" spans="13:34" ht="12.75">
      <c r="M1612" s="162"/>
      <c r="N1612" s="162"/>
      <c r="AG1612" s="142"/>
      <c r="AH1612" s="142"/>
    </row>
    <row r="1613" spans="13:34" ht="12.75">
      <c r="M1613" s="162"/>
      <c r="N1613" s="162"/>
      <c r="AG1613" s="142"/>
      <c r="AH1613" s="142"/>
    </row>
    <row r="1614" spans="13:34" ht="12.75">
      <c r="M1614" s="162"/>
      <c r="N1614" s="162"/>
      <c r="AG1614" s="142"/>
      <c r="AH1614" s="142"/>
    </row>
    <row r="1615" spans="13:34" ht="12.75">
      <c r="M1615" s="162"/>
      <c r="N1615" s="162"/>
      <c r="AG1615" s="142"/>
      <c r="AH1615" s="142"/>
    </row>
    <row r="1616" spans="13:34" ht="12.75">
      <c r="M1616" s="162"/>
      <c r="N1616" s="162"/>
      <c r="AG1616" s="142"/>
      <c r="AH1616" s="142"/>
    </row>
    <row r="1617" spans="13:34" ht="12.75">
      <c r="M1617" s="162"/>
      <c r="N1617" s="162"/>
      <c r="AG1617" s="142"/>
      <c r="AH1617" s="142"/>
    </row>
    <row r="1618" spans="13:34" ht="12.75">
      <c r="M1618" s="162"/>
      <c r="N1618" s="162"/>
      <c r="AG1618" s="142"/>
      <c r="AH1618" s="142"/>
    </row>
    <row r="1619" spans="13:34" ht="12.75">
      <c r="M1619" s="162"/>
      <c r="N1619" s="162"/>
      <c r="AG1619" s="142"/>
      <c r="AH1619" s="142"/>
    </row>
    <row r="1620" spans="13:34" ht="12.75">
      <c r="M1620" s="162"/>
      <c r="N1620" s="162"/>
      <c r="AG1620" s="142"/>
      <c r="AH1620" s="142"/>
    </row>
    <row r="1621" spans="13:34" ht="12.75">
      <c r="M1621" s="162"/>
      <c r="N1621" s="162"/>
      <c r="AG1621" s="142"/>
      <c r="AH1621" s="142"/>
    </row>
    <row r="1622" spans="13:34" ht="12.75">
      <c r="M1622" s="162"/>
      <c r="N1622" s="162"/>
      <c r="AG1622" s="142"/>
      <c r="AH1622" s="142"/>
    </row>
    <row r="1623" spans="13:34" ht="12.75">
      <c r="M1623" s="162"/>
      <c r="N1623" s="162"/>
      <c r="AG1623" s="142"/>
      <c r="AH1623" s="142"/>
    </row>
    <row r="1624" spans="13:34" ht="12.75">
      <c r="M1624" s="162"/>
      <c r="N1624" s="162"/>
      <c r="AG1624" s="142"/>
      <c r="AH1624" s="142"/>
    </row>
    <row r="1625" spans="13:34" ht="12.75">
      <c r="M1625" s="162"/>
      <c r="N1625" s="162"/>
      <c r="AG1625" s="142"/>
      <c r="AH1625" s="142"/>
    </row>
    <row r="1626" spans="13:34" ht="12.75">
      <c r="M1626" s="162"/>
      <c r="N1626" s="162"/>
      <c r="AG1626" s="142"/>
      <c r="AH1626" s="142"/>
    </row>
    <row r="1627" spans="13:34" ht="12.75">
      <c r="M1627" s="162"/>
      <c r="N1627" s="162"/>
      <c r="AG1627" s="142"/>
      <c r="AH1627" s="142"/>
    </row>
    <row r="1628" spans="13:34" ht="12.75">
      <c r="M1628" s="162"/>
      <c r="N1628" s="162"/>
      <c r="AG1628" s="142"/>
      <c r="AH1628" s="142"/>
    </row>
    <row r="1629" spans="13:34" ht="12.75">
      <c r="M1629" s="162"/>
      <c r="N1629" s="162"/>
      <c r="AG1629" s="142"/>
      <c r="AH1629" s="142"/>
    </row>
    <row r="1630" spans="13:34" ht="12.75">
      <c r="M1630" s="162"/>
      <c r="N1630" s="162"/>
      <c r="AG1630" s="142"/>
      <c r="AH1630" s="142"/>
    </row>
    <row r="1631" spans="13:34" ht="12.75">
      <c r="M1631" s="162"/>
      <c r="N1631" s="162"/>
      <c r="AG1631" s="142"/>
      <c r="AH1631" s="142"/>
    </row>
    <row r="1632" spans="13:34" ht="12.75">
      <c r="M1632" s="162"/>
      <c r="N1632" s="162"/>
      <c r="AG1632" s="142"/>
      <c r="AH1632" s="142"/>
    </row>
    <row r="1633" spans="13:34" ht="12.75">
      <c r="M1633" s="162"/>
      <c r="N1633" s="162"/>
      <c r="AG1633" s="142"/>
      <c r="AH1633" s="142"/>
    </row>
    <row r="1634" spans="13:34" ht="12.75">
      <c r="M1634" s="162"/>
      <c r="N1634" s="162"/>
      <c r="AG1634" s="142"/>
      <c r="AH1634" s="142"/>
    </row>
    <row r="1635" spans="13:34" ht="12.75">
      <c r="M1635" s="162"/>
      <c r="N1635" s="162"/>
      <c r="AG1635" s="142"/>
      <c r="AH1635" s="142"/>
    </row>
    <row r="1636" spans="13:34" ht="12.75">
      <c r="M1636" s="162"/>
      <c r="N1636" s="162"/>
      <c r="AG1636" s="142"/>
      <c r="AH1636" s="142"/>
    </row>
    <row r="1637" spans="13:34" ht="12.75">
      <c r="M1637" s="162"/>
      <c r="N1637" s="162"/>
      <c r="AG1637" s="142"/>
      <c r="AH1637" s="142"/>
    </row>
    <row r="1638" spans="13:34" ht="12.75">
      <c r="M1638" s="162"/>
      <c r="N1638" s="162"/>
      <c r="AG1638" s="142"/>
      <c r="AH1638" s="142"/>
    </row>
    <row r="1639" spans="13:34" ht="12.75">
      <c r="M1639" s="162"/>
      <c r="N1639" s="162"/>
      <c r="AG1639" s="142"/>
      <c r="AH1639" s="142"/>
    </row>
    <row r="1640" spans="13:34" ht="12.75">
      <c r="M1640" s="162"/>
      <c r="N1640" s="162"/>
      <c r="AG1640" s="142"/>
      <c r="AH1640" s="142"/>
    </row>
    <row r="1641" spans="13:34" ht="12.75">
      <c r="M1641" s="162"/>
      <c r="N1641" s="162"/>
      <c r="AG1641" s="142"/>
      <c r="AH1641" s="142"/>
    </row>
    <row r="1642" spans="13:34" ht="12.75">
      <c r="M1642" s="162"/>
      <c r="N1642" s="162"/>
      <c r="AG1642" s="142"/>
      <c r="AH1642" s="142"/>
    </row>
    <row r="1643" spans="13:34" ht="12.75">
      <c r="M1643" s="162"/>
      <c r="N1643" s="162"/>
      <c r="AG1643" s="142"/>
      <c r="AH1643" s="142"/>
    </row>
    <row r="1644" spans="13:34" ht="12.75">
      <c r="M1644" s="162"/>
      <c r="N1644" s="162"/>
      <c r="AG1644" s="142"/>
      <c r="AH1644" s="142"/>
    </row>
    <row r="1645" spans="13:34" ht="12.75">
      <c r="M1645" s="162"/>
      <c r="N1645" s="162"/>
      <c r="AG1645" s="142"/>
      <c r="AH1645" s="142"/>
    </row>
    <row r="1646" spans="13:34" ht="12.75">
      <c r="M1646" s="162"/>
      <c r="N1646" s="162"/>
      <c r="AG1646" s="142"/>
      <c r="AH1646" s="142"/>
    </row>
    <row r="1647" spans="13:34" ht="12.75">
      <c r="M1647" s="162"/>
      <c r="N1647" s="162"/>
      <c r="AG1647" s="142"/>
      <c r="AH1647" s="142"/>
    </row>
    <row r="1648" spans="13:34" ht="12.75">
      <c r="M1648" s="162"/>
      <c r="N1648" s="162"/>
      <c r="AG1648" s="142"/>
      <c r="AH1648" s="142"/>
    </row>
    <row r="1649" spans="13:34" ht="12.75">
      <c r="M1649" s="162"/>
      <c r="N1649" s="162"/>
      <c r="AG1649" s="142"/>
      <c r="AH1649" s="142"/>
    </row>
    <row r="1650" spans="13:34" ht="12.75">
      <c r="M1650" s="162"/>
      <c r="N1650" s="162"/>
      <c r="AG1650" s="142"/>
      <c r="AH1650" s="142"/>
    </row>
    <row r="1651" spans="13:34" ht="12.75">
      <c r="M1651" s="162"/>
      <c r="N1651" s="162"/>
      <c r="AG1651" s="142"/>
      <c r="AH1651" s="142"/>
    </row>
    <row r="1652" spans="13:34" ht="12.75">
      <c r="M1652" s="162"/>
      <c r="N1652" s="162"/>
      <c r="AG1652" s="142"/>
      <c r="AH1652" s="142"/>
    </row>
    <row r="1653" spans="13:34" ht="12.75">
      <c r="M1653" s="162"/>
      <c r="N1653" s="162"/>
      <c r="AG1653" s="142"/>
      <c r="AH1653" s="142"/>
    </row>
    <row r="1654" spans="13:34" ht="12.75">
      <c r="M1654" s="162"/>
      <c r="N1654" s="162"/>
      <c r="AG1654" s="142"/>
      <c r="AH1654" s="142"/>
    </row>
    <row r="1655" spans="13:34" ht="12.75">
      <c r="M1655" s="162"/>
      <c r="N1655" s="162"/>
      <c r="AG1655" s="142"/>
      <c r="AH1655" s="142"/>
    </row>
    <row r="1656" spans="13:34" ht="12.75">
      <c r="M1656" s="162"/>
      <c r="N1656" s="162"/>
      <c r="AG1656" s="142"/>
      <c r="AH1656" s="142"/>
    </row>
    <row r="1657" spans="13:34" ht="12.75">
      <c r="M1657" s="162"/>
      <c r="N1657" s="162"/>
      <c r="AG1657" s="142"/>
      <c r="AH1657" s="142"/>
    </row>
    <row r="1658" spans="13:34" ht="12.75">
      <c r="M1658" s="162"/>
      <c r="N1658" s="162"/>
      <c r="AG1658" s="142"/>
      <c r="AH1658" s="142"/>
    </row>
    <row r="1659" spans="13:34" ht="12.75">
      <c r="M1659" s="162"/>
      <c r="N1659" s="162"/>
      <c r="AG1659" s="142"/>
      <c r="AH1659" s="142"/>
    </row>
    <row r="1660" spans="13:34" ht="12.75">
      <c r="M1660" s="162"/>
      <c r="N1660" s="162"/>
      <c r="AG1660" s="142"/>
      <c r="AH1660" s="142"/>
    </row>
    <row r="1661" spans="13:34" ht="12.75">
      <c r="M1661" s="162"/>
      <c r="N1661" s="162"/>
      <c r="AG1661" s="142"/>
      <c r="AH1661" s="142"/>
    </row>
    <row r="1662" spans="13:34" ht="12.75">
      <c r="M1662" s="162"/>
      <c r="N1662" s="162"/>
      <c r="AG1662" s="142"/>
      <c r="AH1662" s="142"/>
    </row>
    <row r="1663" spans="13:34" ht="12.75">
      <c r="M1663" s="162"/>
      <c r="N1663" s="162"/>
      <c r="AG1663" s="142"/>
      <c r="AH1663" s="142"/>
    </row>
    <row r="1664" spans="13:34" ht="12.75">
      <c r="M1664" s="162"/>
      <c r="N1664" s="162"/>
      <c r="AG1664" s="142"/>
      <c r="AH1664" s="142"/>
    </row>
    <row r="1665" spans="13:34" ht="12.75">
      <c r="M1665" s="162"/>
      <c r="N1665" s="162"/>
      <c r="AG1665" s="142"/>
      <c r="AH1665" s="142"/>
    </row>
    <row r="1666" spans="13:34" ht="12.75">
      <c r="M1666" s="162"/>
      <c r="N1666" s="162"/>
      <c r="AG1666" s="142"/>
      <c r="AH1666" s="142"/>
    </row>
    <row r="1667" spans="13:34" ht="12.75">
      <c r="M1667" s="162"/>
      <c r="N1667" s="162"/>
      <c r="AG1667" s="142"/>
      <c r="AH1667" s="142"/>
    </row>
    <row r="1668" spans="13:34" ht="12.75">
      <c r="M1668" s="162"/>
      <c r="N1668" s="162"/>
      <c r="AG1668" s="142"/>
      <c r="AH1668" s="142"/>
    </row>
    <row r="1669" spans="13:34" ht="12.75">
      <c r="M1669" s="162"/>
      <c r="N1669" s="162"/>
      <c r="AG1669" s="142"/>
      <c r="AH1669" s="142"/>
    </row>
    <row r="1670" spans="13:34" ht="12.75">
      <c r="M1670" s="162"/>
      <c r="N1670" s="162"/>
      <c r="AG1670" s="142"/>
      <c r="AH1670" s="142"/>
    </row>
    <row r="1671" spans="13:34" ht="12.75">
      <c r="M1671" s="162"/>
      <c r="N1671" s="162"/>
      <c r="AG1671" s="142"/>
      <c r="AH1671" s="142"/>
    </row>
    <row r="1672" spans="13:34" ht="12.75">
      <c r="M1672" s="162"/>
      <c r="N1672" s="162"/>
      <c r="AG1672" s="142"/>
      <c r="AH1672" s="142"/>
    </row>
    <row r="1673" spans="13:34" ht="12.75">
      <c r="M1673" s="162"/>
      <c r="N1673" s="162"/>
      <c r="AG1673" s="142"/>
      <c r="AH1673" s="142"/>
    </row>
    <row r="1674" spans="13:34" ht="12.75">
      <c r="M1674" s="162"/>
      <c r="N1674" s="162"/>
      <c r="AG1674" s="142"/>
      <c r="AH1674" s="142"/>
    </row>
    <row r="1675" spans="13:34" ht="12.75">
      <c r="M1675" s="162"/>
      <c r="N1675" s="162"/>
      <c r="AG1675" s="142"/>
      <c r="AH1675" s="142"/>
    </row>
    <row r="1676" spans="13:34" ht="12.75">
      <c r="M1676" s="162"/>
      <c r="N1676" s="162"/>
      <c r="AG1676" s="142"/>
      <c r="AH1676" s="142"/>
    </row>
    <row r="1677" spans="13:34" ht="12.75">
      <c r="M1677" s="162"/>
      <c r="N1677" s="162"/>
      <c r="AG1677" s="142"/>
      <c r="AH1677" s="142"/>
    </row>
    <row r="1678" spans="13:34" ht="12.75">
      <c r="M1678" s="162"/>
      <c r="N1678" s="162"/>
      <c r="AG1678" s="142"/>
      <c r="AH1678" s="142"/>
    </row>
    <row r="1679" spans="13:34" ht="12.75">
      <c r="M1679" s="162"/>
      <c r="N1679" s="162"/>
      <c r="AG1679" s="142"/>
      <c r="AH1679" s="142"/>
    </row>
    <row r="1680" spans="13:34" ht="12.75">
      <c r="M1680" s="162"/>
      <c r="N1680" s="162"/>
      <c r="AG1680" s="142"/>
      <c r="AH1680" s="142"/>
    </row>
    <row r="1681" spans="13:34" ht="12.75">
      <c r="M1681" s="162"/>
      <c r="N1681" s="162"/>
      <c r="AG1681" s="142"/>
      <c r="AH1681" s="142"/>
    </row>
    <row r="1682" spans="13:34" ht="12.75">
      <c r="M1682" s="162"/>
      <c r="N1682" s="162"/>
      <c r="AG1682" s="142"/>
      <c r="AH1682" s="142"/>
    </row>
    <row r="1683" spans="13:34" ht="12.75">
      <c r="M1683" s="162"/>
      <c r="N1683" s="162"/>
      <c r="AG1683" s="142"/>
      <c r="AH1683" s="142"/>
    </row>
    <row r="1684" spans="13:34" ht="12.75">
      <c r="M1684" s="162"/>
      <c r="N1684" s="162"/>
      <c r="AG1684" s="142"/>
      <c r="AH1684" s="142"/>
    </row>
    <row r="1685" spans="13:34" ht="12.75">
      <c r="M1685" s="162"/>
      <c r="N1685" s="162"/>
      <c r="AG1685" s="142"/>
      <c r="AH1685" s="142"/>
    </row>
    <row r="1686" spans="13:34" ht="12.75">
      <c r="M1686" s="162"/>
      <c r="N1686" s="162"/>
      <c r="AG1686" s="142"/>
      <c r="AH1686" s="142"/>
    </row>
    <row r="1687" spans="13:34" ht="12.75">
      <c r="M1687" s="162"/>
      <c r="N1687" s="162"/>
      <c r="AG1687" s="142"/>
      <c r="AH1687" s="142"/>
    </row>
    <row r="1688" spans="13:34" ht="12.75">
      <c r="M1688" s="162"/>
      <c r="N1688" s="162"/>
      <c r="AG1688" s="142"/>
      <c r="AH1688" s="142"/>
    </row>
    <row r="1689" spans="13:34" ht="12.75">
      <c r="M1689" s="162"/>
      <c r="N1689" s="162"/>
      <c r="AG1689" s="142"/>
      <c r="AH1689" s="142"/>
    </row>
    <row r="1690" spans="13:34" ht="12.75">
      <c r="M1690" s="162"/>
      <c r="N1690" s="162"/>
      <c r="AG1690" s="142"/>
      <c r="AH1690" s="142"/>
    </row>
    <row r="1691" spans="13:34" ht="12.75">
      <c r="M1691" s="162"/>
      <c r="N1691" s="162"/>
      <c r="AG1691" s="142"/>
      <c r="AH1691" s="142"/>
    </row>
    <row r="1692" spans="13:34" ht="12.75">
      <c r="M1692" s="162"/>
      <c r="N1692" s="162"/>
      <c r="AG1692" s="142"/>
      <c r="AH1692" s="142"/>
    </row>
    <row r="1693" spans="13:34" ht="12.75">
      <c r="M1693" s="162"/>
      <c r="N1693" s="162"/>
      <c r="AG1693" s="142"/>
      <c r="AH1693" s="142"/>
    </row>
    <row r="1694" spans="13:34" ht="12.75">
      <c r="M1694" s="162"/>
      <c r="N1694" s="162"/>
      <c r="AG1694" s="142"/>
      <c r="AH1694" s="142"/>
    </row>
    <row r="1695" spans="13:34" ht="12.75">
      <c r="M1695" s="162"/>
      <c r="N1695" s="162"/>
      <c r="AG1695" s="142"/>
      <c r="AH1695" s="142"/>
    </row>
    <row r="1696" spans="13:34" ht="12.75">
      <c r="M1696" s="162"/>
      <c r="N1696" s="162"/>
      <c r="AG1696" s="142"/>
      <c r="AH1696" s="142"/>
    </row>
    <row r="1697" spans="13:34" ht="12.75">
      <c r="M1697" s="162"/>
      <c r="N1697" s="162"/>
      <c r="AG1697" s="142"/>
      <c r="AH1697" s="142"/>
    </row>
    <row r="1698" spans="13:34" ht="12.75">
      <c r="M1698" s="162"/>
      <c r="N1698" s="162"/>
      <c r="AG1698" s="142"/>
      <c r="AH1698" s="142"/>
    </row>
    <row r="1699" spans="13:34" ht="12.75">
      <c r="M1699" s="162"/>
      <c r="N1699" s="162"/>
      <c r="AG1699" s="142"/>
      <c r="AH1699" s="142"/>
    </row>
    <row r="1700" spans="13:34" ht="12.75">
      <c r="M1700" s="162"/>
      <c r="N1700" s="162"/>
      <c r="AG1700" s="142"/>
      <c r="AH1700" s="142"/>
    </row>
    <row r="1701" spans="13:34" ht="12.75">
      <c r="M1701" s="162"/>
      <c r="N1701" s="162"/>
      <c r="AG1701" s="142"/>
      <c r="AH1701" s="142"/>
    </row>
    <row r="1702" spans="13:34" ht="12.75">
      <c r="M1702" s="162"/>
      <c r="N1702" s="162"/>
      <c r="AG1702" s="142"/>
      <c r="AH1702" s="142"/>
    </row>
    <row r="1703" spans="13:34" ht="12.75">
      <c r="M1703" s="162"/>
      <c r="N1703" s="162"/>
      <c r="AG1703" s="142"/>
      <c r="AH1703" s="142"/>
    </row>
    <row r="1704" spans="13:34" ht="12.75">
      <c r="M1704" s="162"/>
      <c r="N1704" s="162"/>
      <c r="AG1704" s="142"/>
      <c r="AH1704" s="142"/>
    </row>
    <row r="1705" spans="13:34" ht="12.75">
      <c r="M1705" s="162"/>
      <c r="N1705" s="162"/>
      <c r="AG1705" s="142"/>
      <c r="AH1705" s="142"/>
    </row>
    <row r="1706" spans="13:34" ht="12.75">
      <c r="M1706" s="162"/>
      <c r="N1706" s="162"/>
      <c r="AG1706" s="142"/>
      <c r="AH1706" s="142"/>
    </row>
    <row r="1707" spans="13:34" ht="12.75">
      <c r="M1707" s="162"/>
      <c r="N1707" s="162"/>
      <c r="AG1707" s="142"/>
      <c r="AH1707" s="142"/>
    </row>
    <row r="1708" spans="13:34" ht="12.75">
      <c r="M1708" s="162"/>
      <c r="N1708" s="162"/>
      <c r="AG1708" s="142"/>
      <c r="AH1708" s="142"/>
    </row>
    <row r="1709" spans="13:34" ht="12.75">
      <c r="M1709" s="162"/>
      <c r="N1709" s="162"/>
      <c r="AG1709" s="142"/>
      <c r="AH1709" s="142"/>
    </row>
    <row r="1710" spans="13:34" ht="12.75">
      <c r="M1710" s="162"/>
      <c r="N1710" s="162"/>
      <c r="AG1710" s="142"/>
      <c r="AH1710" s="142"/>
    </row>
    <row r="1711" spans="13:34" ht="12.75">
      <c r="M1711" s="162"/>
      <c r="N1711" s="162"/>
      <c r="AG1711" s="142"/>
      <c r="AH1711" s="142"/>
    </row>
    <row r="1712" spans="13:34" ht="12.75">
      <c r="M1712" s="162"/>
      <c r="N1712" s="162"/>
      <c r="AG1712" s="142"/>
      <c r="AH1712" s="142"/>
    </row>
    <row r="1713" spans="13:34" ht="12.75">
      <c r="M1713" s="162"/>
      <c r="N1713" s="162"/>
      <c r="AG1713" s="142"/>
      <c r="AH1713" s="142"/>
    </row>
    <row r="1714" spans="13:34" ht="12.75">
      <c r="M1714" s="162"/>
      <c r="N1714" s="162"/>
      <c r="AG1714" s="142"/>
      <c r="AH1714" s="142"/>
    </row>
    <row r="1715" spans="13:34" ht="12.75">
      <c r="M1715" s="162"/>
      <c r="N1715" s="162"/>
      <c r="AG1715" s="142"/>
      <c r="AH1715" s="142"/>
    </row>
    <row r="1716" spans="13:34" ht="12.75">
      <c r="M1716" s="162"/>
      <c r="N1716" s="162"/>
      <c r="AG1716" s="142"/>
      <c r="AH1716" s="142"/>
    </row>
    <row r="1717" spans="13:34" ht="12.75">
      <c r="M1717" s="162"/>
      <c r="N1717" s="162"/>
      <c r="AG1717" s="142"/>
      <c r="AH1717" s="142"/>
    </row>
    <row r="1718" spans="13:34" ht="12.75">
      <c r="M1718" s="162"/>
      <c r="N1718" s="162"/>
      <c r="AG1718" s="142"/>
      <c r="AH1718" s="142"/>
    </row>
    <row r="1719" spans="13:34" ht="12.75">
      <c r="M1719" s="162"/>
      <c r="N1719" s="162"/>
      <c r="AG1719" s="142"/>
      <c r="AH1719" s="142"/>
    </row>
    <row r="1720" spans="13:34" ht="12.75">
      <c r="M1720" s="162"/>
      <c r="N1720" s="162"/>
      <c r="AG1720" s="142"/>
      <c r="AH1720" s="142"/>
    </row>
    <row r="1721" spans="13:34" ht="12.75">
      <c r="M1721" s="162"/>
      <c r="N1721" s="162"/>
      <c r="AG1721" s="142"/>
      <c r="AH1721" s="142"/>
    </row>
    <row r="1722" spans="13:34" ht="12.75">
      <c r="M1722" s="162"/>
      <c r="N1722" s="162"/>
      <c r="AG1722" s="142"/>
      <c r="AH1722" s="142"/>
    </row>
    <row r="1723" spans="13:34" ht="12.75">
      <c r="M1723" s="162"/>
      <c r="N1723" s="162"/>
      <c r="AG1723" s="142"/>
      <c r="AH1723" s="142"/>
    </row>
    <row r="1724" spans="13:34" ht="12.75">
      <c r="M1724" s="162"/>
      <c r="N1724" s="162"/>
      <c r="AG1724" s="142"/>
      <c r="AH1724" s="142"/>
    </row>
    <row r="1725" spans="13:34" ht="12.75">
      <c r="M1725" s="162"/>
      <c r="N1725" s="162"/>
      <c r="AG1725" s="142"/>
      <c r="AH1725" s="142"/>
    </row>
    <row r="1726" spans="13:34" ht="12.75">
      <c r="M1726" s="162"/>
      <c r="N1726" s="162"/>
      <c r="AG1726" s="142"/>
      <c r="AH1726" s="142"/>
    </row>
    <row r="1727" spans="13:34" ht="12.75">
      <c r="M1727" s="162"/>
      <c r="N1727" s="162"/>
      <c r="AG1727" s="142"/>
      <c r="AH1727" s="142"/>
    </row>
    <row r="1728" spans="13:34" ht="12.75">
      <c r="M1728" s="162"/>
      <c r="N1728" s="162"/>
      <c r="AG1728" s="142"/>
      <c r="AH1728" s="142"/>
    </row>
    <row r="1729" spans="13:34" ht="12.75">
      <c r="M1729" s="162"/>
      <c r="N1729" s="162"/>
      <c r="AG1729" s="142"/>
      <c r="AH1729" s="142"/>
    </row>
    <row r="1730" spans="13:34" ht="12.75">
      <c r="M1730" s="162"/>
      <c r="N1730" s="162"/>
      <c r="AG1730" s="142"/>
      <c r="AH1730" s="142"/>
    </row>
    <row r="1731" spans="13:34" ht="12.75">
      <c r="M1731" s="162"/>
      <c r="N1731" s="162"/>
      <c r="AG1731" s="142"/>
      <c r="AH1731" s="142"/>
    </row>
    <row r="1732" spans="13:34" ht="12.75">
      <c r="M1732" s="162"/>
      <c r="N1732" s="162"/>
      <c r="AG1732" s="142"/>
      <c r="AH1732" s="142"/>
    </row>
    <row r="1733" spans="13:34" ht="12.75">
      <c r="M1733" s="162"/>
      <c r="N1733" s="162"/>
      <c r="AG1733" s="142"/>
      <c r="AH1733" s="142"/>
    </row>
    <row r="1734" spans="13:34" ht="12.75">
      <c r="M1734" s="162"/>
      <c r="N1734" s="162"/>
      <c r="AG1734" s="142"/>
      <c r="AH1734" s="142"/>
    </row>
    <row r="1735" spans="13:34" ht="12.75">
      <c r="M1735" s="162"/>
      <c r="N1735" s="162"/>
      <c r="AG1735" s="142"/>
      <c r="AH1735" s="142"/>
    </row>
    <row r="1736" spans="13:34" ht="12.75">
      <c r="M1736" s="162"/>
      <c r="N1736" s="162"/>
      <c r="AG1736" s="142"/>
      <c r="AH1736" s="142"/>
    </row>
    <row r="1737" spans="13:34" ht="12.75">
      <c r="M1737" s="162"/>
      <c r="N1737" s="162"/>
      <c r="AG1737" s="142"/>
      <c r="AH1737" s="142"/>
    </row>
    <row r="1738" spans="13:34" ht="12.75">
      <c r="M1738" s="162"/>
      <c r="N1738" s="162"/>
      <c r="AG1738" s="142"/>
      <c r="AH1738" s="142"/>
    </row>
    <row r="1739" spans="13:34" ht="12.75">
      <c r="M1739" s="162"/>
      <c r="N1739" s="162"/>
      <c r="AG1739" s="142"/>
      <c r="AH1739" s="142"/>
    </row>
    <row r="1740" spans="13:34" ht="12.75">
      <c r="M1740" s="162"/>
      <c r="N1740" s="162"/>
      <c r="AG1740" s="142"/>
      <c r="AH1740" s="142"/>
    </row>
    <row r="1741" spans="13:34" ht="12.75">
      <c r="M1741" s="162"/>
      <c r="N1741" s="162"/>
      <c r="AG1741" s="142"/>
      <c r="AH1741" s="142"/>
    </row>
    <row r="1742" spans="13:34" ht="12.75">
      <c r="M1742" s="162"/>
      <c r="N1742" s="162"/>
      <c r="AG1742" s="142"/>
      <c r="AH1742" s="142"/>
    </row>
    <row r="1743" spans="13:34" ht="12.75">
      <c r="M1743" s="162"/>
      <c r="N1743" s="162"/>
      <c r="AG1743" s="142"/>
      <c r="AH1743" s="142"/>
    </row>
    <row r="1744" spans="13:34" ht="12.75">
      <c r="M1744" s="162"/>
      <c r="N1744" s="162"/>
      <c r="AG1744" s="142"/>
      <c r="AH1744" s="142"/>
    </row>
    <row r="1745" spans="13:34" ht="12.75">
      <c r="M1745" s="162"/>
      <c r="N1745" s="162"/>
      <c r="AG1745" s="142"/>
      <c r="AH1745" s="142"/>
    </row>
    <row r="1746" spans="13:34" ht="12.75">
      <c r="M1746" s="162"/>
      <c r="N1746" s="162"/>
      <c r="AG1746" s="142"/>
      <c r="AH1746" s="142"/>
    </row>
    <row r="1747" spans="13:34" ht="12.75">
      <c r="M1747" s="162"/>
      <c r="N1747" s="162"/>
      <c r="AG1747" s="142"/>
      <c r="AH1747" s="142"/>
    </row>
    <row r="1748" spans="13:34" ht="12.75">
      <c r="M1748" s="162"/>
      <c r="N1748" s="162"/>
      <c r="AG1748" s="142"/>
      <c r="AH1748" s="142"/>
    </row>
    <row r="1749" spans="13:34" ht="12.75">
      <c r="M1749" s="162"/>
      <c r="N1749" s="162"/>
      <c r="AG1749" s="142"/>
      <c r="AH1749" s="142"/>
    </row>
    <row r="1750" spans="13:34" ht="12.75">
      <c r="M1750" s="162"/>
      <c r="N1750" s="162"/>
      <c r="AG1750" s="142"/>
      <c r="AH1750" s="142"/>
    </row>
    <row r="1751" spans="13:34" ht="12.75">
      <c r="M1751" s="162"/>
      <c r="N1751" s="162"/>
      <c r="AG1751" s="142"/>
      <c r="AH1751" s="142"/>
    </row>
    <row r="1752" spans="13:34" ht="12.75">
      <c r="M1752" s="162"/>
      <c r="N1752" s="162"/>
      <c r="AG1752" s="142"/>
      <c r="AH1752" s="142"/>
    </row>
    <row r="1753" spans="13:34" ht="12.75">
      <c r="M1753" s="162"/>
      <c r="N1753" s="162"/>
      <c r="AG1753" s="142"/>
      <c r="AH1753" s="142"/>
    </row>
    <row r="1754" spans="13:34" ht="12.75">
      <c r="M1754" s="162"/>
      <c r="N1754" s="162"/>
      <c r="AG1754" s="142"/>
      <c r="AH1754" s="142"/>
    </row>
    <row r="1755" spans="13:34" ht="12.75">
      <c r="M1755" s="162"/>
      <c r="N1755" s="162"/>
      <c r="AG1755" s="142"/>
      <c r="AH1755" s="142"/>
    </row>
    <row r="1756" spans="13:34" ht="12.75">
      <c r="M1756" s="162"/>
      <c r="N1756" s="162"/>
      <c r="AG1756" s="142"/>
      <c r="AH1756" s="142"/>
    </row>
    <row r="1757" spans="13:34" ht="12.75">
      <c r="M1757" s="162"/>
      <c r="N1757" s="162"/>
      <c r="AG1757" s="142"/>
      <c r="AH1757" s="142"/>
    </row>
    <row r="1758" spans="13:34" ht="12.75">
      <c r="M1758" s="162"/>
      <c r="N1758" s="162"/>
      <c r="AG1758" s="142"/>
      <c r="AH1758" s="142"/>
    </row>
    <row r="1759" spans="13:34" ht="12.75">
      <c r="M1759" s="162"/>
      <c r="N1759" s="162"/>
      <c r="AG1759" s="142"/>
      <c r="AH1759" s="142"/>
    </row>
    <row r="1760" spans="13:34" ht="12.75">
      <c r="M1760" s="162"/>
      <c r="N1760" s="162"/>
      <c r="AG1760" s="142"/>
      <c r="AH1760" s="142"/>
    </row>
    <row r="1761" spans="13:34" ht="12.75">
      <c r="M1761" s="162"/>
      <c r="N1761" s="162"/>
      <c r="AG1761" s="142"/>
      <c r="AH1761" s="142"/>
    </row>
    <row r="1762" spans="13:34" ht="12.75">
      <c r="M1762" s="162"/>
      <c r="N1762" s="162"/>
      <c r="AG1762" s="142"/>
      <c r="AH1762" s="142"/>
    </row>
    <row r="1763" spans="13:34" ht="12.75">
      <c r="M1763" s="162"/>
      <c r="N1763" s="162"/>
      <c r="AG1763" s="142"/>
      <c r="AH1763" s="142"/>
    </row>
    <row r="1764" spans="13:34" ht="12.75">
      <c r="M1764" s="162"/>
      <c r="N1764" s="162"/>
      <c r="AG1764" s="142"/>
      <c r="AH1764" s="142"/>
    </row>
    <row r="1765" spans="13:34" ht="12.75">
      <c r="M1765" s="162"/>
      <c r="N1765" s="162"/>
      <c r="AG1765" s="142"/>
      <c r="AH1765" s="142"/>
    </row>
    <row r="1766" spans="13:34" ht="12.75">
      <c r="M1766" s="162"/>
      <c r="N1766" s="162"/>
      <c r="AG1766" s="142"/>
      <c r="AH1766" s="142"/>
    </row>
    <row r="1767" spans="13:34" ht="12.75">
      <c r="M1767" s="162"/>
      <c r="N1767" s="162"/>
      <c r="AG1767" s="142"/>
      <c r="AH1767" s="142"/>
    </row>
    <row r="1768" spans="13:34" ht="12.75">
      <c r="M1768" s="162"/>
      <c r="N1768" s="162"/>
      <c r="AG1768" s="142"/>
      <c r="AH1768" s="142"/>
    </row>
    <row r="1769" spans="13:34" ht="12.75">
      <c r="M1769" s="162"/>
      <c r="N1769" s="162"/>
      <c r="AG1769" s="142"/>
      <c r="AH1769" s="142"/>
    </row>
    <row r="1770" spans="13:34" ht="12.75">
      <c r="M1770" s="162"/>
      <c r="N1770" s="162"/>
      <c r="AG1770" s="142"/>
      <c r="AH1770" s="142"/>
    </row>
    <row r="1771" spans="13:34" ht="12.75">
      <c r="M1771" s="162"/>
      <c r="N1771" s="162"/>
      <c r="AG1771" s="142"/>
      <c r="AH1771" s="142"/>
    </row>
    <row r="1772" spans="13:34" ht="12.75">
      <c r="M1772" s="162"/>
      <c r="N1772" s="162"/>
      <c r="AG1772" s="142"/>
      <c r="AH1772" s="142"/>
    </row>
    <row r="1773" spans="13:34" ht="12.75">
      <c r="M1773" s="162"/>
      <c r="N1773" s="162"/>
      <c r="AG1773" s="142"/>
      <c r="AH1773" s="142"/>
    </row>
    <row r="1774" spans="13:34" ht="12.75">
      <c r="M1774" s="162"/>
      <c r="N1774" s="162"/>
      <c r="AG1774" s="142"/>
      <c r="AH1774" s="142"/>
    </row>
    <row r="1775" spans="13:34" ht="12.75">
      <c r="M1775" s="162"/>
      <c r="N1775" s="162"/>
      <c r="AG1775" s="142"/>
      <c r="AH1775" s="142"/>
    </row>
    <row r="1776" spans="13:34" ht="12.75">
      <c r="M1776" s="162"/>
      <c r="N1776" s="162"/>
      <c r="AG1776" s="142"/>
      <c r="AH1776" s="142"/>
    </row>
    <row r="1777" spans="13:34" ht="12.75">
      <c r="M1777" s="162"/>
      <c r="N1777" s="162"/>
      <c r="AG1777" s="142"/>
      <c r="AH1777" s="142"/>
    </row>
    <row r="1778" spans="13:34" ht="12.75">
      <c r="M1778" s="162"/>
      <c r="N1778" s="162"/>
      <c r="AG1778" s="142"/>
      <c r="AH1778" s="142"/>
    </row>
    <row r="1779" spans="13:34" ht="12.75">
      <c r="M1779" s="162"/>
      <c r="N1779" s="162"/>
      <c r="AG1779" s="142"/>
      <c r="AH1779" s="142"/>
    </row>
    <row r="1780" spans="13:34" ht="12.75">
      <c r="M1780" s="162"/>
      <c r="N1780" s="162"/>
      <c r="AG1780" s="142"/>
      <c r="AH1780" s="142"/>
    </row>
    <row r="1781" spans="13:34" ht="12.75">
      <c r="M1781" s="162"/>
      <c r="N1781" s="162"/>
      <c r="AG1781" s="142"/>
      <c r="AH1781" s="142"/>
    </row>
    <row r="1782" spans="13:34" ht="12.75">
      <c r="M1782" s="162"/>
      <c r="N1782" s="162"/>
      <c r="AG1782" s="142"/>
      <c r="AH1782" s="142"/>
    </row>
    <row r="1783" spans="13:34" ht="12.75">
      <c r="M1783" s="162"/>
      <c r="N1783" s="162"/>
      <c r="AG1783" s="142"/>
      <c r="AH1783" s="142"/>
    </row>
    <row r="1784" spans="13:34" ht="12.75">
      <c r="M1784" s="162"/>
      <c r="N1784" s="162"/>
      <c r="AG1784" s="142"/>
      <c r="AH1784" s="142"/>
    </row>
    <row r="1785" spans="13:34" ht="12.75">
      <c r="M1785" s="162"/>
      <c r="N1785" s="162"/>
      <c r="AG1785" s="142"/>
      <c r="AH1785" s="142"/>
    </row>
    <row r="1786" spans="13:34" ht="12.75">
      <c r="M1786" s="162"/>
      <c r="N1786" s="162"/>
      <c r="AG1786" s="142"/>
      <c r="AH1786" s="142"/>
    </row>
    <row r="1787" spans="13:34" ht="12.75">
      <c r="M1787" s="162"/>
      <c r="N1787" s="162"/>
      <c r="AG1787" s="142"/>
      <c r="AH1787" s="142"/>
    </row>
    <row r="1788" spans="13:34" ht="12.75">
      <c r="M1788" s="162"/>
      <c r="N1788" s="162"/>
      <c r="AG1788" s="142"/>
      <c r="AH1788" s="142"/>
    </row>
    <row r="1789" spans="13:34" ht="12.75">
      <c r="M1789" s="162"/>
      <c r="N1789" s="162"/>
      <c r="AG1789" s="142"/>
      <c r="AH1789" s="142"/>
    </row>
    <row r="1790" spans="13:34" ht="12.75">
      <c r="M1790" s="162"/>
      <c r="N1790" s="162"/>
      <c r="AG1790" s="142"/>
      <c r="AH1790" s="142"/>
    </row>
    <row r="1791" spans="13:34" ht="12.75">
      <c r="M1791" s="162"/>
      <c r="N1791" s="162"/>
      <c r="AG1791" s="142"/>
      <c r="AH1791" s="142"/>
    </row>
    <row r="1792" spans="13:34" ht="12.75">
      <c r="M1792" s="162"/>
      <c r="N1792" s="162"/>
      <c r="AG1792" s="142"/>
      <c r="AH1792" s="142"/>
    </row>
    <row r="1793" spans="13:34" ht="12.75">
      <c r="M1793" s="162"/>
      <c r="N1793" s="162"/>
      <c r="AG1793" s="142"/>
      <c r="AH1793" s="142"/>
    </row>
    <row r="1794" spans="13:34" ht="12.75">
      <c r="M1794" s="162"/>
      <c r="N1794" s="162"/>
      <c r="AG1794" s="142"/>
      <c r="AH1794" s="142"/>
    </row>
    <row r="1795" spans="13:34" ht="12.75">
      <c r="M1795" s="162"/>
      <c r="N1795" s="162"/>
      <c r="AG1795" s="142"/>
      <c r="AH1795" s="142"/>
    </row>
    <row r="1796" spans="13:34" ht="12.75">
      <c r="M1796" s="162"/>
      <c r="N1796" s="162"/>
      <c r="AG1796" s="142"/>
      <c r="AH1796" s="142"/>
    </row>
    <row r="1797" spans="13:34" ht="12.75">
      <c r="M1797" s="162"/>
      <c r="N1797" s="162"/>
      <c r="AG1797" s="142"/>
      <c r="AH1797" s="142"/>
    </row>
    <row r="1798" spans="13:34" ht="12.75">
      <c r="M1798" s="162"/>
      <c r="N1798" s="162"/>
      <c r="AG1798" s="142"/>
      <c r="AH1798" s="142"/>
    </row>
    <row r="1799" spans="13:34" ht="12.75">
      <c r="M1799" s="162"/>
      <c r="N1799" s="162"/>
      <c r="AG1799" s="142"/>
      <c r="AH1799" s="142"/>
    </row>
    <row r="1800" spans="13:34" ht="12.75">
      <c r="M1800" s="162"/>
      <c r="N1800" s="162"/>
      <c r="AG1800" s="142"/>
      <c r="AH1800" s="142"/>
    </row>
    <row r="1801" spans="13:34" ht="12.75">
      <c r="M1801" s="162"/>
      <c r="N1801" s="162"/>
      <c r="AG1801" s="142"/>
      <c r="AH1801" s="142"/>
    </row>
    <row r="1802" spans="13:34" ht="12.75">
      <c r="M1802" s="162"/>
      <c r="N1802" s="162"/>
      <c r="AG1802" s="142"/>
      <c r="AH1802" s="142"/>
    </row>
    <row r="1803" spans="13:34" ht="12.75">
      <c r="M1803" s="162"/>
      <c r="N1803" s="162"/>
      <c r="AG1803" s="142"/>
      <c r="AH1803" s="142"/>
    </row>
    <row r="1804" spans="13:34" ht="12.75">
      <c r="M1804" s="162"/>
      <c r="N1804" s="162"/>
      <c r="AG1804" s="142"/>
      <c r="AH1804" s="142"/>
    </row>
    <row r="1805" spans="13:34" ht="12.75">
      <c r="M1805" s="162"/>
      <c r="N1805" s="162"/>
      <c r="AG1805" s="142"/>
      <c r="AH1805" s="142"/>
    </row>
    <row r="1806" spans="13:34" ht="12.75">
      <c r="M1806" s="162"/>
      <c r="N1806" s="162"/>
      <c r="AG1806" s="142"/>
      <c r="AH1806" s="142"/>
    </row>
    <row r="1807" spans="13:34" ht="12.75">
      <c r="M1807" s="162"/>
      <c r="N1807" s="162"/>
      <c r="AG1807" s="142"/>
      <c r="AH1807" s="142"/>
    </row>
    <row r="1808" spans="13:34" ht="12.75">
      <c r="M1808" s="162"/>
      <c r="N1808" s="162"/>
      <c r="AG1808" s="142"/>
      <c r="AH1808" s="142"/>
    </row>
    <row r="1809" spans="13:34" ht="12.75">
      <c r="M1809" s="162"/>
      <c r="N1809" s="162"/>
      <c r="AG1809" s="142"/>
      <c r="AH1809" s="142"/>
    </row>
    <row r="1810" spans="13:34" ht="12.75">
      <c r="M1810" s="162"/>
      <c r="N1810" s="162"/>
      <c r="AG1810" s="142"/>
      <c r="AH1810" s="142"/>
    </row>
    <row r="1811" spans="13:34" ht="12.75">
      <c r="M1811" s="162"/>
      <c r="N1811" s="162"/>
      <c r="AG1811" s="142"/>
      <c r="AH1811" s="142"/>
    </row>
    <row r="1812" spans="13:34" ht="12.75">
      <c r="M1812" s="162"/>
      <c r="N1812" s="162"/>
      <c r="AG1812" s="142"/>
      <c r="AH1812" s="142"/>
    </row>
    <row r="1813" spans="13:34" ht="12.75">
      <c r="M1813" s="162"/>
      <c r="N1813" s="162"/>
      <c r="AG1813" s="142"/>
      <c r="AH1813" s="142"/>
    </row>
    <row r="1814" spans="13:34" ht="12.75">
      <c r="M1814" s="162"/>
      <c r="N1814" s="162"/>
      <c r="AG1814" s="142"/>
      <c r="AH1814" s="142"/>
    </row>
    <row r="1815" spans="13:34" ht="12.75">
      <c r="M1815" s="162"/>
      <c r="N1815" s="162"/>
      <c r="AG1815" s="142"/>
      <c r="AH1815" s="142"/>
    </row>
    <row r="1816" spans="13:34" ht="12.75">
      <c r="M1816" s="162"/>
      <c r="N1816" s="162"/>
      <c r="AG1816" s="142"/>
      <c r="AH1816" s="142"/>
    </row>
    <row r="1817" spans="13:34" ht="12.75">
      <c r="M1817" s="162"/>
      <c r="N1817" s="162"/>
      <c r="AG1817" s="142"/>
      <c r="AH1817" s="142"/>
    </row>
    <row r="1818" spans="13:34" ht="12.75">
      <c r="M1818" s="162"/>
      <c r="N1818" s="162"/>
      <c r="AG1818" s="142"/>
      <c r="AH1818" s="142"/>
    </row>
    <row r="1819" spans="13:34" ht="12.75">
      <c r="M1819" s="162"/>
      <c r="N1819" s="162"/>
      <c r="AG1819" s="142"/>
      <c r="AH1819" s="142"/>
    </row>
    <row r="1820" spans="13:34" ht="12.75">
      <c r="M1820" s="162"/>
      <c r="N1820" s="162"/>
      <c r="AG1820" s="142"/>
      <c r="AH1820" s="142"/>
    </row>
    <row r="1821" spans="13:34" ht="12.75">
      <c r="M1821" s="162"/>
      <c r="N1821" s="162"/>
      <c r="AG1821" s="142"/>
      <c r="AH1821" s="142"/>
    </row>
    <row r="1822" spans="13:34" ht="12.75">
      <c r="M1822" s="162"/>
      <c r="N1822" s="162"/>
      <c r="AG1822" s="142"/>
      <c r="AH1822" s="142"/>
    </row>
    <row r="1823" spans="13:34" ht="12.75">
      <c r="M1823" s="162"/>
      <c r="N1823" s="162"/>
      <c r="AG1823" s="142"/>
      <c r="AH1823" s="142"/>
    </row>
    <row r="1824" spans="13:34" ht="12.75">
      <c r="M1824" s="162"/>
      <c r="N1824" s="162"/>
      <c r="AG1824" s="142"/>
      <c r="AH1824" s="142"/>
    </row>
    <row r="1825" spans="13:34" ht="12.75">
      <c r="M1825" s="162"/>
      <c r="N1825" s="162"/>
      <c r="AG1825" s="142"/>
      <c r="AH1825" s="142"/>
    </row>
    <row r="1826" spans="13:34" ht="12.75">
      <c r="M1826" s="162"/>
      <c r="N1826" s="162"/>
      <c r="AG1826" s="142"/>
      <c r="AH1826" s="142"/>
    </row>
    <row r="1827" spans="13:34" ht="12.75">
      <c r="M1827" s="162"/>
      <c r="N1827" s="162"/>
      <c r="AG1827" s="142"/>
      <c r="AH1827" s="142"/>
    </row>
    <row r="1828" spans="13:34" ht="12.75">
      <c r="M1828" s="162"/>
      <c r="N1828" s="162"/>
      <c r="AG1828" s="142"/>
      <c r="AH1828" s="142"/>
    </row>
    <row r="1829" spans="13:34" ht="12.75">
      <c r="M1829" s="162"/>
      <c r="N1829" s="162"/>
      <c r="AG1829" s="142"/>
      <c r="AH1829" s="142"/>
    </row>
    <row r="1830" spans="13:34" ht="12.75">
      <c r="M1830" s="162"/>
      <c r="N1830" s="162"/>
      <c r="AG1830" s="142"/>
      <c r="AH1830" s="142"/>
    </row>
    <row r="1831" spans="13:34" ht="12.75">
      <c r="M1831" s="162"/>
      <c r="N1831" s="162"/>
      <c r="AG1831" s="142"/>
      <c r="AH1831" s="142"/>
    </row>
    <row r="1832" spans="13:34" ht="12.75">
      <c r="M1832" s="162"/>
      <c r="N1832" s="162"/>
      <c r="AG1832" s="142"/>
      <c r="AH1832" s="142"/>
    </row>
    <row r="1833" spans="13:34" ht="12.75">
      <c r="M1833" s="162"/>
      <c r="N1833" s="162"/>
      <c r="AG1833" s="142"/>
      <c r="AH1833" s="142"/>
    </row>
    <row r="1834" spans="13:34" ht="12.75">
      <c r="M1834" s="162"/>
      <c r="N1834" s="162"/>
      <c r="AG1834" s="142"/>
      <c r="AH1834" s="142"/>
    </row>
    <row r="1835" spans="13:34" ht="12.75">
      <c r="M1835" s="162"/>
      <c r="N1835" s="162"/>
      <c r="AG1835" s="142"/>
      <c r="AH1835" s="142"/>
    </row>
    <row r="1836" spans="13:34" ht="12.75">
      <c r="M1836" s="162"/>
      <c r="N1836" s="162"/>
      <c r="AG1836" s="142"/>
      <c r="AH1836" s="142"/>
    </row>
    <row r="1837" spans="13:34" ht="12.75">
      <c r="M1837" s="162"/>
      <c r="N1837" s="162"/>
      <c r="AG1837" s="142"/>
      <c r="AH1837" s="142"/>
    </row>
    <row r="1838" spans="13:34" ht="12.75">
      <c r="M1838" s="162"/>
      <c r="N1838" s="162"/>
      <c r="AG1838" s="142"/>
      <c r="AH1838" s="142"/>
    </row>
    <row r="1839" spans="13:34" ht="12.75">
      <c r="M1839" s="162"/>
      <c r="N1839" s="162"/>
      <c r="AG1839" s="142"/>
      <c r="AH1839" s="142"/>
    </row>
    <row r="1840" spans="13:34" ht="12.75">
      <c r="M1840" s="162"/>
      <c r="N1840" s="162"/>
      <c r="AG1840" s="142"/>
      <c r="AH1840" s="142"/>
    </row>
    <row r="1841" spans="13:34" ht="12.75">
      <c r="M1841" s="162"/>
      <c r="N1841" s="162"/>
      <c r="AG1841" s="142"/>
      <c r="AH1841" s="142"/>
    </row>
    <row r="1842" spans="13:34" ht="12.75">
      <c r="M1842" s="162"/>
      <c r="N1842" s="162"/>
      <c r="AG1842" s="142"/>
      <c r="AH1842" s="142"/>
    </row>
    <row r="1843" spans="13:34" ht="12.75">
      <c r="M1843" s="162"/>
      <c r="N1843" s="162"/>
      <c r="AG1843" s="142"/>
      <c r="AH1843" s="142"/>
    </row>
    <row r="1844" spans="13:34" ht="12.75">
      <c r="M1844" s="162"/>
      <c r="N1844" s="162"/>
      <c r="AG1844" s="142"/>
      <c r="AH1844" s="142"/>
    </row>
    <row r="1845" spans="13:34" ht="12.75">
      <c r="M1845" s="162"/>
      <c r="N1845" s="162"/>
      <c r="AG1845" s="142"/>
      <c r="AH1845" s="142"/>
    </row>
    <row r="1846" spans="13:34" ht="12.75">
      <c r="M1846" s="162"/>
      <c r="N1846" s="162"/>
      <c r="AG1846" s="142"/>
      <c r="AH1846" s="142"/>
    </row>
    <row r="1847" spans="13:34" ht="12.75">
      <c r="M1847" s="162"/>
      <c r="N1847" s="162"/>
      <c r="AG1847" s="142"/>
      <c r="AH1847" s="142"/>
    </row>
    <row r="1848" spans="13:34" ht="12.75">
      <c r="M1848" s="162"/>
      <c r="N1848" s="162"/>
      <c r="AG1848" s="142"/>
      <c r="AH1848" s="142"/>
    </row>
    <row r="1849" spans="13:34" ht="12.75">
      <c r="M1849" s="162"/>
      <c r="N1849" s="162"/>
      <c r="AG1849" s="142"/>
      <c r="AH1849" s="142"/>
    </row>
    <row r="1850" spans="13:34" ht="12.75">
      <c r="M1850" s="162"/>
      <c r="N1850" s="162"/>
      <c r="AG1850" s="142"/>
      <c r="AH1850" s="142"/>
    </row>
    <row r="1851" spans="13:34" ht="12.75">
      <c r="M1851" s="162"/>
      <c r="N1851" s="162"/>
      <c r="AG1851" s="142"/>
      <c r="AH1851" s="142"/>
    </row>
    <row r="1852" spans="13:34" ht="12.75">
      <c r="M1852" s="162"/>
      <c r="N1852" s="162"/>
      <c r="AG1852" s="142"/>
      <c r="AH1852" s="142"/>
    </row>
    <row r="1853" spans="13:34" ht="12.75">
      <c r="M1853" s="162"/>
      <c r="N1853" s="162"/>
      <c r="AG1853" s="142"/>
      <c r="AH1853" s="142"/>
    </row>
    <row r="1854" spans="13:34" ht="12.75">
      <c r="M1854" s="162"/>
      <c r="N1854" s="162"/>
      <c r="AG1854" s="142"/>
      <c r="AH1854" s="142"/>
    </row>
    <row r="1855" spans="13:34" ht="12.75">
      <c r="M1855" s="162"/>
      <c r="N1855" s="162"/>
      <c r="AG1855" s="142"/>
      <c r="AH1855" s="142"/>
    </row>
    <row r="1856" spans="13:34" ht="12.75">
      <c r="M1856" s="162"/>
      <c r="N1856" s="162"/>
      <c r="AG1856" s="142"/>
      <c r="AH1856" s="142"/>
    </row>
    <row r="1857" spans="13:34" ht="12.75">
      <c r="M1857" s="162"/>
      <c r="N1857" s="162"/>
      <c r="AG1857" s="142"/>
      <c r="AH1857" s="142"/>
    </row>
    <row r="1858" spans="13:34" ht="12.75">
      <c r="M1858" s="162"/>
      <c r="N1858" s="162"/>
      <c r="AG1858" s="142"/>
      <c r="AH1858" s="142"/>
    </row>
    <row r="1859" spans="13:34" ht="12.75">
      <c r="M1859" s="162"/>
      <c r="N1859" s="162"/>
      <c r="AG1859" s="142"/>
      <c r="AH1859" s="142"/>
    </row>
    <row r="1860" spans="13:34" ht="12.75">
      <c r="M1860" s="162"/>
      <c r="N1860" s="162"/>
      <c r="AG1860" s="142"/>
      <c r="AH1860" s="142"/>
    </row>
    <row r="1861" spans="13:34" ht="12.75">
      <c r="M1861" s="162"/>
      <c r="N1861" s="162"/>
      <c r="AG1861" s="142"/>
      <c r="AH1861" s="142"/>
    </row>
    <row r="1862" spans="13:34" ht="12.75">
      <c r="M1862" s="162"/>
      <c r="N1862" s="162"/>
      <c r="AG1862" s="142"/>
      <c r="AH1862" s="142"/>
    </row>
    <row r="1863" spans="13:34" ht="12.75">
      <c r="M1863" s="162"/>
      <c r="N1863" s="162"/>
      <c r="AG1863" s="142"/>
      <c r="AH1863" s="142"/>
    </row>
    <row r="1864" spans="13:34" ht="12.75">
      <c r="M1864" s="162"/>
      <c r="N1864" s="162"/>
      <c r="AG1864" s="142"/>
      <c r="AH1864" s="142"/>
    </row>
    <row r="1865" spans="13:34" ht="12.75">
      <c r="M1865" s="162"/>
      <c r="N1865" s="162"/>
      <c r="AG1865" s="142"/>
      <c r="AH1865" s="142"/>
    </row>
    <row r="1866" spans="13:34" ht="12.75">
      <c r="M1866" s="162"/>
      <c r="N1866" s="162"/>
      <c r="AG1866" s="142"/>
      <c r="AH1866" s="142"/>
    </row>
    <row r="1867" spans="13:34" ht="12.75">
      <c r="M1867" s="162"/>
      <c r="N1867" s="162"/>
      <c r="AG1867" s="142"/>
      <c r="AH1867" s="142"/>
    </row>
    <row r="1868" spans="13:34" ht="12.75">
      <c r="M1868" s="162"/>
      <c r="N1868" s="162"/>
      <c r="AG1868" s="142"/>
      <c r="AH1868" s="142"/>
    </row>
    <row r="1869" spans="13:34" ht="12.75">
      <c r="M1869" s="162"/>
      <c r="N1869" s="162"/>
      <c r="AG1869" s="142"/>
      <c r="AH1869" s="142"/>
    </row>
    <row r="1870" spans="13:34" ht="12.75">
      <c r="M1870" s="162"/>
      <c r="N1870" s="162"/>
      <c r="AG1870" s="142"/>
      <c r="AH1870" s="142"/>
    </row>
    <row r="1871" spans="13:34" ht="12.75">
      <c r="M1871" s="162"/>
      <c r="N1871" s="162"/>
      <c r="AG1871" s="142"/>
      <c r="AH1871" s="142"/>
    </row>
    <row r="1872" spans="13:34" ht="12.75">
      <c r="M1872" s="162"/>
      <c r="N1872" s="162"/>
      <c r="AG1872" s="142"/>
      <c r="AH1872" s="142"/>
    </row>
    <row r="1873" spans="13:34" ht="12.75">
      <c r="M1873" s="162"/>
      <c r="N1873" s="162"/>
      <c r="AG1873" s="142"/>
      <c r="AH1873" s="142"/>
    </row>
    <row r="1874" spans="13:34" ht="12.75">
      <c r="M1874" s="162"/>
      <c r="N1874" s="162"/>
      <c r="AG1874" s="142"/>
      <c r="AH1874" s="142"/>
    </row>
    <row r="1875" spans="13:34" ht="12.75">
      <c r="M1875" s="162"/>
      <c r="N1875" s="162"/>
      <c r="AG1875" s="142"/>
      <c r="AH1875" s="142"/>
    </row>
    <row r="1876" spans="13:34" ht="12.75">
      <c r="M1876" s="162"/>
      <c r="N1876" s="162"/>
      <c r="AG1876" s="142"/>
      <c r="AH1876" s="142"/>
    </row>
    <row r="1877" spans="13:34" ht="12.75">
      <c r="M1877" s="162"/>
      <c r="N1877" s="162"/>
      <c r="AG1877" s="142"/>
      <c r="AH1877" s="142"/>
    </row>
    <row r="1878" spans="13:34" ht="12.75">
      <c r="M1878" s="162"/>
      <c r="N1878" s="162"/>
      <c r="AG1878" s="142"/>
      <c r="AH1878" s="142"/>
    </row>
    <row r="1879" spans="13:34" ht="12.75">
      <c r="M1879" s="162"/>
      <c r="N1879" s="162"/>
      <c r="AG1879" s="142"/>
      <c r="AH1879" s="142"/>
    </row>
    <row r="1880" spans="13:34" ht="12.75">
      <c r="M1880" s="162"/>
      <c r="N1880" s="162"/>
      <c r="AG1880" s="142"/>
      <c r="AH1880" s="142"/>
    </row>
    <row r="1881" spans="13:34" ht="12.75">
      <c r="M1881" s="162"/>
      <c r="N1881" s="162"/>
      <c r="AG1881" s="142"/>
      <c r="AH1881" s="142"/>
    </row>
    <row r="1882" spans="13:34" ht="12.75">
      <c r="M1882" s="162"/>
      <c r="N1882" s="162"/>
      <c r="AG1882" s="142"/>
      <c r="AH1882" s="142"/>
    </row>
    <row r="1883" spans="13:34" ht="12.75">
      <c r="M1883" s="162"/>
      <c r="N1883" s="162"/>
      <c r="AG1883" s="142"/>
      <c r="AH1883" s="142"/>
    </row>
    <row r="1884" spans="13:34" ht="12.75">
      <c r="M1884" s="162"/>
      <c r="N1884" s="162"/>
      <c r="AG1884" s="142"/>
      <c r="AH1884" s="142"/>
    </row>
    <row r="1885" spans="13:34" ht="12.75">
      <c r="M1885" s="162"/>
      <c r="N1885" s="162"/>
      <c r="AG1885" s="142"/>
      <c r="AH1885" s="142"/>
    </row>
    <row r="1886" spans="13:34" ht="12.75">
      <c r="M1886" s="162"/>
      <c r="N1886" s="162"/>
      <c r="AG1886" s="142"/>
      <c r="AH1886" s="142"/>
    </row>
    <row r="1887" spans="13:34" ht="12.75">
      <c r="M1887" s="162"/>
      <c r="N1887" s="162"/>
      <c r="AG1887" s="142"/>
      <c r="AH1887" s="142"/>
    </row>
    <row r="1888" spans="13:34" ht="12.75">
      <c r="M1888" s="162"/>
      <c r="N1888" s="162"/>
      <c r="AG1888" s="142"/>
      <c r="AH1888" s="142"/>
    </row>
    <row r="1889" spans="13:34" ht="12.75">
      <c r="M1889" s="162"/>
      <c r="N1889" s="162"/>
      <c r="AG1889" s="142"/>
      <c r="AH1889" s="142"/>
    </row>
    <row r="1890" spans="13:34" ht="12.75">
      <c r="M1890" s="162"/>
      <c r="N1890" s="162"/>
      <c r="AG1890" s="142"/>
      <c r="AH1890" s="142"/>
    </row>
    <row r="1891" spans="13:34" ht="12.75">
      <c r="M1891" s="162"/>
      <c r="N1891" s="162"/>
      <c r="AG1891" s="142"/>
      <c r="AH1891" s="142"/>
    </row>
    <row r="1892" spans="13:34" ht="12.75">
      <c r="M1892" s="162"/>
      <c r="N1892" s="162"/>
      <c r="AG1892" s="142"/>
      <c r="AH1892" s="142"/>
    </row>
    <row r="1893" spans="13:34" ht="12.75">
      <c r="M1893" s="162"/>
      <c r="N1893" s="162"/>
      <c r="AG1893" s="142"/>
      <c r="AH1893" s="142"/>
    </row>
    <row r="1894" spans="13:34" ht="12.75">
      <c r="M1894" s="162"/>
      <c r="N1894" s="162"/>
      <c r="AG1894" s="142"/>
      <c r="AH1894" s="142"/>
    </row>
    <row r="1895" spans="13:34" ht="12.75">
      <c r="M1895" s="162"/>
      <c r="N1895" s="162"/>
      <c r="AG1895" s="142"/>
      <c r="AH1895" s="142"/>
    </row>
    <row r="1896" spans="13:34" ht="12.75">
      <c r="M1896" s="162"/>
      <c r="N1896" s="162"/>
      <c r="AG1896" s="142"/>
      <c r="AH1896" s="142"/>
    </row>
    <row r="1897" spans="13:34" ht="12.75">
      <c r="M1897" s="162"/>
      <c r="N1897" s="162"/>
      <c r="AG1897" s="142"/>
      <c r="AH1897" s="142"/>
    </row>
    <row r="1898" spans="13:34" ht="12.75">
      <c r="M1898" s="162"/>
      <c r="N1898" s="162"/>
      <c r="AG1898" s="142"/>
      <c r="AH1898" s="142"/>
    </row>
    <row r="1899" spans="13:34" ht="12.75">
      <c r="M1899" s="162"/>
      <c r="N1899" s="162"/>
      <c r="AG1899" s="142"/>
      <c r="AH1899" s="142"/>
    </row>
    <row r="1900" spans="13:34" ht="12.75">
      <c r="M1900" s="162"/>
      <c r="N1900" s="162"/>
      <c r="AG1900" s="142"/>
      <c r="AH1900" s="142"/>
    </row>
    <row r="1901" spans="13:34" ht="12.75">
      <c r="M1901" s="162"/>
      <c r="N1901" s="162"/>
      <c r="AG1901" s="142"/>
      <c r="AH1901" s="142"/>
    </row>
    <row r="1902" spans="13:34" ht="12.75">
      <c r="M1902" s="162"/>
      <c r="N1902" s="162"/>
      <c r="AG1902" s="142"/>
      <c r="AH1902" s="142"/>
    </row>
    <row r="1903" spans="13:34" ht="12.75">
      <c r="M1903" s="162"/>
      <c r="N1903" s="162"/>
      <c r="AG1903" s="142"/>
      <c r="AH1903" s="142"/>
    </row>
    <row r="1904" spans="13:34" ht="12.75">
      <c r="M1904" s="162"/>
      <c r="N1904" s="162"/>
      <c r="AG1904" s="142"/>
      <c r="AH1904" s="142"/>
    </row>
    <row r="1905" spans="13:34" ht="12.75">
      <c r="M1905" s="162"/>
      <c r="N1905" s="162"/>
      <c r="AG1905" s="142"/>
      <c r="AH1905" s="142"/>
    </row>
    <row r="1906" spans="13:34" ht="12.75">
      <c r="M1906" s="162"/>
      <c r="N1906" s="162"/>
      <c r="AG1906" s="142"/>
      <c r="AH1906" s="142"/>
    </row>
    <row r="1907" spans="13:34" ht="12.75">
      <c r="M1907" s="162"/>
      <c r="N1907" s="162"/>
      <c r="AG1907" s="142"/>
      <c r="AH1907" s="142"/>
    </row>
    <row r="1908" spans="13:34" ht="12.75">
      <c r="M1908" s="162"/>
      <c r="N1908" s="162"/>
      <c r="AG1908" s="142"/>
      <c r="AH1908" s="142"/>
    </row>
    <row r="1909" spans="13:34" ht="12.75">
      <c r="M1909" s="162"/>
      <c r="N1909" s="162"/>
      <c r="AG1909" s="142"/>
      <c r="AH1909" s="142"/>
    </row>
    <row r="1910" spans="13:34" ht="12.75">
      <c r="M1910" s="162"/>
      <c r="N1910" s="162"/>
      <c r="AG1910" s="142"/>
      <c r="AH1910" s="142"/>
    </row>
    <row r="1911" spans="13:34" ht="12.75">
      <c r="M1911" s="162"/>
      <c r="N1911" s="162"/>
      <c r="AG1911" s="142"/>
      <c r="AH1911" s="142"/>
    </row>
    <row r="1912" spans="13:34" ht="12.75">
      <c r="M1912" s="162"/>
      <c r="N1912" s="162"/>
      <c r="AG1912" s="142"/>
      <c r="AH1912" s="142"/>
    </row>
    <row r="1913" spans="13:34" ht="12.75">
      <c r="M1913" s="162"/>
      <c r="N1913" s="162"/>
      <c r="AG1913" s="142"/>
      <c r="AH1913" s="142"/>
    </row>
    <row r="1914" spans="13:34" ht="12.75">
      <c r="M1914" s="162"/>
      <c r="N1914" s="162"/>
      <c r="AG1914" s="142"/>
      <c r="AH1914" s="142"/>
    </row>
    <row r="1915" spans="13:34" ht="12.75">
      <c r="M1915" s="162"/>
      <c r="N1915" s="162"/>
      <c r="AG1915" s="142"/>
      <c r="AH1915" s="142"/>
    </row>
    <row r="1916" spans="13:34" ht="12.75">
      <c r="M1916" s="162"/>
      <c r="N1916" s="162"/>
      <c r="AG1916" s="142"/>
      <c r="AH1916" s="142"/>
    </row>
    <row r="1917" spans="13:34" ht="12.75">
      <c r="M1917" s="162"/>
      <c r="N1917" s="162"/>
      <c r="AG1917" s="142"/>
      <c r="AH1917" s="142"/>
    </row>
    <row r="1918" spans="13:34" ht="12.75">
      <c r="M1918" s="162"/>
      <c r="N1918" s="162"/>
      <c r="AG1918" s="142"/>
      <c r="AH1918" s="142"/>
    </row>
    <row r="1919" spans="13:34" ht="12.75">
      <c r="M1919" s="162"/>
      <c r="N1919" s="162"/>
      <c r="AG1919" s="142"/>
      <c r="AH1919" s="142"/>
    </row>
    <row r="1920" spans="13:34" ht="12.75">
      <c r="M1920" s="162"/>
      <c r="N1920" s="162"/>
      <c r="AG1920" s="142"/>
      <c r="AH1920" s="142"/>
    </row>
    <row r="1921" spans="13:34" ht="12.75">
      <c r="M1921" s="162"/>
      <c r="N1921" s="162"/>
      <c r="AG1921" s="142"/>
      <c r="AH1921" s="142"/>
    </row>
    <row r="1922" spans="13:34" ht="12.75">
      <c r="M1922" s="162"/>
      <c r="N1922" s="162"/>
      <c r="AG1922" s="142"/>
      <c r="AH1922" s="142"/>
    </row>
    <row r="1923" spans="13:34" ht="12.75">
      <c r="M1923" s="162"/>
      <c r="N1923" s="162"/>
      <c r="AG1923" s="142"/>
      <c r="AH1923" s="142"/>
    </row>
    <row r="1924" spans="13:34" ht="12.75">
      <c r="M1924" s="162"/>
      <c r="N1924" s="162"/>
      <c r="AG1924" s="142"/>
      <c r="AH1924" s="142"/>
    </row>
    <row r="1925" spans="13:34" ht="12.75">
      <c r="M1925" s="162"/>
      <c r="N1925" s="162"/>
      <c r="AG1925" s="142"/>
      <c r="AH1925" s="142"/>
    </row>
    <row r="1926" spans="13:34" ht="12.75">
      <c r="M1926" s="162"/>
      <c r="N1926" s="162"/>
      <c r="AG1926" s="142"/>
      <c r="AH1926" s="142"/>
    </row>
    <row r="1927" spans="13:34" ht="12.75">
      <c r="M1927" s="162"/>
      <c r="N1927" s="162"/>
      <c r="AG1927" s="142"/>
      <c r="AH1927" s="142"/>
    </row>
    <row r="1928" spans="13:34" ht="12.75">
      <c r="M1928" s="162"/>
      <c r="N1928" s="162"/>
      <c r="AG1928" s="142"/>
      <c r="AH1928" s="142"/>
    </row>
    <row r="1929" spans="13:34" ht="12.75">
      <c r="M1929" s="162"/>
      <c r="N1929" s="162"/>
      <c r="AG1929" s="142"/>
      <c r="AH1929" s="142"/>
    </row>
    <row r="1930" spans="13:34" ht="12.75">
      <c r="M1930" s="162"/>
      <c r="N1930" s="162"/>
      <c r="AG1930" s="142"/>
      <c r="AH1930" s="142"/>
    </row>
    <row r="1931" spans="13:34" ht="12.75">
      <c r="M1931" s="162"/>
      <c r="N1931" s="162"/>
      <c r="AG1931" s="142"/>
      <c r="AH1931" s="142"/>
    </row>
    <row r="1932" spans="13:34" ht="12.75">
      <c r="M1932" s="162"/>
      <c r="N1932" s="162"/>
      <c r="AG1932" s="142"/>
      <c r="AH1932" s="142"/>
    </row>
    <row r="1933" spans="13:34" ht="12.75">
      <c r="M1933" s="162"/>
      <c r="N1933" s="162"/>
      <c r="AG1933" s="142"/>
      <c r="AH1933" s="142"/>
    </row>
    <row r="1934" spans="13:34" ht="12.75">
      <c r="M1934" s="162"/>
      <c r="N1934" s="162"/>
      <c r="AG1934" s="142"/>
      <c r="AH1934" s="142"/>
    </row>
    <row r="1935" spans="13:34" ht="12.75">
      <c r="M1935" s="162"/>
      <c r="N1935" s="162"/>
      <c r="AG1935" s="142"/>
      <c r="AH1935" s="142"/>
    </row>
    <row r="1936" spans="13:34" ht="12.75">
      <c r="M1936" s="162"/>
      <c r="N1936" s="162"/>
      <c r="AG1936" s="142"/>
      <c r="AH1936" s="142"/>
    </row>
    <row r="1937" spans="13:34" ht="12.75">
      <c r="M1937" s="162"/>
      <c r="N1937" s="162"/>
      <c r="AG1937" s="142"/>
      <c r="AH1937" s="142"/>
    </row>
    <row r="1938" spans="13:34" ht="12.75">
      <c r="M1938" s="162"/>
      <c r="N1938" s="162"/>
      <c r="AG1938" s="142"/>
      <c r="AH1938" s="142"/>
    </row>
    <row r="1939" spans="13:34" ht="12.75">
      <c r="M1939" s="162"/>
      <c r="N1939" s="162"/>
      <c r="AG1939" s="142"/>
      <c r="AH1939" s="142"/>
    </row>
    <row r="1940" spans="13:34" ht="12.75">
      <c r="M1940" s="162"/>
      <c r="N1940" s="162"/>
      <c r="AG1940" s="142"/>
      <c r="AH1940" s="142"/>
    </row>
    <row r="1941" spans="13:34" ht="12.75">
      <c r="M1941" s="162"/>
      <c r="N1941" s="162"/>
      <c r="AG1941" s="142"/>
      <c r="AH1941" s="142"/>
    </row>
    <row r="1942" spans="13:34" ht="12.75">
      <c r="M1942" s="162"/>
      <c r="N1942" s="162"/>
      <c r="AG1942" s="142"/>
      <c r="AH1942" s="142"/>
    </row>
    <row r="1943" spans="13:34" ht="12.75">
      <c r="M1943" s="162"/>
      <c r="N1943" s="162"/>
      <c r="AG1943" s="142"/>
      <c r="AH1943" s="142"/>
    </row>
    <row r="1944" spans="13:34" ht="12.75">
      <c r="M1944" s="162"/>
      <c r="N1944" s="162"/>
      <c r="AG1944" s="142"/>
      <c r="AH1944" s="142"/>
    </row>
    <row r="1945" spans="13:34" ht="12.75">
      <c r="M1945" s="162"/>
      <c r="N1945" s="162"/>
      <c r="AG1945" s="142"/>
      <c r="AH1945" s="142"/>
    </row>
    <row r="1946" spans="13:34" ht="12.75">
      <c r="M1946" s="162"/>
      <c r="N1946" s="162"/>
      <c r="AG1946" s="142"/>
      <c r="AH1946" s="142"/>
    </row>
    <row r="1947" spans="13:34" ht="12.75">
      <c r="M1947" s="162"/>
      <c r="N1947" s="162"/>
      <c r="AG1947" s="142"/>
      <c r="AH1947" s="142"/>
    </row>
    <row r="1948" spans="13:34" ht="12.75">
      <c r="M1948" s="162"/>
      <c r="N1948" s="162"/>
      <c r="AG1948" s="142"/>
      <c r="AH1948" s="142"/>
    </row>
    <row r="1949" spans="13:34" ht="12.75">
      <c r="M1949" s="162"/>
      <c r="N1949" s="162"/>
      <c r="AG1949" s="142"/>
      <c r="AH1949" s="142"/>
    </row>
    <row r="1950" spans="13:34" ht="12.75">
      <c r="M1950" s="162"/>
      <c r="N1950" s="162"/>
      <c r="AG1950" s="142"/>
      <c r="AH1950" s="142"/>
    </row>
    <row r="1951" spans="13:34" ht="12.75">
      <c r="M1951" s="162"/>
      <c r="N1951" s="162"/>
      <c r="AG1951" s="142"/>
      <c r="AH1951" s="142"/>
    </row>
    <row r="1952" spans="13:34" ht="12.75">
      <c r="M1952" s="162"/>
      <c r="N1952" s="162"/>
      <c r="AG1952" s="142"/>
      <c r="AH1952" s="142"/>
    </row>
    <row r="1953" spans="13:34" ht="12.75">
      <c r="M1953" s="162"/>
      <c r="N1953" s="162"/>
      <c r="AG1953" s="142"/>
      <c r="AH1953" s="142"/>
    </row>
    <row r="1954" spans="13:34" ht="12.75">
      <c r="M1954" s="162"/>
      <c r="N1954" s="162"/>
      <c r="AG1954" s="142"/>
      <c r="AH1954" s="142"/>
    </row>
    <row r="1955" spans="13:34" ht="12.75">
      <c r="M1955" s="162"/>
      <c r="N1955" s="162"/>
      <c r="AG1955" s="142"/>
      <c r="AH1955" s="142"/>
    </row>
    <row r="1956" spans="13:34" ht="12.75">
      <c r="M1956" s="162"/>
      <c r="N1956" s="162"/>
      <c r="AG1956" s="142"/>
      <c r="AH1956" s="142"/>
    </row>
    <row r="1957" spans="13:34" ht="12.75">
      <c r="M1957" s="162"/>
      <c r="N1957" s="162"/>
      <c r="AG1957" s="142"/>
      <c r="AH1957" s="142"/>
    </row>
    <row r="1958" spans="13:34" ht="12.75">
      <c r="M1958" s="162"/>
      <c r="N1958" s="162"/>
      <c r="AG1958" s="142"/>
      <c r="AH1958" s="142"/>
    </row>
    <row r="1959" spans="13:34" ht="12.75">
      <c r="M1959" s="162"/>
      <c r="N1959" s="162"/>
      <c r="AG1959" s="142"/>
      <c r="AH1959" s="142"/>
    </row>
    <row r="1960" spans="13:34" ht="12.75">
      <c r="M1960" s="162"/>
      <c r="N1960" s="162"/>
      <c r="AG1960" s="142"/>
      <c r="AH1960" s="142"/>
    </row>
    <row r="1961" spans="13:34" ht="12.75">
      <c r="M1961" s="162"/>
      <c r="N1961" s="162"/>
      <c r="AG1961" s="142"/>
      <c r="AH1961" s="142"/>
    </row>
    <row r="1962" spans="13:34" ht="12.75">
      <c r="M1962" s="162"/>
      <c r="N1962" s="162"/>
      <c r="AG1962" s="142"/>
      <c r="AH1962" s="142"/>
    </row>
    <row r="1963" spans="13:34" ht="12.75">
      <c r="M1963" s="162"/>
      <c r="N1963" s="162"/>
      <c r="AG1963" s="142"/>
      <c r="AH1963" s="142"/>
    </row>
    <row r="1964" spans="13:34" ht="12.75">
      <c r="M1964" s="162"/>
      <c r="N1964" s="162"/>
      <c r="AG1964" s="142"/>
      <c r="AH1964" s="142"/>
    </row>
    <row r="1965" spans="13:34" ht="12.75">
      <c r="M1965" s="162"/>
      <c r="N1965" s="162"/>
      <c r="AG1965" s="142"/>
      <c r="AH1965" s="142"/>
    </row>
    <row r="1966" spans="13:34" ht="12.75">
      <c r="M1966" s="162"/>
      <c r="N1966" s="162"/>
      <c r="AG1966" s="142"/>
      <c r="AH1966" s="142"/>
    </row>
    <row r="1967" spans="13:34" ht="12.75">
      <c r="M1967" s="162"/>
      <c r="N1967" s="162"/>
      <c r="AG1967" s="142"/>
      <c r="AH1967" s="142"/>
    </row>
    <row r="1968" spans="13:34" ht="12.75">
      <c r="M1968" s="162"/>
      <c r="N1968" s="162"/>
      <c r="AG1968" s="142"/>
      <c r="AH1968" s="142"/>
    </row>
    <row r="1969" spans="13:34" ht="12.75">
      <c r="M1969" s="162"/>
      <c r="N1969" s="162"/>
      <c r="AG1969" s="142"/>
      <c r="AH1969" s="142"/>
    </row>
    <row r="1970" spans="13:34" ht="12.75">
      <c r="M1970" s="162"/>
      <c r="N1970" s="162"/>
      <c r="AG1970" s="142"/>
      <c r="AH1970" s="142"/>
    </row>
    <row r="1971" spans="13:34" ht="12.75">
      <c r="M1971" s="162"/>
      <c r="N1971" s="162"/>
      <c r="AG1971" s="142"/>
      <c r="AH1971" s="142"/>
    </row>
    <row r="1972" spans="13:34" ht="12.75">
      <c r="M1972" s="162"/>
      <c r="N1972" s="162"/>
      <c r="AG1972" s="142"/>
      <c r="AH1972" s="142"/>
    </row>
    <row r="1973" spans="13:34" ht="12.75">
      <c r="M1973" s="162"/>
      <c r="N1973" s="162"/>
      <c r="AG1973" s="142"/>
      <c r="AH1973" s="142"/>
    </row>
    <row r="1974" spans="13:34" ht="12.75">
      <c r="M1974" s="162"/>
      <c r="N1974" s="162"/>
      <c r="AG1974" s="142"/>
      <c r="AH1974" s="142"/>
    </row>
    <row r="1975" spans="13:34" ht="12.75">
      <c r="M1975" s="162"/>
      <c r="N1975" s="162"/>
      <c r="AG1975" s="142"/>
      <c r="AH1975" s="142"/>
    </row>
    <row r="1976" spans="13:34" ht="12.75">
      <c r="M1976" s="162"/>
      <c r="N1976" s="162"/>
      <c r="AG1976" s="142"/>
      <c r="AH1976" s="142"/>
    </row>
    <row r="1977" spans="13:34" ht="12.75">
      <c r="M1977" s="162"/>
      <c r="N1977" s="162"/>
      <c r="AG1977" s="142"/>
      <c r="AH1977" s="142"/>
    </row>
    <row r="1978" spans="13:34" ht="12.75">
      <c r="M1978" s="162"/>
      <c r="N1978" s="162"/>
      <c r="AG1978" s="142"/>
      <c r="AH1978" s="142"/>
    </row>
    <row r="1979" spans="13:34" ht="12.75">
      <c r="M1979" s="162"/>
      <c r="N1979" s="162"/>
      <c r="AG1979" s="142"/>
      <c r="AH1979" s="142"/>
    </row>
    <row r="1980" spans="13:34" ht="12.75">
      <c r="M1980" s="162"/>
      <c r="N1980" s="162"/>
      <c r="AG1980" s="142"/>
      <c r="AH1980" s="142"/>
    </row>
    <row r="1981" spans="13:34" ht="12.75">
      <c r="M1981" s="162"/>
      <c r="N1981" s="162"/>
      <c r="AG1981" s="142"/>
      <c r="AH1981" s="142"/>
    </row>
    <row r="1982" spans="13:34" ht="12.75">
      <c r="M1982" s="162"/>
      <c r="N1982" s="162"/>
      <c r="AG1982" s="142"/>
      <c r="AH1982" s="142"/>
    </row>
    <row r="1983" spans="13:34" ht="12.75">
      <c r="M1983" s="162"/>
      <c r="N1983" s="162"/>
      <c r="AG1983" s="142"/>
      <c r="AH1983" s="142"/>
    </row>
    <row r="1984" spans="13:34" ht="12.75">
      <c r="M1984" s="162"/>
      <c r="N1984" s="162"/>
      <c r="AG1984" s="142"/>
      <c r="AH1984" s="142"/>
    </row>
    <row r="1985" spans="13:34" ht="12.75">
      <c r="M1985" s="162"/>
      <c r="N1985" s="162"/>
      <c r="AG1985" s="142"/>
      <c r="AH1985" s="142"/>
    </row>
    <row r="1986" spans="13:34" ht="12.75">
      <c r="M1986" s="162"/>
      <c r="N1986" s="162"/>
      <c r="AG1986" s="142"/>
      <c r="AH1986" s="142"/>
    </row>
    <row r="1987" spans="13:34" ht="12.75">
      <c r="M1987" s="162"/>
      <c r="N1987" s="162"/>
      <c r="AG1987" s="142"/>
      <c r="AH1987" s="142"/>
    </row>
    <row r="1988" spans="13:34" ht="12.75">
      <c r="M1988" s="162"/>
      <c r="N1988" s="162"/>
      <c r="AG1988" s="142"/>
      <c r="AH1988" s="142"/>
    </row>
    <row r="1989" spans="13:34" ht="12.75">
      <c r="M1989" s="162"/>
      <c r="N1989" s="162"/>
      <c r="AG1989" s="142"/>
      <c r="AH1989" s="142"/>
    </row>
    <row r="1990" spans="13:34" ht="12.75">
      <c r="M1990" s="162"/>
      <c r="N1990" s="162"/>
      <c r="AG1990" s="142"/>
      <c r="AH1990" s="142"/>
    </row>
    <row r="1991" spans="13:34" ht="12.75">
      <c r="M1991" s="162"/>
      <c r="N1991" s="162"/>
      <c r="AG1991" s="142"/>
      <c r="AH1991" s="142"/>
    </row>
    <row r="1992" spans="13:34" ht="12.75">
      <c r="M1992" s="162"/>
      <c r="N1992" s="162"/>
      <c r="AG1992" s="142"/>
      <c r="AH1992" s="142"/>
    </row>
    <row r="1993" spans="13:34" ht="12.75">
      <c r="M1993" s="162"/>
      <c r="N1993" s="162"/>
      <c r="AG1993" s="142"/>
      <c r="AH1993" s="142"/>
    </row>
    <row r="1994" spans="13:34" ht="12.75">
      <c r="M1994" s="162"/>
      <c r="N1994" s="162"/>
      <c r="AG1994" s="142"/>
      <c r="AH1994" s="142"/>
    </row>
    <row r="1995" spans="13:34" ht="12.75">
      <c r="M1995" s="162"/>
      <c r="N1995" s="162"/>
      <c r="AG1995" s="142"/>
      <c r="AH1995" s="142"/>
    </row>
    <row r="1996" spans="13:34" ht="12.75">
      <c r="M1996" s="162"/>
      <c r="N1996" s="162"/>
      <c r="AG1996" s="142"/>
      <c r="AH1996" s="142"/>
    </row>
    <row r="1997" spans="13:34" ht="12.75">
      <c r="M1997" s="162"/>
      <c r="N1997" s="162"/>
      <c r="AG1997" s="142"/>
      <c r="AH1997" s="142"/>
    </row>
    <row r="1998" spans="13:34" ht="12.75">
      <c r="M1998" s="162"/>
      <c r="N1998" s="162"/>
      <c r="AG1998" s="142"/>
      <c r="AH1998" s="142"/>
    </row>
    <row r="1999" spans="13:34" ht="12.75">
      <c r="M1999" s="162"/>
      <c r="N1999" s="162"/>
      <c r="AG1999" s="142"/>
      <c r="AH1999" s="142"/>
    </row>
    <row r="2000" spans="13:34" ht="12.75">
      <c r="M2000" s="162"/>
      <c r="N2000" s="162"/>
      <c r="AG2000" s="142"/>
      <c r="AH2000" s="142"/>
    </row>
    <row r="2001" spans="13:34" ht="12.75">
      <c r="M2001" s="162"/>
      <c r="N2001" s="162"/>
      <c r="AG2001" s="142"/>
      <c r="AH2001" s="142"/>
    </row>
    <row r="2002" spans="13:34" ht="12.75">
      <c r="M2002" s="162"/>
      <c r="N2002" s="162"/>
      <c r="AG2002" s="142"/>
      <c r="AH2002" s="142"/>
    </row>
    <row r="2003" spans="13:34" ht="12.75">
      <c r="M2003" s="162"/>
      <c r="N2003" s="162"/>
      <c r="AG2003" s="142"/>
      <c r="AH2003" s="142"/>
    </row>
    <row r="2004" spans="13:34" ht="12.75">
      <c r="M2004" s="162"/>
      <c r="N2004" s="162"/>
      <c r="AG2004" s="142"/>
      <c r="AH2004" s="142"/>
    </row>
    <row r="2005" spans="13:34" ht="12.75">
      <c r="M2005" s="162"/>
      <c r="N2005" s="162"/>
      <c r="AG2005" s="142"/>
      <c r="AH2005" s="142"/>
    </row>
    <row r="2006" spans="13:34" ht="12.75">
      <c r="M2006" s="162"/>
      <c r="N2006" s="162"/>
      <c r="AG2006" s="142"/>
      <c r="AH2006" s="142"/>
    </row>
    <row r="2007" spans="13:34" ht="12.75">
      <c r="M2007" s="162"/>
      <c r="N2007" s="162"/>
      <c r="AG2007" s="142"/>
      <c r="AH2007" s="142"/>
    </row>
    <row r="2008" spans="13:34" ht="12.75">
      <c r="M2008" s="162"/>
      <c r="N2008" s="162"/>
      <c r="AG2008" s="142"/>
      <c r="AH2008" s="142"/>
    </row>
    <row r="2009" spans="13:34" ht="12.75">
      <c r="M2009" s="162"/>
      <c r="N2009" s="162"/>
      <c r="AG2009" s="142"/>
      <c r="AH2009" s="142"/>
    </row>
    <row r="2010" spans="13:34" ht="12.75">
      <c r="M2010" s="162"/>
      <c r="N2010" s="162"/>
      <c r="AG2010" s="142"/>
      <c r="AH2010" s="142"/>
    </row>
    <row r="2011" spans="13:34" ht="12.75">
      <c r="M2011" s="162"/>
      <c r="N2011" s="162"/>
      <c r="AG2011" s="142"/>
      <c r="AH2011" s="142"/>
    </row>
    <row r="2012" spans="13:34" ht="12.75">
      <c r="M2012" s="162"/>
      <c r="N2012" s="162"/>
      <c r="AG2012" s="142"/>
      <c r="AH2012" s="142"/>
    </row>
    <row r="2013" spans="13:34" ht="12.75">
      <c r="M2013" s="162"/>
      <c r="N2013" s="162"/>
      <c r="AG2013" s="142"/>
      <c r="AH2013" s="142"/>
    </row>
    <row r="2014" spans="13:34" ht="12.75">
      <c r="M2014" s="162"/>
      <c r="N2014" s="162"/>
      <c r="AG2014" s="142"/>
      <c r="AH2014" s="142"/>
    </row>
    <row r="2015" spans="13:34" ht="12.75">
      <c r="M2015" s="162"/>
      <c r="N2015" s="162"/>
      <c r="AG2015" s="142"/>
      <c r="AH2015" s="142"/>
    </row>
    <row r="2016" spans="13:34" ht="12.75">
      <c r="M2016" s="162"/>
      <c r="N2016" s="162"/>
      <c r="AG2016" s="142"/>
      <c r="AH2016" s="142"/>
    </row>
    <row r="2017" spans="13:34" ht="12.75">
      <c r="M2017" s="162"/>
      <c r="N2017" s="162"/>
      <c r="AG2017" s="142"/>
      <c r="AH2017" s="142"/>
    </row>
    <row r="2018" spans="13:34" ht="12.75">
      <c r="M2018" s="162"/>
      <c r="N2018" s="162"/>
      <c r="AG2018" s="142"/>
      <c r="AH2018" s="142"/>
    </row>
    <row r="2019" spans="13:34" ht="12.75">
      <c r="M2019" s="162"/>
      <c r="N2019" s="162"/>
      <c r="AG2019" s="142"/>
      <c r="AH2019" s="142"/>
    </row>
    <row r="2020" spans="13:34" ht="12.75">
      <c r="M2020" s="162"/>
      <c r="N2020" s="162"/>
      <c r="AG2020" s="142"/>
      <c r="AH2020" s="142"/>
    </row>
    <row r="2021" spans="13:34" ht="12.75">
      <c r="M2021" s="162"/>
      <c r="N2021" s="162"/>
      <c r="AG2021" s="142"/>
      <c r="AH2021" s="142"/>
    </row>
    <row r="2022" spans="13:34" ht="12.75">
      <c r="M2022" s="162"/>
      <c r="N2022" s="162"/>
      <c r="AG2022" s="142"/>
      <c r="AH2022" s="142"/>
    </row>
    <row r="2023" spans="13:34" ht="12.75">
      <c r="M2023" s="162"/>
      <c r="N2023" s="162"/>
      <c r="AG2023" s="142"/>
      <c r="AH2023" s="142"/>
    </row>
    <row r="2024" spans="13:34" ht="12.75">
      <c r="M2024" s="162"/>
      <c r="N2024" s="162"/>
      <c r="AG2024" s="142"/>
      <c r="AH2024" s="142"/>
    </row>
    <row r="2025" spans="13:34" ht="12.75">
      <c r="M2025" s="162"/>
      <c r="N2025" s="162"/>
      <c r="AG2025" s="142"/>
      <c r="AH2025" s="142"/>
    </row>
    <row r="2026" spans="13:34" ht="12.75">
      <c r="M2026" s="162"/>
      <c r="N2026" s="162"/>
      <c r="AG2026" s="142"/>
      <c r="AH2026" s="142"/>
    </row>
    <row r="2027" spans="13:34" ht="12.75">
      <c r="M2027" s="162"/>
      <c r="N2027" s="162"/>
      <c r="AG2027" s="142"/>
      <c r="AH2027" s="142"/>
    </row>
    <row r="2028" spans="13:34" ht="12.75">
      <c r="M2028" s="162"/>
      <c r="N2028" s="162"/>
      <c r="AG2028" s="142"/>
      <c r="AH2028" s="142"/>
    </row>
    <row r="2029" spans="13:34" ht="12.75">
      <c r="M2029" s="162"/>
      <c r="N2029" s="162"/>
      <c r="AG2029" s="142"/>
      <c r="AH2029" s="142"/>
    </row>
    <row r="2030" spans="13:34" ht="12.75">
      <c r="M2030" s="162"/>
      <c r="N2030" s="162"/>
      <c r="AG2030" s="142"/>
      <c r="AH2030" s="142"/>
    </row>
    <row r="2031" spans="13:34" ht="12.75">
      <c r="M2031" s="162"/>
      <c r="N2031" s="162"/>
      <c r="AG2031" s="142"/>
      <c r="AH2031" s="142"/>
    </row>
    <row r="2032" spans="13:34" ht="12.75">
      <c r="M2032" s="162"/>
      <c r="N2032" s="162"/>
      <c r="AG2032" s="142"/>
      <c r="AH2032" s="142"/>
    </row>
    <row r="2033" spans="13:34" ht="12.75">
      <c r="M2033" s="162"/>
      <c r="N2033" s="162"/>
      <c r="AG2033" s="142"/>
      <c r="AH2033" s="142"/>
    </row>
    <row r="2034" spans="13:34" ht="12.75">
      <c r="M2034" s="162"/>
      <c r="N2034" s="162"/>
      <c r="AG2034" s="142"/>
      <c r="AH2034" s="142"/>
    </row>
    <row r="2035" spans="13:34" ht="12.75">
      <c r="M2035" s="162"/>
      <c r="N2035" s="162"/>
      <c r="AG2035" s="142"/>
      <c r="AH2035" s="142"/>
    </row>
    <row r="2036" spans="13:34" ht="12.75">
      <c r="M2036" s="162"/>
      <c r="N2036" s="162"/>
      <c r="AG2036" s="142"/>
      <c r="AH2036" s="142"/>
    </row>
    <row r="2037" spans="13:34" ht="12.75">
      <c r="M2037" s="162"/>
      <c r="N2037" s="162"/>
      <c r="AG2037" s="142"/>
      <c r="AH2037" s="142"/>
    </row>
    <row r="2038" spans="13:34" ht="12.75">
      <c r="M2038" s="162"/>
      <c r="N2038" s="162"/>
      <c r="AG2038" s="142"/>
      <c r="AH2038" s="142"/>
    </row>
    <row r="2039" spans="13:34" ht="12.75">
      <c r="M2039" s="162"/>
      <c r="N2039" s="162"/>
      <c r="AG2039" s="142"/>
      <c r="AH2039" s="142"/>
    </row>
    <row r="2040" spans="13:34" ht="12.75">
      <c r="M2040" s="162"/>
      <c r="N2040" s="162"/>
      <c r="AG2040" s="142"/>
      <c r="AH2040" s="142"/>
    </row>
    <row r="2041" spans="13:34" ht="12.75">
      <c r="M2041" s="162"/>
      <c r="N2041" s="162"/>
      <c r="AG2041" s="142"/>
      <c r="AH2041" s="142"/>
    </row>
    <row r="2042" spans="13:34" ht="12.75">
      <c r="M2042" s="162"/>
      <c r="N2042" s="162"/>
      <c r="AG2042" s="142"/>
      <c r="AH2042" s="142"/>
    </row>
    <row r="2043" spans="13:34" ht="12.75">
      <c r="M2043" s="162"/>
      <c r="N2043" s="162"/>
      <c r="AG2043" s="142"/>
      <c r="AH2043" s="142"/>
    </row>
    <row r="2044" spans="13:34" ht="12.75">
      <c r="M2044" s="162"/>
      <c r="N2044" s="162"/>
      <c r="AG2044" s="142"/>
      <c r="AH2044" s="142"/>
    </row>
    <row r="2045" spans="13:34" ht="12.75">
      <c r="M2045" s="162"/>
      <c r="N2045" s="162"/>
      <c r="AG2045" s="142"/>
      <c r="AH2045" s="142"/>
    </row>
    <row r="2046" spans="13:34" ht="12.75">
      <c r="M2046" s="162"/>
      <c r="N2046" s="162"/>
      <c r="AG2046" s="142"/>
      <c r="AH2046" s="142"/>
    </row>
    <row r="2047" spans="13:34" ht="12.75">
      <c r="M2047" s="162"/>
      <c r="N2047" s="162"/>
      <c r="AG2047" s="142"/>
      <c r="AH2047" s="142"/>
    </row>
    <row r="2048" spans="13:34" ht="12.75">
      <c r="M2048" s="162"/>
      <c r="N2048" s="162"/>
      <c r="AG2048" s="142"/>
      <c r="AH2048" s="142"/>
    </row>
    <row r="2049" spans="13:34" ht="12.75">
      <c r="M2049" s="162"/>
      <c r="N2049" s="162"/>
      <c r="AG2049" s="142"/>
      <c r="AH2049" s="142"/>
    </row>
    <row r="2050" spans="13:34" ht="12.75">
      <c r="M2050" s="162"/>
      <c r="N2050" s="162"/>
      <c r="AG2050" s="142"/>
      <c r="AH2050" s="142"/>
    </row>
    <row r="2051" spans="13:34" ht="12.75">
      <c r="M2051" s="162"/>
      <c r="N2051" s="162"/>
      <c r="AG2051" s="142"/>
      <c r="AH2051" s="142"/>
    </row>
    <row r="2052" spans="13:34" ht="12.75">
      <c r="M2052" s="162"/>
      <c r="N2052" s="162"/>
      <c r="AG2052" s="142"/>
      <c r="AH2052" s="142"/>
    </row>
    <row r="2053" spans="13:34" ht="12.75">
      <c r="M2053" s="162"/>
      <c r="N2053" s="162"/>
      <c r="AG2053" s="142"/>
      <c r="AH2053" s="142"/>
    </row>
    <row r="2054" spans="13:34" ht="12.75">
      <c r="M2054" s="162"/>
      <c r="N2054" s="162"/>
      <c r="AG2054" s="142"/>
      <c r="AH2054" s="142"/>
    </row>
    <row r="2055" spans="13:34" ht="12.75">
      <c r="M2055" s="162"/>
      <c r="N2055" s="162"/>
      <c r="AG2055" s="142"/>
      <c r="AH2055" s="142"/>
    </row>
    <row r="2056" spans="13:34" ht="12.75">
      <c r="M2056" s="162"/>
      <c r="N2056" s="162"/>
      <c r="AG2056" s="142"/>
      <c r="AH2056" s="142"/>
    </row>
    <row r="2057" spans="13:34" ht="12.75">
      <c r="M2057" s="162"/>
      <c r="N2057" s="162"/>
      <c r="AG2057" s="142"/>
      <c r="AH2057" s="142"/>
    </row>
    <row r="2058" spans="13:34" ht="12.75">
      <c r="M2058" s="162"/>
      <c r="N2058" s="162"/>
      <c r="AG2058" s="142"/>
      <c r="AH2058" s="142"/>
    </row>
    <row r="2059" spans="13:34" ht="12.75">
      <c r="M2059" s="162"/>
      <c r="N2059" s="162"/>
      <c r="AG2059" s="142"/>
      <c r="AH2059" s="142"/>
    </row>
    <row r="2060" spans="13:34" ht="12.75">
      <c r="M2060" s="162"/>
      <c r="N2060" s="162"/>
      <c r="AG2060" s="142"/>
      <c r="AH2060" s="142"/>
    </row>
    <row r="2061" spans="13:34" ht="12.75">
      <c r="M2061" s="162"/>
      <c r="N2061" s="162"/>
      <c r="AG2061" s="142"/>
      <c r="AH2061" s="142"/>
    </row>
    <row r="2062" spans="13:34" ht="12.75">
      <c r="M2062" s="162"/>
      <c r="N2062" s="162"/>
      <c r="AG2062" s="142"/>
      <c r="AH2062" s="142"/>
    </row>
    <row r="2063" spans="13:34" ht="12.75">
      <c r="M2063" s="162"/>
      <c r="N2063" s="162"/>
      <c r="AG2063" s="142"/>
      <c r="AH2063" s="142"/>
    </row>
    <row r="2064" spans="13:34" ht="12.75">
      <c r="M2064" s="162"/>
      <c r="N2064" s="162"/>
      <c r="AG2064" s="142"/>
      <c r="AH2064" s="142"/>
    </row>
    <row r="2065" spans="13:34" ht="12.75">
      <c r="M2065" s="162"/>
      <c r="N2065" s="162"/>
      <c r="AG2065" s="142"/>
      <c r="AH2065" s="142"/>
    </row>
    <row r="2066" spans="13:34" ht="12.75">
      <c r="M2066" s="162"/>
      <c r="N2066" s="162"/>
      <c r="AG2066" s="142"/>
      <c r="AH2066" s="142"/>
    </row>
    <row r="2067" spans="13:34" ht="12.75">
      <c r="M2067" s="162"/>
      <c r="N2067" s="162"/>
      <c r="AG2067" s="142"/>
      <c r="AH2067" s="142"/>
    </row>
    <row r="2068" spans="13:34" ht="12.75">
      <c r="M2068" s="162"/>
      <c r="N2068" s="162"/>
      <c r="AG2068" s="142"/>
      <c r="AH2068" s="142"/>
    </row>
    <row r="2069" spans="13:34" ht="12.75">
      <c r="M2069" s="162"/>
      <c r="N2069" s="162"/>
      <c r="AG2069" s="142"/>
      <c r="AH2069" s="142"/>
    </row>
    <row r="2070" spans="13:34" ht="12.75">
      <c r="M2070" s="162"/>
      <c r="N2070" s="162"/>
      <c r="AG2070" s="142"/>
      <c r="AH2070" s="142"/>
    </row>
    <row r="2071" spans="13:34" ht="12.75">
      <c r="M2071" s="162"/>
      <c r="N2071" s="162"/>
      <c r="AG2071" s="142"/>
      <c r="AH2071" s="142"/>
    </row>
    <row r="2072" spans="13:34" ht="12.75">
      <c r="M2072" s="162"/>
      <c r="N2072" s="162"/>
      <c r="AG2072" s="142"/>
      <c r="AH2072" s="142"/>
    </row>
    <row r="2073" spans="13:34" ht="12.75">
      <c r="M2073" s="162"/>
      <c r="N2073" s="162"/>
      <c r="AG2073" s="142"/>
      <c r="AH2073" s="142"/>
    </row>
    <row r="2074" spans="13:34" ht="12.75">
      <c r="M2074" s="162"/>
      <c r="N2074" s="162"/>
      <c r="AG2074" s="142"/>
      <c r="AH2074" s="142"/>
    </row>
    <row r="2075" spans="13:34" ht="12.75">
      <c r="M2075" s="162"/>
      <c r="N2075" s="162"/>
      <c r="AG2075" s="142"/>
      <c r="AH2075" s="142"/>
    </row>
    <row r="2076" spans="13:34" ht="12.75">
      <c r="M2076" s="162"/>
      <c r="N2076" s="162"/>
      <c r="AG2076" s="142"/>
      <c r="AH2076" s="142"/>
    </row>
    <row r="2077" spans="13:34" ht="12.75">
      <c r="M2077" s="162"/>
      <c r="N2077" s="162"/>
      <c r="AG2077" s="142"/>
      <c r="AH2077" s="142"/>
    </row>
    <row r="2078" spans="13:34" ht="12.75">
      <c r="M2078" s="162"/>
      <c r="N2078" s="162"/>
      <c r="AG2078" s="142"/>
      <c r="AH2078" s="142"/>
    </row>
    <row r="2079" spans="13:34" ht="12.75">
      <c r="M2079" s="162"/>
      <c r="N2079" s="162"/>
      <c r="AG2079" s="142"/>
      <c r="AH2079" s="142"/>
    </row>
    <row r="2080" spans="13:34" ht="12.75">
      <c r="M2080" s="162"/>
      <c r="N2080" s="162"/>
      <c r="AG2080" s="142"/>
      <c r="AH2080" s="142"/>
    </row>
    <row r="2081" spans="13:34" ht="12.75">
      <c r="M2081" s="162"/>
      <c r="N2081" s="162"/>
      <c r="AG2081" s="142"/>
      <c r="AH2081" s="142"/>
    </row>
    <row r="2082" spans="13:34" ht="12.75">
      <c r="M2082" s="162"/>
      <c r="N2082" s="162"/>
      <c r="AG2082" s="142"/>
      <c r="AH2082" s="142"/>
    </row>
    <row r="2083" spans="13:34" ht="12.75">
      <c r="M2083" s="162"/>
      <c r="N2083" s="162"/>
      <c r="AG2083" s="142"/>
      <c r="AH2083" s="142"/>
    </row>
    <row r="2084" spans="13:34" ht="12.75">
      <c r="M2084" s="162"/>
      <c r="N2084" s="162"/>
      <c r="AG2084" s="142"/>
      <c r="AH2084" s="142"/>
    </row>
    <row r="2085" spans="13:34" ht="12.75">
      <c r="M2085" s="162"/>
      <c r="N2085" s="162"/>
      <c r="AG2085" s="142"/>
      <c r="AH2085" s="142"/>
    </row>
    <row r="2086" spans="13:34" ht="12.75">
      <c r="M2086" s="162"/>
      <c r="N2086" s="162"/>
      <c r="AG2086" s="142"/>
      <c r="AH2086" s="142"/>
    </row>
    <row r="2087" spans="13:34" ht="12.75">
      <c r="M2087" s="162"/>
      <c r="N2087" s="162"/>
      <c r="AG2087" s="142"/>
      <c r="AH2087" s="142"/>
    </row>
    <row r="2088" spans="13:34" ht="12.75">
      <c r="M2088" s="162"/>
      <c r="N2088" s="162"/>
      <c r="AG2088" s="142"/>
      <c r="AH2088" s="142"/>
    </row>
    <row r="2089" spans="13:34" ht="12.75">
      <c r="M2089" s="162"/>
      <c r="N2089" s="162"/>
      <c r="AG2089" s="142"/>
      <c r="AH2089" s="142"/>
    </row>
    <row r="2090" spans="13:34" ht="12.75">
      <c r="M2090" s="162"/>
      <c r="N2090" s="162"/>
      <c r="AG2090" s="142"/>
      <c r="AH2090" s="142"/>
    </row>
    <row r="2091" spans="13:34" ht="12.75">
      <c r="M2091" s="162"/>
      <c r="N2091" s="162"/>
      <c r="AG2091" s="142"/>
      <c r="AH2091" s="142"/>
    </row>
    <row r="2092" spans="13:34" ht="12.75">
      <c r="M2092" s="162"/>
      <c r="N2092" s="162"/>
      <c r="AG2092" s="142"/>
      <c r="AH2092" s="142"/>
    </row>
    <row r="2093" spans="13:34" ht="12.75">
      <c r="M2093" s="162"/>
      <c r="N2093" s="162"/>
      <c r="AG2093" s="142"/>
      <c r="AH2093" s="142"/>
    </row>
    <row r="2094" spans="13:34" ht="12.75">
      <c r="M2094" s="162"/>
      <c r="N2094" s="162"/>
      <c r="AG2094" s="142"/>
      <c r="AH2094" s="142"/>
    </row>
    <row r="2095" spans="13:34" ht="12.75">
      <c r="M2095" s="162"/>
      <c r="N2095" s="162"/>
      <c r="AG2095" s="142"/>
      <c r="AH2095" s="142"/>
    </row>
    <row r="2096" spans="13:34" ht="12.75">
      <c r="M2096" s="162"/>
      <c r="N2096" s="162"/>
      <c r="AG2096" s="142"/>
      <c r="AH2096" s="142"/>
    </row>
    <row r="2097" spans="13:34" ht="12.75">
      <c r="M2097" s="162"/>
      <c r="N2097" s="162"/>
      <c r="AG2097" s="142"/>
      <c r="AH2097" s="142"/>
    </row>
    <row r="2098" spans="13:34" ht="12.75">
      <c r="M2098" s="162"/>
      <c r="N2098" s="162"/>
      <c r="AG2098" s="142"/>
      <c r="AH2098" s="142"/>
    </row>
    <row r="2099" spans="13:34" ht="12.75">
      <c r="M2099" s="162"/>
      <c r="N2099" s="162"/>
      <c r="AG2099" s="142"/>
      <c r="AH2099" s="142"/>
    </row>
    <row r="2100" spans="13:34" ht="12.75">
      <c r="M2100" s="162"/>
      <c r="N2100" s="162"/>
      <c r="AG2100" s="142"/>
      <c r="AH2100" s="142"/>
    </row>
    <row r="2101" spans="13:34" ht="12.75">
      <c r="M2101" s="162"/>
      <c r="N2101" s="162"/>
      <c r="AG2101" s="142"/>
      <c r="AH2101" s="142"/>
    </row>
    <row r="2102" spans="13:34" ht="12.75">
      <c r="M2102" s="162"/>
      <c r="N2102" s="162"/>
      <c r="AG2102" s="142"/>
      <c r="AH2102" s="142"/>
    </row>
    <row r="2103" spans="13:34" ht="12.75">
      <c r="M2103" s="162"/>
      <c r="N2103" s="162"/>
      <c r="AG2103" s="142"/>
      <c r="AH2103" s="142"/>
    </row>
    <row r="2104" spans="13:34" ht="12.75">
      <c r="M2104" s="162"/>
      <c r="N2104" s="162"/>
      <c r="AG2104" s="142"/>
      <c r="AH2104" s="142"/>
    </row>
    <row r="2105" spans="13:34" ht="12.75">
      <c r="M2105" s="162"/>
      <c r="N2105" s="162"/>
      <c r="AG2105" s="142"/>
      <c r="AH2105" s="142"/>
    </row>
    <row r="2106" spans="13:34" ht="12.75">
      <c r="M2106" s="162"/>
      <c r="N2106" s="162"/>
      <c r="AG2106" s="142"/>
      <c r="AH2106" s="142"/>
    </row>
    <row r="2107" spans="13:34" ht="12.75">
      <c r="M2107" s="162"/>
      <c r="N2107" s="162"/>
      <c r="AG2107" s="142"/>
      <c r="AH2107" s="142"/>
    </row>
    <row r="2108" spans="13:34" ht="12.75">
      <c r="M2108" s="162"/>
      <c r="N2108" s="162"/>
      <c r="AG2108" s="142"/>
      <c r="AH2108" s="142"/>
    </row>
    <row r="2109" spans="13:34" ht="12.75">
      <c r="M2109" s="162"/>
      <c r="N2109" s="162"/>
      <c r="AG2109" s="142"/>
      <c r="AH2109" s="142"/>
    </row>
    <row r="2110" spans="13:34" ht="12.75">
      <c r="M2110" s="162"/>
      <c r="N2110" s="162"/>
      <c r="AG2110" s="142"/>
      <c r="AH2110" s="142"/>
    </row>
    <row r="2111" spans="13:34" ht="12.75">
      <c r="M2111" s="162"/>
      <c r="N2111" s="162"/>
      <c r="AG2111" s="142"/>
      <c r="AH2111" s="142"/>
    </row>
    <row r="2112" spans="13:34" ht="12.75">
      <c r="M2112" s="162"/>
      <c r="N2112" s="162"/>
      <c r="AG2112" s="142"/>
      <c r="AH2112" s="142"/>
    </row>
    <row r="2113" spans="13:34" ht="12.75">
      <c r="M2113" s="162"/>
      <c r="N2113" s="162"/>
      <c r="AG2113" s="142"/>
      <c r="AH2113" s="142"/>
    </row>
    <row r="2114" spans="13:34" ht="12.75">
      <c r="M2114" s="162"/>
      <c r="N2114" s="162"/>
      <c r="AG2114" s="142"/>
      <c r="AH2114" s="142"/>
    </row>
    <row r="2115" spans="13:34" ht="12.75">
      <c r="M2115" s="162"/>
      <c r="N2115" s="162"/>
      <c r="AG2115" s="142"/>
      <c r="AH2115" s="142"/>
    </row>
    <row r="2116" spans="13:34" ht="12.75">
      <c r="M2116" s="162"/>
      <c r="N2116" s="162"/>
      <c r="AG2116" s="142"/>
      <c r="AH2116" s="142"/>
    </row>
    <row r="2117" spans="13:34" ht="12.75">
      <c r="M2117" s="162"/>
      <c r="N2117" s="162"/>
      <c r="AG2117" s="142"/>
      <c r="AH2117" s="142"/>
    </row>
    <row r="2118" spans="13:34" ht="12.75">
      <c r="M2118" s="162"/>
      <c r="N2118" s="162"/>
      <c r="AG2118" s="142"/>
      <c r="AH2118" s="142"/>
    </row>
    <row r="2119" spans="13:34" ht="12.75">
      <c r="M2119" s="162"/>
      <c r="N2119" s="162"/>
      <c r="AG2119" s="142"/>
      <c r="AH2119" s="142"/>
    </row>
    <row r="2120" spans="13:34" ht="12.75">
      <c r="M2120" s="162"/>
      <c r="N2120" s="162"/>
      <c r="AG2120" s="142"/>
      <c r="AH2120" s="142"/>
    </row>
    <row r="2121" spans="13:34" ht="12.75">
      <c r="M2121" s="162"/>
      <c r="N2121" s="162"/>
      <c r="AG2121" s="142"/>
      <c r="AH2121" s="142"/>
    </row>
    <row r="2122" spans="13:34" ht="12.75">
      <c r="M2122" s="162"/>
      <c r="N2122" s="162"/>
      <c r="AG2122" s="142"/>
      <c r="AH2122" s="142"/>
    </row>
    <row r="2123" spans="13:34" ht="12.75">
      <c r="M2123" s="162"/>
      <c r="N2123" s="162"/>
      <c r="AG2123" s="142"/>
      <c r="AH2123" s="142"/>
    </row>
    <row r="2124" spans="13:34" ht="12.75">
      <c r="M2124" s="162"/>
      <c r="N2124" s="162"/>
      <c r="AG2124" s="142"/>
      <c r="AH2124" s="142"/>
    </row>
    <row r="2125" spans="13:34" ht="12.75">
      <c r="M2125" s="162"/>
      <c r="N2125" s="162"/>
      <c r="AG2125" s="142"/>
      <c r="AH2125" s="142"/>
    </row>
    <row r="2126" spans="13:34" ht="12.75">
      <c r="M2126" s="162"/>
      <c r="N2126" s="162"/>
      <c r="AG2126" s="142"/>
      <c r="AH2126" s="142"/>
    </row>
    <row r="2127" spans="13:34" ht="12.75">
      <c r="M2127" s="162"/>
      <c r="N2127" s="162"/>
      <c r="AG2127" s="142"/>
      <c r="AH2127" s="142"/>
    </row>
    <row r="2128" spans="13:34" ht="12.75">
      <c r="M2128" s="162"/>
      <c r="N2128" s="162"/>
      <c r="AG2128" s="142"/>
      <c r="AH2128" s="142"/>
    </row>
    <row r="2129" spans="13:34" ht="12.75">
      <c r="M2129" s="162"/>
      <c r="N2129" s="162"/>
      <c r="AG2129" s="142"/>
      <c r="AH2129" s="142"/>
    </row>
    <row r="2130" spans="13:34" ht="12.75">
      <c r="M2130" s="162"/>
      <c r="N2130" s="162"/>
      <c r="AG2130" s="142"/>
      <c r="AH2130" s="142"/>
    </row>
    <row r="2131" spans="13:34" ht="12.75">
      <c r="M2131" s="162"/>
      <c r="N2131" s="162"/>
      <c r="AG2131" s="142"/>
      <c r="AH2131" s="142"/>
    </row>
    <row r="2132" spans="13:34" ht="12.75">
      <c r="M2132" s="162"/>
      <c r="N2132" s="162"/>
      <c r="AG2132" s="142"/>
      <c r="AH2132" s="142"/>
    </row>
    <row r="2133" spans="13:34" ht="12.75">
      <c r="M2133" s="162"/>
      <c r="N2133" s="162"/>
      <c r="AG2133" s="142"/>
      <c r="AH2133" s="142"/>
    </row>
    <row r="2134" spans="13:34" ht="12.75">
      <c r="M2134" s="162"/>
      <c r="N2134" s="162"/>
      <c r="AG2134" s="142"/>
      <c r="AH2134" s="142"/>
    </row>
    <row r="2135" spans="13:34" ht="12.75">
      <c r="M2135" s="162"/>
      <c r="N2135" s="162"/>
      <c r="AG2135" s="142"/>
      <c r="AH2135" s="142"/>
    </row>
    <row r="2136" spans="13:34" ht="12.75">
      <c r="M2136" s="162"/>
      <c r="N2136" s="162"/>
      <c r="AG2136" s="142"/>
      <c r="AH2136" s="142"/>
    </row>
    <row r="2137" spans="13:34" ht="12.75">
      <c r="M2137" s="162"/>
      <c r="N2137" s="162"/>
      <c r="AG2137" s="142"/>
      <c r="AH2137" s="142"/>
    </row>
    <row r="2138" spans="13:34" ht="12.75">
      <c r="M2138" s="162"/>
      <c r="N2138" s="162"/>
      <c r="AG2138" s="142"/>
      <c r="AH2138" s="142"/>
    </row>
    <row r="2139" spans="13:34" ht="12.75">
      <c r="M2139" s="162"/>
      <c r="N2139" s="162"/>
      <c r="AG2139" s="142"/>
      <c r="AH2139" s="142"/>
    </row>
    <row r="2140" spans="13:34" ht="12.75">
      <c r="M2140" s="162"/>
      <c r="N2140" s="162"/>
      <c r="AG2140" s="142"/>
      <c r="AH2140" s="142"/>
    </row>
    <row r="2141" spans="13:34" ht="12.75">
      <c r="M2141" s="162"/>
      <c r="N2141" s="162"/>
      <c r="AG2141" s="142"/>
      <c r="AH2141" s="142"/>
    </row>
    <row r="2142" spans="13:34" ht="12.75">
      <c r="M2142" s="162"/>
      <c r="N2142" s="162"/>
      <c r="AG2142" s="142"/>
      <c r="AH2142" s="142"/>
    </row>
    <row r="2143" spans="13:34" ht="12.75">
      <c r="M2143" s="162"/>
      <c r="N2143" s="162"/>
      <c r="AG2143" s="142"/>
      <c r="AH2143" s="142"/>
    </row>
    <row r="2144" spans="13:34" ht="12.75">
      <c r="M2144" s="162"/>
      <c r="N2144" s="162"/>
      <c r="AG2144" s="142"/>
      <c r="AH2144" s="142"/>
    </row>
    <row r="2145" spans="13:34" ht="12.75">
      <c r="M2145" s="162"/>
      <c r="N2145" s="162"/>
      <c r="AG2145" s="142"/>
      <c r="AH2145" s="142"/>
    </row>
    <row r="2146" spans="13:34" ht="12.75">
      <c r="M2146" s="162"/>
      <c r="N2146" s="162"/>
      <c r="AG2146" s="142"/>
      <c r="AH2146" s="142"/>
    </row>
    <row r="2147" spans="13:34" ht="12.75">
      <c r="M2147" s="162"/>
      <c r="N2147" s="162"/>
      <c r="AG2147" s="142"/>
      <c r="AH2147" s="142"/>
    </row>
    <row r="2148" spans="13:34" ht="12.75">
      <c r="M2148" s="162"/>
      <c r="N2148" s="162"/>
      <c r="AG2148" s="142"/>
      <c r="AH2148" s="142"/>
    </row>
    <row r="2149" spans="13:34" ht="12.75">
      <c r="M2149" s="162"/>
      <c r="N2149" s="162"/>
      <c r="AG2149" s="142"/>
      <c r="AH2149" s="142"/>
    </row>
    <row r="2150" spans="13:34" ht="12.75">
      <c r="M2150" s="162"/>
      <c r="N2150" s="162"/>
      <c r="AG2150" s="142"/>
      <c r="AH2150" s="142"/>
    </row>
    <row r="2151" spans="13:34" ht="12.75">
      <c r="M2151" s="162"/>
      <c r="N2151" s="162"/>
      <c r="AG2151" s="142"/>
      <c r="AH2151" s="142"/>
    </row>
    <row r="2152" spans="13:34" ht="12.75">
      <c r="M2152" s="162"/>
      <c r="N2152" s="162"/>
      <c r="AG2152" s="142"/>
      <c r="AH2152" s="142"/>
    </row>
    <row r="2153" spans="13:34" ht="12.75">
      <c r="M2153" s="162"/>
      <c r="N2153" s="162"/>
      <c r="AG2153" s="142"/>
      <c r="AH2153" s="142"/>
    </row>
    <row r="2154" spans="13:34" ht="12.75">
      <c r="M2154" s="162"/>
      <c r="N2154" s="162"/>
      <c r="AG2154" s="142"/>
      <c r="AH2154" s="142"/>
    </row>
    <row r="2155" spans="13:34" ht="12.75">
      <c r="M2155" s="162"/>
      <c r="N2155" s="162"/>
      <c r="AG2155" s="142"/>
      <c r="AH2155" s="142"/>
    </row>
    <row r="2156" spans="13:34" ht="12.75">
      <c r="M2156" s="162"/>
      <c r="N2156" s="162"/>
      <c r="AG2156" s="142"/>
      <c r="AH2156" s="142"/>
    </row>
    <row r="2157" spans="13:34" ht="12.75">
      <c r="M2157" s="162"/>
      <c r="N2157" s="162"/>
      <c r="AG2157" s="142"/>
      <c r="AH2157" s="142"/>
    </row>
    <row r="2158" spans="13:34" ht="12.75">
      <c r="M2158" s="162"/>
      <c r="N2158" s="162"/>
      <c r="AG2158" s="142"/>
      <c r="AH2158" s="142"/>
    </row>
    <row r="2159" spans="13:34" ht="12.75">
      <c r="M2159" s="162"/>
      <c r="N2159" s="162"/>
      <c r="AG2159" s="142"/>
      <c r="AH2159" s="142"/>
    </row>
    <row r="2160" spans="13:34" ht="12.75">
      <c r="M2160" s="162"/>
      <c r="N2160" s="162"/>
      <c r="AG2160" s="142"/>
      <c r="AH2160" s="142"/>
    </row>
    <row r="2161" spans="13:34" ht="12.75">
      <c r="M2161" s="162"/>
      <c r="N2161" s="162"/>
      <c r="AG2161" s="142"/>
      <c r="AH2161" s="142"/>
    </row>
    <row r="2162" spans="13:34" ht="12.75">
      <c r="M2162" s="162"/>
      <c r="N2162" s="162"/>
      <c r="AG2162" s="142"/>
      <c r="AH2162" s="142"/>
    </row>
    <row r="2163" spans="13:34" ht="12.75">
      <c r="M2163" s="162"/>
      <c r="N2163" s="162"/>
      <c r="AG2163" s="142"/>
      <c r="AH2163" s="142"/>
    </row>
    <row r="2164" spans="13:34" ht="12.75">
      <c r="M2164" s="162"/>
      <c r="N2164" s="162"/>
      <c r="AG2164" s="142"/>
      <c r="AH2164" s="142"/>
    </row>
    <row r="2165" spans="13:34" ht="12.75">
      <c r="M2165" s="162"/>
      <c r="N2165" s="162"/>
      <c r="AG2165" s="142"/>
      <c r="AH2165" s="142"/>
    </row>
    <row r="2166" spans="13:34" ht="12.75">
      <c r="M2166" s="162"/>
      <c r="N2166" s="162"/>
      <c r="AG2166" s="142"/>
      <c r="AH2166" s="142"/>
    </row>
    <row r="2167" spans="13:34" ht="12.75">
      <c r="M2167" s="162"/>
      <c r="N2167" s="162"/>
      <c r="AG2167" s="142"/>
      <c r="AH2167" s="142"/>
    </row>
    <row r="2168" spans="13:34" ht="12.75">
      <c r="M2168" s="162"/>
      <c r="N2168" s="162"/>
      <c r="AG2168" s="142"/>
      <c r="AH2168" s="142"/>
    </row>
    <row r="2169" spans="13:34" ht="12.75">
      <c r="M2169" s="162"/>
      <c r="N2169" s="162"/>
      <c r="AG2169" s="142"/>
      <c r="AH2169" s="142"/>
    </row>
    <row r="2170" spans="13:34" ht="12.75">
      <c r="M2170" s="162"/>
      <c r="N2170" s="162"/>
      <c r="AG2170" s="142"/>
      <c r="AH2170" s="142"/>
    </row>
    <row r="2171" spans="13:34" ht="12.75">
      <c r="M2171" s="162"/>
      <c r="N2171" s="162"/>
      <c r="AG2171" s="142"/>
      <c r="AH2171" s="142"/>
    </row>
    <row r="2172" spans="13:34" ht="12.75">
      <c r="M2172" s="162"/>
      <c r="N2172" s="162"/>
      <c r="AG2172" s="142"/>
      <c r="AH2172" s="142"/>
    </row>
    <row r="2173" spans="13:34" ht="12.75">
      <c r="M2173" s="162"/>
      <c r="N2173" s="162"/>
      <c r="AG2173" s="142"/>
      <c r="AH2173" s="142"/>
    </row>
    <row r="2174" spans="13:34" ht="12.75">
      <c r="M2174" s="162"/>
      <c r="N2174" s="162"/>
      <c r="AG2174" s="142"/>
      <c r="AH2174" s="142"/>
    </row>
    <row r="2175" spans="13:34" ht="12.75">
      <c r="M2175" s="162"/>
      <c r="N2175" s="162"/>
      <c r="AG2175" s="142"/>
      <c r="AH2175" s="142"/>
    </row>
    <row r="2176" spans="13:34" ht="12.75">
      <c r="M2176" s="162"/>
      <c r="N2176" s="162"/>
      <c r="AG2176" s="142"/>
      <c r="AH2176" s="142"/>
    </row>
    <row r="2177" spans="13:34" ht="12.75">
      <c r="M2177" s="162"/>
      <c r="N2177" s="162"/>
      <c r="AG2177" s="142"/>
      <c r="AH2177" s="142"/>
    </row>
    <row r="2178" spans="13:34" ht="12.75">
      <c r="M2178" s="162"/>
      <c r="N2178" s="162"/>
      <c r="AG2178" s="142"/>
      <c r="AH2178" s="142"/>
    </row>
    <row r="2179" spans="13:34" ht="12.75">
      <c r="M2179" s="162"/>
      <c r="N2179" s="162"/>
      <c r="AG2179" s="142"/>
      <c r="AH2179" s="142"/>
    </row>
    <row r="2180" spans="13:34" ht="12.75">
      <c r="M2180" s="162"/>
      <c r="N2180" s="162"/>
      <c r="AG2180" s="142"/>
      <c r="AH2180" s="142"/>
    </row>
    <row r="2181" spans="13:34" ht="12.75">
      <c r="M2181" s="162"/>
      <c r="N2181" s="162"/>
      <c r="AG2181" s="142"/>
      <c r="AH2181" s="142"/>
    </row>
    <row r="2182" spans="13:34" ht="12.75">
      <c r="M2182" s="162"/>
      <c r="N2182" s="162"/>
      <c r="AG2182" s="142"/>
      <c r="AH2182" s="142"/>
    </row>
    <row r="2183" spans="13:34" ht="12.75">
      <c r="M2183" s="162"/>
      <c r="N2183" s="162"/>
      <c r="AG2183" s="142"/>
      <c r="AH2183" s="142"/>
    </row>
    <row r="2184" spans="13:34" ht="12.75">
      <c r="M2184" s="162"/>
      <c r="N2184" s="162"/>
      <c r="AG2184" s="142"/>
      <c r="AH2184" s="142"/>
    </row>
    <row r="2185" spans="13:34" ht="12.75">
      <c r="M2185" s="162"/>
      <c r="N2185" s="162"/>
      <c r="AG2185" s="142"/>
      <c r="AH2185" s="142"/>
    </row>
    <row r="2186" spans="13:34" ht="12.75">
      <c r="M2186" s="162"/>
      <c r="N2186" s="162"/>
      <c r="AG2186" s="142"/>
      <c r="AH2186" s="142"/>
    </row>
    <row r="2187" spans="13:34" ht="12.75">
      <c r="M2187" s="162"/>
      <c r="N2187" s="162"/>
      <c r="AG2187" s="142"/>
      <c r="AH2187" s="142"/>
    </row>
    <row r="2188" spans="13:34" ht="12.75">
      <c r="M2188" s="162"/>
      <c r="N2188" s="162"/>
      <c r="AG2188" s="142"/>
      <c r="AH2188" s="142"/>
    </row>
    <row r="2189" spans="13:34" ht="12.75">
      <c r="M2189" s="162"/>
      <c r="N2189" s="162"/>
      <c r="AG2189" s="142"/>
      <c r="AH2189" s="142"/>
    </row>
    <row r="2190" spans="13:34" ht="12.75">
      <c r="M2190" s="162"/>
      <c r="N2190" s="162"/>
      <c r="AG2190" s="142"/>
      <c r="AH2190" s="142"/>
    </row>
    <row r="2191" spans="13:34" ht="12.75">
      <c r="M2191" s="162"/>
      <c r="N2191" s="162"/>
      <c r="AG2191" s="142"/>
      <c r="AH2191" s="142"/>
    </row>
    <row r="2192" spans="13:34" ht="12.75">
      <c r="M2192" s="162"/>
      <c r="N2192" s="162"/>
      <c r="AG2192" s="142"/>
      <c r="AH2192" s="142"/>
    </row>
    <row r="2193" spans="13:34" ht="12.75">
      <c r="M2193" s="162"/>
      <c r="N2193" s="162"/>
      <c r="AG2193" s="142"/>
      <c r="AH2193" s="142"/>
    </row>
    <row r="2194" spans="13:34" ht="12.75">
      <c r="M2194" s="162"/>
      <c r="N2194" s="162"/>
      <c r="AG2194" s="142"/>
      <c r="AH2194" s="142"/>
    </row>
    <row r="2195" spans="13:34" ht="12.75">
      <c r="M2195" s="162"/>
      <c r="N2195" s="162"/>
      <c r="AG2195" s="142"/>
      <c r="AH2195" s="142"/>
    </row>
    <row r="2196" spans="13:34" ht="12.75">
      <c r="M2196" s="162"/>
      <c r="N2196" s="162"/>
      <c r="AG2196" s="142"/>
      <c r="AH2196" s="142"/>
    </row>
    <row r="2197" spans="13:34" ht="12.75">
      <c r="M2197" s="162"/>
      <c r="N2197" s="162"/>
      <c r="AG2197" s="142"/>
      <c r="AH2197" s="142"/>
    </row>
    <row r="2198" spans="13:34" ht="12.75">
      <c r="M2198" s="162"/>
      <c r="N2198" s="162"/>
      <c r="AG2198" s="142"/>
      <c r="AH2198" s="142"/>
    </row>
    <row r="2199" spans="13:34" ht="12.75">
      <c r="M2199" s="162"/>
      <c r="N2199" s="162"/>
      <c r="AG2199" s="142"/>
      <c r="AH2199" s="142"/>
    </row>
    <row r="2200" spans="13:34" ht="12.75">
      <c r="M2200" s="162"/>
      <c r="N2200" s="162"/>
      <c r="AG2200" s="142"/>
      <c r="AH2200" s="142"/>
    </row>
    <row r="2201" spans="13:34" ht="12.75">
      <c r="M2201" s="162"/>
      <c r="N2201" s="162"/>
      <c r="AG2201" s="142"/>
      <c r="AH2201" s="142"/>
    </row>
    <row r="2202" spans="13:34" ht="12.75">
      <c r="M2202" s="162"/>
      <c r="N2202" s="162"/>
      <c r="AG2202" s="142"/>
      <c r="AH2202" s="142"/>
    </row>
    <row r="2203" spans="13:34" ht="12.75">
      <c r="M2203" s="162"/>
      <c r="N2203" s="162"/>
      <c r="AG2203" s="142"/>
      <c r="AH2203" s="142"/>
    </row>
    <row r="2204" spans="13:34" ht="12.75">
      <c r="M2204" s="162"/>
      <c r="N2204" s="162"/>
      <c r="AG2204" s="142"/>
      <c r="AH2204" s="142"/>
    </row>
    <row r="2205" spans="13:34" ht="12.75">
      <c r="M2205" s="162"/>
      <c r="N2205" s="162"/>
      <c r="AG2205" s="142"/>
      <c r="AH2205" s="142"/>
    </row>
    <row r="2206" spans="13:34" ht="12.75">
      <c r="M2206" s="162"/>
      <c r="N2206" s="162"/>
      <c r="AG2206" s="142"/>
      <c r="AH2206" s="142"/>
    </row>
    <row r="2207" spans="13:34" ht="12.75">
      <c r="M2207" s="162"/>
      <c r="N2207" s="162"/>
      <c r="AG2207" s="142"/>
      <c r="AH2207" s="142"/>
    </row>
    <row r="2208" spans="13:34" ht="12.75">
      <c r="M2208" s="162"/>
      <c r="N2208" s="162"/>
      <c r="AG2208" s="142"/>
      <c r="AH2208" s="142"/>
    </row>
    <row r="2209" spans="13:34" ht="12.75">
      <c r="M2209" s="162"/>
      <c r="N2209" s="162"/>
      <c r="AG2209" s="142"/>
      <c r="AH2209" s="142"/>
    </row>
    <row r="2210" spans="13:34" ht="12.75">
      <c r="M2210" s="162"/>
      <c r="N2210" s="162"/>
      <c r="AG2210" s="142"/>
      <c r="AH2210" s="142"/>
    </row>
    <row r="2211" spans="13:34" ht="12.75">
      <c r="M2211" s="162"/>
      <c r="N2211" s="162"/>
      <c r="AG2211" s="142"/>
      <c r="AH2211" s="142"/>
    </row>
    <row r="2212" spans="13:34" ht="12.75">
      <c r="M2212" s="162"/>
      <c r="N2212" s="162"/>
      <c r="AG2212" s="142"/>
      <c r="AH2212" s="142"/>
    </row>
    <row r="2213" spans="13:34" ht="12.75">
      <c r="M2213" s="162"/>
      <c r="N2213" s="162"/>
      <c r="AG2213" s="142"/>
      <c r="AH2213" s="142"/>
    </row>
    <row r="2214" spans="13:34" ht="12.75">
      <c r="M2214" s="162"/>
      <c r="N2214" s="162"/>
      <c r="AG2214" s="142"/>
      <c r="AH2214" s="142"/>
    </row>
    <row r="2215" spans="13:34" ht="12.75">
      <c r="M2215" s="162"/>
      <c r="N2215" s="162"/>
      <c r="AG2215" s="142"/>
      <c r="AH2215" s="142"/>
    </row>
    <row r="2216" spans="13:34" ht="12.75">
      <c r="M2216" s="162"/>
      <c r="N2216" s="162"/>
      <c r="AG2216" s="142"/>
      <c r="AH2216" s="142"/>
    </row>
    <row r="2217" spans="13:34" ht="12.75">
      <c r="M2217" s="162"/>
      <c r="N2217" s="162"/>
      <c r="AG2217" s="142"/>
      <c r="AH2217" s="142"/>
    </row>
    <row r="2218" spans="13:34" ht="12.75">
      <c r="M2218" s="162"/>
      <c r="N2218" s="162"/>
      <c r="AG2218" s="142"/>
      <c r="AH2218" s="142"/>
    </row>
    <row r="2219" spans="13:34" ht="12.75">
      <c r="M2219" s="162"/>
      <c r="N2219" s="162"/>
      <c r="AG2219" s="142"/>
      <c r="AH2219" s="142"/>
    </row>
    <row r="2220" spans="13:34" ht="12.75">
      <c r="M2220" s="162"/>
      <c r="N2220" s="162"/>
      <c r="AG2220" s="142"/>
      <c r="AH2220" s="142"/>
    </row>
    <row r="2221" spans="13:34" ht="12.75">
      <c r="M2221" s="162"/>
      <c r="N2221" s="162"/>
      <c r="AG2221" s="142"/>
      <c r="AH2221" s="142"/>
    </row>
    <row r="2222" spans="13:34" ht="12.75">
      <c r="M2222" s="162"/>
      <c r="N2222" s="162"/>
      <c r="AG2222" s="142"/>
      <c r="AH2222" s="142"/>
    </row>
    <row r="2223" spans="13:34" ht="12.75">
      <c r="M2223" s="162"/>
      <c r="N2223" s="162"/>
      <c r="AG2223" s="142"/>
      <c r="AH2223" s="142"/>
    </row>
    <row r="2224" spans="13:34" ht="12.75">
      <c r="M2224" s="162"/>
      <c r="N2224" s="162"/>
      <c r="AG2224" s="142"/>
      <c r="AH2224" s="142"/>
    </row>
    <row r="2225" spans="13:34" ht="12.75">
      <c r="M2225" s="162"/>
      <c r="N2225" s="162"/>
      <c r="AG2225" s="142"/>
      <c r="AH2225" s="142"/>
    </row>
    <row r="2226" spans="13:34" ht="12.75">
      <c r="M2226" s="162"/>
      <c r="N2226" s="162"/>
      <c r="AG2226" s="142"/>
      <c r="AH2226" s="142"/>
    </row>
    <row r="2227" spans="13:34" ht="12.75">
      <c r="M2227" s="162"/>
      <c r="N2227" s="162"/>
      <c r="AG2227" s="142"/>
      <c r="AH2227" s="142"/>
    </row>
    <row r="2228" spans="13:34" ht="12.75">
      <c r="M2228" s="162"/>
      <c r="N2228" s="162"/>
      <c r="AG2228" s="142"/>
      <c r="AH2228" s="142"/>
    </row>
    <row r="2229" spans="13:34" ht="12.75">
      <c r="M2229" s="162"/>
      <c r="N2229" s="162"/>
      <c r="AG2229" s="142"/>
      <c r="AH2229" s="142"/>
    </row>
    <row r="2230" spans="13:34" ht="12.75">
      <c r="M2230" s="162"/>
      <c r="N2230" s="162"/>
      <c r="AG2230" s="142"/>
      <c r="AH2230" s="142"/>
    </row>
    <row r="2231" spans="13:34" ht="12.75">
      <c r="M2231" s="162"/>
      <c r="N2231" s="162"/>
      <c r="AG2231" s="142"/>
      <c r="AH2231" s="142"/>
    </row>
    <row r="2232" spans="13:34" ht="12.75">
      <c r="M2232" s="162"/>
      <c r="N2232" s="162"/>
      <c r="AG2232" s="142"/>
      <c r="AH2232" s="142"/>
    </row>
    <row r="2233" spans="13:34" ht="12.75">
      <c r="M2233" s="162"/>
      <c r="N2233" s="162"/>
      <c r="AG2233" s="142"/>
      <c r="AH2233" s="142"/>
    </row>
    <row r="2234" spans="13:34" ht="12.75">
      <c r="M2234" s="162"/>
      <c r="N2234" s="162"/>
      <c r="AG2234" s="142"/>
      <c r="AH2234" s="142"/>
    </row>
    <row r="2235" spans="13:34" ht="12.75">
      <c r="M2235" s="162"/>
      <c r="N2235" s="162"/>
      <c r="AG2235" s="142"/>
      <c r="AH2235" s="142"/>
    </row>
    <row r="2236" spans="13:34" ht="12.75">
      <c r="M2236" s="162"/>
      <c r="N2236" s="162"/>
      <c r="AG2236" s="142"/>
      <c r="AH2236" s="142"/>
    </row>
    <row r="2237" spans="13:34" ht="12.75">
      <c r="M2237" s="162"/>
      <c r="N2237" s="162"/>
      <c r="AG2237" s="142"/>
      <c r="AH2237" s="142"/>
    </row>
    <row r="2238" spans="13:34" ht="12.75">
      <c r="M2238" s="162"/>
      <c r="N2238" s="162"/>
      <c r="AG2238" s="142"/>
      <c r="AH2238" s="142"/>
    </row>
    <row r="2239" spans="13:34" ht="12.75">
      <c r="M2239" s="162"/>
      <c r="N2239" s="162"/>
      <c r="AG2239" s="142"/>
      <c r="AH2239" s="142"/>
    </row>
    <row r="2240" spans="13:34" ht="12.75">
      <c r="M2240" s="162"/>
      <c r="N2240" s="162"/>
      <c r="AG2240" s="142"/>
      <c r="AH2240" s="142"/>
    </row>
    <row r="2241" spans="13:34" ht="12.75">
      <c r="M2241" s="162"/>
      <c r="N2241" s="162"/>
      <c r="AG2241" s="142"/>
      <c r="AH2241" s="142"/>
    </row>
    <row r="2242" spans="13:34" ht="12.75">
      <c r="M2242" s="162"/>
      <c r="N2242" s="162"/>
      <c r="AG2242" s="142"/>
      <c r="AH2242" s="142"/>
    </row>
    <row r="2243" spans="13:34" ht="12.75">
      <c r="M2243" s="162"/>
      <c r="N2243" s="162"/>
      <c r="AG2243" s="142"/>
      <c r="AH2243" s="142"/>
    </row>
    <row r="2244" spans="13:34" ht="12.75">
      <c r="M2244" s="162"/>
      <c r="N2244" s="162"/>
      <c r="AG2244" s="142"/>
      <c r="AH2244" s="142"/>
    </row>
    <row r="2245" spans="13:34" ht="12.75">
      <c r="M2245" s="162"/>
      <c r="N2245" s="162"/>
      <c r="AG2245" s="142"/>
      <c r="AH2245" s="142"/>
    </row>
    <row r="2246" spans="13:34" ht="12.75">
      <c r="M2246" s="162"/>
      <c r="N2246" s="162"/>
      <c r="AG2246" s="142"/>
      <c r="AH2246" s="142"/>
    </row>
    <row r="2247" spans="13:34" ht="12.75">
      <c r="M2247" s="162"/>
      <c r="N2247" s="162"/>
      <c r="AG2247" s="142"/>
      <c r="AH2247" s="142"/>
    </row>
    <row r="2248" spans="13:34" ht="12.75">
      <c r="M2248" s="162"/>
      <c r="N2248" s="162"/>
      <c r="AG2248" s="142"/>
      <c r="AH2248" s="142"/>
    </row>
    <row r="2249" spans="13:34" ht="12.75">
      <c r="M2249" s="162"/>
      <c r="N2249" s="162"/>
      <c r="AG2249" s="142"/>
      <c r="AH2249" s="142"/>
    </row>
    <row r="2250" spans="13:34" ht="12.75">
      <c r="M2250" s="162"/>
      <c r="N2250" s="162"/>
      <c r="AG2250" s="142"/>
      <c r="AH2250" s="142"/>
    </row>
    <row r="2251" spans="13:34" ht="12.75">
      <c r="M2251" s="162"/>
      <c r="N2251" s="162"/>
      <c r="AG2251" s="142"/>
      <c r="AH2251" s="142"/>
    </row>
    <row r="2252" spans="13:34" ht="12.75">
      <c r="M2252" s="162"/>
      <c r="N2252" s="162"/>
      <c r="AG2252" s="142"/>
      <c r="AH2252" s="142"/>
    </row>
    <row r="2253" spans="13:34" ht="12.75">
      <c r="M2253" s="162"/>
      <c r="N2253" s="162"/>
      <c r="AG2253" s="142"/>
      <c r="AH2253" s="142"/>
    </row>
    <row r="2254" spans="13:34" ht="12.75">
      <c r="M2254" s="162"/>
      <c r="N2254" s="162"/>
      <c r="AG2254" s="142"/>
      <c r="AH2254" s="142"/>
    </row>
    <row r="2255" spans="13:34" ht="12.75">
      <c r="M2255" s="162"/>
      <c r="N2255" s="162"/>
      <c r="AG2255" s="142"/>
      <c r="AH2255" s="142"/>
    </row>
    <row r="2256" spans="13:34" ht="12.75">
      <c r="M2256" s="162"/>
      <c r="N2256" s="162"/>
      <c r="AG2256" s="142"/>
      <c r="AH2256" s="142"/>
    </row>
    <row r="2257" spans="13:34" ht="12.75">
      <c r="M2257" s="162"/>
      <c r="N2257" s="162"/>
      <c r="AG2257" s="142"/>
      <c r="AH2257" s="142"/>
    </row>
    <row r="2258" spans="13:34" ht="12.75">
      <c r="M2258" s="162"/>
      <c r="N2258" s="162"/>
      <c r="AG2258" s="142"/>
      <c r="AH2258" s="142"/>
    </row>
    <row r="2259" spans="13:34" ht="12.75">
      <c r="M2259" s="162"/>
      <c r="N2259" s="162"/>
      <c r="AG2259" s="142"/>
      <c r="AH2259" s="142"/>
    </row>
    <row r="2260" spans="13:34" ht="12.75">
      <c r="M2260" s="162"/>
      <c r="N2260" s="162"/>
      <c r="AG2260" s="142"/>
      <c r="AH2260" s="142"/>
    </row>
    <row r="2261" spans="13:34" ht="12.75">
      <c r="M2261" s="162"/>
      <c r="N2261" s="162"/>
      <c r="AG2261" s="142"/>
      <c r="AH2261" s="142"/>
    </row>
    <row r="2262" spans="13:34" ht="12.75">
      <c r="M2262" s="162"/>
      <c r="N2262" s="162"/>
      <c r="AG2262" s="142"/>
      <c r="AH2262" s="142"/>
    </row>
    <row r="2263" spans="13:34" ht="12.75">
      <c r="M2263" s="162"/>
      <c r="N2263" s="162"/>
      <c r="AG2263" s="142"/>
      <c r="AH2263" s="142"/>
    </row>
    <row r="2264" spans="13:34" ht="12.75">
      <c r="M2264" s="162"/>
      <c r="N2264" s="162"/>
      <c r="AG2264" s="142"/>
      <c r="AH2264" s="142"/>
    </row>
    <row r="2265" spans="13:34" ht="12.75">
      <c r="M2265" s="162"/>
      <c r="N2265" s="162"/>
      <c r="AG2265" s="142"/>
      <c r="AH2265" s="142"/>
    </row>
    <row r="2266" spans="13:34" ht="12.75">
      <c r="M2266" s="162"/>
      <c r="N2266" s="162"/>
      <c r="AG2266" s="142"/>
      <c r="AH2266" s="142"/>
    </row>
    <row r="2267" spans="13:34" ht="12.75">
      <c r="M2267" s="162"/>
      <c r="N2267" s="162"/>
      <c r="AG2267" s="142"/>
      <c r="AH2267" s="142"/>
    </row>
    <row r="2268" spans="13:34" ht="12.75">
      <c r="M2268" s="162"/>
      <c r="N2268" s="162"/>
      <c r="AG2268" s="142"/>
      <c r="AH2268" s="142"/>
    </row>
    <row r="2269" spans="13:34" ht="12.75">
      <c r="M2269" s="162"/>
      <c r="N2269" s="162"/>
      <c r="AG2269" s="142"/>
      <c r="AH2269" s="142"/>
    </row>
    <row r="2270" spans="13:34" ht="12.75">
      <c r="M2270" s="162"/>
      <c r="N2270" s="162"/>
      <c r="AG2270" s="142"/>
      <c r="AH2270" s="142"/>
    </row>
    <row r="2271" spans="13:34" ht="12.75">
      <c r="M2271" s="162"/>
      <c r="N2271" s="162"/>
      <c r="AG2271" s="142"/>
      <c r="AH2271" s="142"/>
    </row>
    <row r="2272" spans="13:34" ht="12.75">
      <c r="M2272" s="162"/>
      <c r="N2272" s="162"/>
      <c r="AG2272" s="142"/>
      <c r="AH2272" s="142"/>
    </row>
    <row r="2273" spans="13:34" ht="12.75">
      <c r="M2273" s="162"/>
      <c r="N2273" s="162"/>
      <c r="AG2273" s="142"/>
      <c r="AH2273" s="142"/>
    </row>
    <row r="2274" spans="13:34" ht="12.75">
      <c r="M2274" s="162"/>
      <c r="N2274" s="162"/>
      <c r="AG2274" s="142"/>
      <c r="AH2274" s="142"/>
    </row>
    <row r="2275" spans="13:34" ht="12.75">
      <c r="M2275" s="162"/>
      <c r="N2275" s="162"/>
      <c r="AG2275" s="142"/>
      <c r="AH2275" s="142"/>
    </row>
    <row r="2276" spans="13:34" ht="12.75">
      <c r="M2276" s="162"/>
      <c r="N2276" s="162"/>
      <c r="AG2276" s="142"/>
      <c r="AH2276" s="142"/>
    </row>
    <row r="2277" spans="13:34" ht="12.75">
      <c r="M2277" s="162"/>
      <c r="N2277" s="162"/>
      <c r="AG2277" s="142"/>
      <c r="AH2277" s="142"/>
    </row>
    <row r="2278" spans="13:34" ht="12.75">
      <c r="M2278" s="162"/>
      <c r="N2278" s="162"/>
      <c r="AG2278" s="142"/>
      <c r="AH2278" s="142"/>
    </row>
    <row r="2279" spans="13:34" ht="12.75">
      <c r="M2279" s="162"/>
      <c r="N2279" s="162"/>
      <c r="AG2279" s="142"/>
      <c r="AH2279" s="142"/>
    </row>
    <row r="2280" spans="13:34" ht="12.75">
      <c r="M2280" s="162"/>
      <c r="N2280" s="162"/>
      <c r="AG2280" s="142"/>
      <c r="AH2280" s="142"/>
    </row>
    <row r="2281" spans="13:34" ht="12.75">
      <c r="M2281" s="162"/>
      <c r="N2281" s="162"/>
      <c r="AG2281" s="142"/>
      <c r="AH2281" s="142"/>
    </row>
    <row r="2282" spans="13:34" ht="12.75">
      <c r="M2282" s="162"/>
      <c r="N2282" s="162"/>
      <c r="AG2282" s="142"/>
      <c r="AH2282" s="142"/>
    </row>
    <row r="2283" spans="13:34" ht="12.75">
      <c r="M2283" s="162"/>
      <c r="N2283" s="162"/>
      <c r="AG2283" s="142"/>
      <c r="AH2283" s="142"/>
    </row>
    <row r="2284" spans="13:34" ht="12.75">
      <c r="M2284" s="162"/>
      <c r="N2284" s="162"/>
      <c r="AG2284" s="142"/>
      <c r="AH2284" s="142"/>
    </row>
    <row r="2285" spans="13:34" ht="12.75">
      <c r="M2285" s="162"/>
      <c r="N2285" s="162"/>
      <c r="AG2285" s="142"/>
      <c r="AH2285" s="142"/>
    </row>
    <row r="2286" spans="13:34" ht="12.75">
      <c r="M2286" s="162"/>
      <c r="N2286" s="162"/>
      <c r="AG2286" s="142"/>
      <c r="AH2286" s="142"/>
    </row>
    <row r="2287" spans="13:34" ht="12.75">
      <c r="M2287" s="162"/>
      <c r="N2287" s="162"/>
      <c r="AG2287" s="142"/>
      <c r="AH2287" s="142"/>
    </row>
    <row r="2288" spans="13:34" ht="12.75">
      <c r="M2288" s="162"/>
      <c r="N2288" s="162"/>
      <c r="AG2288" s="142"/>
      <c r="AH2288" s="142"/>
    </row>
    <row r="2289" spans="13:34" ht="12.75">
      <c r="M2289" s="162"/>
      <c r="N2289" s="162"/>
      <c r="AG2289" s="142"/>
      <c r="AH2289" s="142"/>
    </row>
    <row r="2290" spans="13:34" ht="12.75">
      <c r="M2290" s="162"/>
      <c r="N2290" s="162"/>
      <c r="AG2290" s="142"/>
      <c r="AH2290" s="142"/>
    </row>
    <row r="2291" spans="13:34" ht="12.75">
      <c r="M2291" s="162"/>
      <c r="N2291" s="162"/>
      <c r="AG2291" s="142"/>
      <c r="AH2291" s="142"/>
    </row>
    <row r="2292" spans="13:34" ht="12.75">
      <c r="M2292" s="162"/>
      <c r="N2292" s="162"/>
      <c r="AG2292" s="142"/>
      <c r="AH2292" s="142"/>
    </row>
    <row r="2293" spans="13:34" ht="12.75">
      <c r="M2293" s="162"/>
      <c r="N2293" s="162"/>
      <c r="AG2293" s="142"/>
      <c r="AH2293" s="142"/>
    </row>
    <row r="2294" spans="13:34" ht="12.75">
      <c r="M2294" s="162"/>
      <c r="N2294" s="162"/>
      <c r="AG2294" s="142"/>
      <c r="AH2294" s="142"/>
    </row>
    <row r="2295" spans="13:34" ht="12.75">
      <c r="M2295" s="162"/>
      <c r="N2295" s="162"/>
      <c r="AG2295" s="142"/>
      <c r="AH2295" s="142"/>
    </row>
    <row r="2296" spans="13:34" ht="12.75">
      <c r="M2296" s="162"/>
      <c r="N2296" s="162"/>
      <c r="AG2296" s="142"/>
      <c r="AH2296" s="142"/>
    </row>
    <row r="2297" spans="13:34" ht="12.75">
      <c r="M2297" s="162"/>
      <c r="N2297" s="162"/>
      <c r="AG2297" s="142"/>
      <c r="AH2297" s="142"/>
    </row>
    <row r="2298" spans="13:34" ht="12.75">
      <c r="M2298" s="162"/>
      <c r="N2298" s="162"/>
      <c r="AG2298" s="142"/>
      <c r="AH2298" s="142"/>
    </row>
    <row r="2299" spans="13:34" ht="12.75">
      <c r="M2299" s="162"/>
      <c r="N2299" s="162"/>
      <c r="AG2299" s="142"/>
      <c r="AH2299" s="142"/>
    </row>
    <row r="2300" spans="13:34" ht="12.75">
      <c r="M2300" s="162"/>
      <c r="N2300" s="162"/>
      <c r="AG2300" s="142"/>
      <c r="AH2300" s="142"/>
    </row>
    <row r="2301" spans="13:34" ht="12.75">
      <c r="M2301" s="162"/>
      <c r="N2301" s="162"/>
      <c r="AG2301" s="142"/>
      <c r="AH2301" s="142"/>
    </row>
    <row r="2302" spans="13:34" ht="12.75">
      <c r="M2302" s="162"/>
      <c r="N2302" s="162"/>
      <c r="AG2302" s="142"/>
      <c r="AH2302" s="142"/>
    </row>
    <row r="2303" spans="13:34" ht="12.75">
      <c r="M2303" s="162"/>
      <c r="N2303" s="162"/>
      <c r="AG2303" s="142"/>
      <c r="AH2303" s="142"/>
    </row>
    <row r="2304" spans="13:34" ht="12.75">
      <c r="M2304" s="162"/>
      <c r="N2304" s="162"/>
      <c r="AG2304" s="142"/>
      <c r="AH2304" s="142"/>
    </row>
    <row r="2305" spans="13:34" ht="12.75">
      <c r="M2305" s="162"/>
      <c r="N2305" s="162"/>
      <c r="AG2305" s="142"/>
      <c r="AH2305" s="142"/>
    </row>
    <row r="2306" spans="13:34" ht="12.75">
      <c r="M2306" s="162"/>
      <c r="N2306" s="162"/>
      <c r="AG2306" s="142"/>
      <c r="AH2306" s="142"/>
    </row>
    <row r="2307" spans="13:34" ht="12.75">
      <c r="M2307" s="162"/>
      <c r="N2307" s="162"/>
      <c r="AG2307" s="142"/>
      <c r="AH2307" s="142"/>
    </row>
    <row r="2308" spans="13:34" ht="12.75">
      <c r="M2308" s="162"/>
      <c r="N2308" s="162"/>
      <c r="AG2308" s="142"/>
      <c r="AH2308" s="142"/>
    </row>
    <row r="2309" spans="13:34" ht="12.75">
      <c r="M2309" s="162"/>
      <c r="N2309" s="162"/>
      <c r="AG2309" s="142"/>
      <c r="AH2309" s="142"/>
    </row>
    <row r="2310" spans="13:34" ht="12.75">
      <c r="M2310" s="162"/>
      <c r="N2310" s="162"/>
      <c r="AG2310" s="142"/>
      <c r="AH2310" s="142"/>
    </row>
    <row r="2311" spans="13:34" ht="12.75">
      <c r="M2311" s="162"/>
      <c r="N2311" s="162"/>
      <c r="AG2311" s="142"/>
      <c r="AH2311" s="142"/>
    </row>
    <row r="2312" spans="13:34" ht="12.75">
      <c r="M2312" s="162"/>
      <c r="N2312" s="162"/>
      <c r="AG2312" s="142"/>
      <c r="AH2312" s="142"/>
    </row>
    <row r="2313" spans="13:34" ht="12.75">
      <c r="M2313" s="162"/>
      <c r="N2313" s="162"/>
      <c r="AG2313" s="142"/>
      <c r="AH2313" s="142"/>
    </row>
    <row r="2314" spans="13:34" ht="12.75">
      <c r="M2314" s="162"/>
      <c r="N2314" s="162"/>
      <c r="AG2314" s="142"/>
      <c r="AH2314" s="142"/>
    </row>
    <row r="2315" spans="13:34" ht="12.75">
      <c r="M2315" s="162"/>
      <c r="N2315" s="162"/>
      <c r="AG2315" s="142"/>
      <c r="AH2315" s="142"/>
    </row>
    <row r="2316" spans="13:34" ht="12.75">
      <c r="M2316" s="162"/>
      <c r="N2316" s="162"/>
      <c r="AG2316" s="142"/>
      <c r="AH2316" s="142"/>
    </row>
    <row r="2317" spans="13:34" ht="12.75">
      <c r="M2317" s="162"/>
      <c r="N2317" s="162"/>
      <c r="AG2317" s="142"/>
      <c r="AH2317" s="142"/>
    </row>
    <row r="2318" spans="13:34" ht="12.75">
      <c r="M2318" s="162"/>
      <c r="N2318" s="162"/>
      <c r="AG2318" s="142"/>
      <c r="AH2318" s="142"/>
    </row>
    <row r="2319" spans="13:34" ht="12.75">
      <c r="M2319" s="162"/>
      <c r="N2319" s="162"/>
      <c r="AG2319" s="142"/>
      <c r="AH2319" s="142"/>
    </row>
    <row r="2320" spans="13:34" ht="12.75">
      <c r="M2320" s="162"/>
      <c r="N2320" s="162"/>
      <c r="AG2320" s="142"/>
      <c r="AH2320" s="142"/>
    </row>
    <row r="2321" spans="13:34" ht="12.75">
      <c r="M2321" s="162"/>
      <c r="N2321" s="162"/>
      <c r="AG2321" s="142"/>
      <c r="AH2321" s="142"/>
    </row>
    <row r="2322" spans="13:34" ht="12.75">
      <c r="M2322" s="162"/>
      <c r="N2322" s="162"/>
      <c r="AG2322" s="142"/>
      <c r="AH2322" s="142"/>
    </row>
    <row r="2323" spans="13:34" ht="12.75">
      <c r="M2323" s="162"/>
      <c r="N2323" s="162"/>
      <c r="AG2323" s="142"/>
      <c r="AH2323" s="142"/>
    </row>
    <row r="2324" spans="13:34" ht="12.75">
      <c r="M2324" s="162"/>
      <c r="N2324" s="162"/>
      <c r="AG2324" s="142"/>
      <c r="AH2324" s="142"/>
    </row>
    <row r="2325" spans="13:34" ht="12.75">
      <c r="M2325" s="162"/>
      <c r="N2325" s="162"/>
      <c r="AG2325" s="142"/>
      <c r="AH2325" s="142"/>
    </row>
    <row r="2326" spans="13:34" ht="12.75">
      <c r="M2326" s="162"/>
      <c r="N2326" s="162"/>
      <c r="AG2326" s="142"/>
      <c r="AH2326" s="142"/>
    </row>
    <row r="2327" spans="13:34" ht="12.75">
      <c r="M2327" s="162"/>
      <c r="N2327" s="162"/>
      <c r="AG2327" s="142"/>
      <c r="AH2327" s="142"/>
    </row>
    <row r="2328" spans="13:34" ht="12.75">
      <c r="M2328" s="162"/>
      <c r="N2328" s="162"/>
      <c r="AG2328" s="142"/>
      <c r="AH2328" s="142"/>
    </row>
    <row r="2329" spans="13:34" ht="12.75">
      <c r="M2329" s="162"/>
      <c r="N2329" s="162"/>
      <c r="AG2329" s="142"/>
      <c r="AH2329" s="142"/>
    </row>
    <row r="2330" spans="13:34" ht="12.75">
      <c r="M2330" s="162"/>
      <c r="N2330" s="162"/>
      <c r="AG2330" s="142"/>
      <c r="AH2330" s="142"/>
    </row>
    <row r="2331" spans="13:34" ht="12.75">
      <c r="M2331" s="162"/>
      <c r="N2331" s="162"/>
      <c r="AG2331" s="142"/>
      <c r="AH2331" s="142"/>
    </row>
    <row r="2332" spans="13:34" ht="12.75">
      <c r="M2332" s="162"/>
      <c r="N2332" s="162"/>
      <c r="AG2332" s="142"/>
      <c r="AH2332" s="142"/>
    </row>
    <row r="2333" spans="13:34" ht="12.75">
      <c r="M2333" s="162"/>
      <c r="N2333" s="162"/>
      <c r="AG2333" s="142"/>
      <c r="AH2333" s="142"/>
    </row>
    <row r="2334" spans="13:34" ht="12.75">
      <c r="M2334" s="162"/>
      <c r="N2334" s="162"/>
      <c r="AG2334" s="142"/>
      <c r="AH2334" s="142"/>
    </row>
    <row r="2335" spans="13:34" ht="12.75">
      <c r="M2335" s="162"/>
      <c r="N2335" s="162"/>
      <c r="AG2335" s="142"/>
      <c r="AH2335" s="142"/>
    </row>
    <row r="2336" spans="13:34" ht="12.75">
      <c r="M2336" s="162"/>
      <c r="N2336" s="162"/>
      <c r="AG2336" s="142"/>
      <c r="AH2336" s="142"/>
    </row>
    <row r="2337" spans="13:34" ht="12.75">
      <c r="M2337" s="162"/>
      <c r="N2337" s="162"/>
      <c r="AG2337" s="142"/>
      <c r="AH2337" s="142"/>
    </row>
    <row r="2338" spans="13:34" ht="12.75">
      <c r="M2338" s="162"/>
      <c r="N2338" s="162"/>
      <c r="AG2338" s="142"/>
      <c r="AH2338" s="142"/>
    </row>
    <row r="2339" spans="13:34" ht="12.75">
      <c r="M2339" s="162"/>
      <c r="N2339" s="162"/>
      <c r="AG2339" s="142"/>
      <c r="AH2339" s="142"/>
    </row>
    <row r="2340" spans="13:34" ht="12.75">
      <c r="M2340" s="162"/>
      <c r="N2340" s="162"/>
      <c r="AG2340" s="142"/>
      <c r="AH2340" s="142"/>
    </row>
    <row r="2341" spans="13:34" ht="12.75">
      <c r="M2341" s="162"/>
      <c r="N2341" s="162"/>
      <c r="AG2341" s="142"/>
      <c r="AH2341" s="142"/>
    </row>
    <row r="2342" spans="13:34" ht="12.75">
      <c r="M2342" s="162"/>
      <c r="N2342" s="162"/>
      <c r="AG2342" s="142"/>
      <c r="AH2342" s="142"/>
    </row>
    <row r="2343" spans="13:34" ht="12.75">
      <c r="M2343" s="162"/>
      <c r="N2343" s="162"/>
      <c r="AG2343" s="142"/>
      <c r="AH2343" s="142"/>
    </row>
    <row r="2344" spans="13:34" ht="12.75">
      <c r="M2344" s="162"/>
      <c r="N2344" s="162"/>
      <c r="AG2344" s="142"/>
      <c r="AH2344" s="142"/>
    </row>
    <row r="2345" spans="13:34" ht="12.75">
      <c r="M2345" s="162"/>
      <c r="N2345" s="162"/>
      <c r="AG2345" s="142"/>
      <c r="AH2345" s="142"/>
    </row>
    <row r="2346" spans="13:34" ht="12.75">
      <c r="M2346" s="162"/>
      <c r="N2346" s="162"/>
      <c r="AG2346" s="142"/>
      <c r="AH2346" s="142"/>
    </row>
    <row r="2347" spans="13:34" ht="12.75">
      <c r="M2347" s="162"/>
      <c r="N2347" s="162"/>
      <c r="AG2347" s="142"/>
      <c r="AH2347" s="142"/>
    </row>
    <row r="2348" spans="13:34" ht="12.75">
      <c r="M2348" s="162"/>
      <c r="N2348" s="162"/>
      <c r="AG2348" s="142"/>
      <c r="AH2348" s="142"/>
    </row>
    <row r="2349" spans="13:34" ht="12.75">
      <c r="M2349" s="162"/>
      <c r="N2349" s="162"/>
      <c r="AG2349" s="142"/>
      <c r="AH2349" s="142"/>
    </row>
    <row r="2350" spans="13:34" ht="12.75">
      <c r="M2350" s="162"/>
      <c r="N2350" s="162"/>
      <c r="AG2350" s="142"/>
      <c r="AH2350" s="142"/>
    </row>
    <row r="2351" spans="13:34" ht="12.75">
      <c r="M2351" s="162"/>
      <c r="N2351" s="162"/>
      <c r="AG2351" s="142"/>
      <c r="AH2351" s="142"/>
    </row>
    <row r="2352" spans="13:34" ht="12.75">
      <c r="M2352" s="162"/>
      <c r="N2352" s="162"/>
      <c r="AG2352" s="142"/>
      <c r="AH2352" s="142"/>
    </row>
    <row r="2353" spans="13:34" ht="12.75">
      <c r="M2353" s="162"/>
      <c r="N2353" s="162"/>
      <c r="AG2353" s="142"/>
      <c r="AH2353" s="142"/>
    </row>
    <row r="2354" spans="13:34" ht="12.75">
      <c r="M2354" s="162"/>
      <c r="N2354" s="162"/>
      <c r="AG2354" s="142"/>
      <c r="AH2354" s="142"/>
    </row>
    <row r="2355" spans="13:34" ht="12.75">
      <c r="M2355" s="162"/>
      <c r="N2355" s="162"/>
      <c r="AG2355" s="142"/>
      <c r="AH2355" s="142"/>
    </row>
    <row r="2356" spans="13:34" ht="12.75">
      <c r="M2356" s="162"/>
      <c r="N2356" s="162"/>
      <c r="AG2356" s="142"/>
      <c r="AH2356" s="142"/>
    </row>
    <row r="2357" spans="13:34" ht="12.75">
      <c r="M2357" s="162"/>
      <c r="N2357" s="162"/>
      <c r="AG2357" s="142"/>
      <c r="AH2357" s="142"/>
    </row>
    <row r="2358" spans="13:34" ht="12.75">
      <c r="M2358" s="162"/>
      <c r="N2358" s="162"/>
      <c r="AG2358" s="142"/>
      <c r="AH2358" s="142"/>
    </row>
    <row r="2359" spans="13:34" ht="12.75">
      <c r="M2359" s="162"/>
      <c r="N2359" s="162"/>
      <c r="AG2359" s="142"/>
      <c r="AH2359" s="142"/>
    </row>
    <row r="2360" spans="13:34" ht="12.75">
      <c r="M2360" s="162"/>
      <c r="N2360" s="162"/>
      <c r="AG2360" s="142"/>
      <c r="AH2360" s="142"/>
    </row>
    <row r="2361" spans="13:34" ht="12.75">
      <c r="M2361" s="162"/>
      <c r="N2361" s="162"/>
      <c r="AG2361" s="142"/>
      <c r="AH2361" s="142"/>
    </row>
    <row r="2362" spans="13:34" ht="12.75">
      <c r="M2362" s="162"/>
      <c r="N2362" s="162"/>
      <c r="AG2362" s="142"/>
      <c r="AH2362" s="142"/>
    </row>
    <row r="2363" spans="13:34" ht="12.75">
      <c r="M2363" s="162"/>
      <c r="N2363" s="162"/>
      <c r="AG2363" s="142"/>
      <c r="AH2363" s="142"/>
    </row>
    <row r="2364" spans="13:34" ht="12.75">
      <c r="M2364" s="162"/>
      <c r="N2364" s="162"/>
      <c r="AG2364" s="142"/>
      <c r="AH2364" s="142"/>
    </row>
    <row r="2365" spans="13:34" ht="12.75">
      <c r="M2365" s="162"/>
      <c r="N2365" s="162"/>
      <c r="AG2365" s="142"/>
      <c r="AH2365" s="142"/>
    </row>
    <row r="2366" spans="13:34" ht="12.75">
      <c r="M2366" s="162"/>
      <c r="N2366" s="162"/>
      <c r="AG2366" s="142"/>
      <c r="AH2366" s="142"/>
    </row>
    <row r="2367" spans="13:34" ht="12.75">
      <c r="M2367" s="162"/>
      <c r="N2367" s="162"/>
      <c r="AG2367" s="142"/>
      <c r="AH2367" s="142"/>
    </row>
    <row r="2368" spans="13:34" ht="12.75">
      <c r="M2368" s="162"/>
      <c r="N2368" s="162"/>
      <c r="AG2368" s="142"/>
      <c r="AH2368" s="142"/>
    </row>
    <row r="2369" spans="13:34" ht="12.75">
      <c r="M2369" s="162"/>
      <c r="N2369" s="162"/>
      <c r="AG2369" s="142"/>
      <c r="AH2369" s="142"/>
    </row>
    <row r="2370" spans="13:34" ht="12.75">
      <c r="M2370" s="162"/>
      <c r="N2370" s="162"/>
      <c r="AG2370" s="142"/>
      <c r="AH2370" s="142"/>
    </row>
    <row r="2371" spans="13:34" ht="12.75">
      <c r="M2371" s="162"/>
      <c r="N2371" s="162"/>
      <c r="AG2371" s="142"/>
      <c r="AH2371" s="142"/>
    </row>
    <row r="2372" spans="13:34" ht="12.75">
      <c r="M2372" s="162"/>
      <c r="N2372" s="162"/>
      <c r="AG2372" s="142"/>
      <c r="AH2372" s="142"/>
    </row>
    <row r="2373" spans="13:34" ht="12.75">
      <c r="M2373" s="162"/>
      <c r="N2373" s="162"/>
      <c r="AG2373" s="142"/>
      <c r="AH2373" s="142"/>
    </row>
    <row r="2374" spans="13:34" ht="12.75">
      <c r="M2374" s="162"/>
      <c r="N2374" s="162"/>
      <c r="AG2374" s="142"/>
      <c r="AH2374" s="142"/>
    </row>
    <row r="2375" spans="13:34" ht="12.75">
      <c r="M2375" s="162"/>
      <c r="N2375" s="162"/>
      <c r="AG2375" s="142"/>
      <c r="AH2375" s="142"/>
    </row>
    <row r="2376" spans="13:34" ht="12.75">
      <c r="M2376" s="162"/>
      <c r="N2376" s="162"/>
      <c r="AG2376" s="142"/>
      <c r="AH2376" s="142"/>
    </row>
    <row r="2377" spans="13:34" ht="12.75">
      <c r="M2377" s="162"/>
      <c r="N2377" s="162"/>
      <c r="AG2377" s="142"/>
      <c r="AH2377" s="142"/>
    </row>
    <row r="2378" spans="13:34" ht="12.75">
      <c r="M2378" s="162"/>
      <c r="N2378" s="162"/>
      <c r="AG2378" s="142"/>
      <c r="AH2378" s="142"/>
    </row>
    <row r="2379" spans="13:34" ht="12.75">
      <c r="M2379" s="162"/>
      <c r="N2379" s="162"/>
      <c r="AG2379" s="142"/>
      <c r="AH2379" s="142"/>
    </row>
    <row r="2380" spans="13:34" ht="12.75">
      <c r="M2380" s="162"/>
      <c r="N2380" s="162"/>
      <c r="AG2380" s="142"/>
      <c r="AH2380" s="142"/>
    </row>
    <row r="2381" spans="13:34" ht="12.75">
      <c r="M2381" s="162"/>
      <c r="N2381" s="162"/>
      <c r="AG2381" s="142"/>
      <c r="AH2381" s="142"/>
    </row>
    <row r="2382" spans="13:34" ht="12.75">
      <c r="M2382" s="162"/>
      <c r="N2382" s="162"/>
      <c r="AG2382" s="142"/>
      <c r="AH2382" s="142"/>
    </row>
    <row r="2383" spans="13:34" ht="12.75">
      <c r="M2383" s="162"/>
      <c r="N2383" s="162"/>
      <c r="AG2383" s="142"/>
      <c r="AH2383" s="142"/>
    </row>
    <row r="2384" spans="13:34" ht="12.75">
      <c r="M2384" s="162"/>
      <c r="N2384" s="162"/>
      <c r="AG2384" s="142"/>
      <c r="AH2384" s="142"/>
    </row>
    <row r="2385" spans="13:34" ht="12.75">
      <c r="M2385" s="162"/>
      <c r="N2385" s="162"/>
      <c r="AG2385" s="142"/>
      <c r="AH2385" s="142"/>
    </row>
    <row r="2386" spans="13:34" ht="12.75">
      <c r="M2386" s="162"/>
      <c r="N2386" s="162"/>
      <c r="AG2386" s="142"/>
      <c r="AH2386" s="142"/>
    </row>
    <row r="2387" spans="13:34" ht="12.75">
      <c r="M2387" s="162"/>
      <c r="N2387" s="162"/>
      <c r="AG2387" s="142"/>
      <c r="AH2387" s="142"/>
    </row>
    <row r="2388" spans="13:34" ht="12.75">
      <c r="M2388" s="162"/>
      <c r="N2388" s="162"/>
      <c r="AG2388" s="142"/>
      <c r="AH2388" s="142"/>
    </row>
    <row r="2389" spans="13:34" ht="12.75">
      <c r="M2389" s="162"/>
      <c r="N2389" s="162"/>
      <c r="AG2389" s="142"/>
      <c r="AH2389" s="142"/>
    </row>
    <row r="2390" spans="13:34" ht="12.75">
      <c r="M2390" s="162"/>
      <c r="N2390" s="162"/>
      <c r="AG2390" s="142"/>
      <c r="AH2390" s="142"/>
    </row>
    <row r="2391" spans="13:34" ht="12.75">
      <c r="M2391" s="162"/>
      <c r="N2391" s="162"/>
      <c r="AG2391" s="142"/>
      <c r="AH2391" s="142"/>
    </row>
    <row r="2392" spans="13:34" ht="12.75">
      <c r="M2392" s="162"/>
      <c r="N2392" s="162"/>
      <c r="AG2392" s="142"/>
      <c r="AH2392" s="142"/>
    </row>
    <row r="2393" spans="13:34" ht="12.75">
      <c r="M2393" s="162"/>
      <c r="N2393" s="162"/>
      <c r="AG2393" s="142"/>
      <c r="AH2393" s="142"/>
    </row>
    <row r="2394" spans="13:34" ht="12.75">
      <c r="M2394" s="162"/>
      <c r="N2394" s="162"/>
      <c r="AG2394" s="142"/>
      <c r="AH2394" s="142"/>
    </row>
    <row r="2395" spans="13:34" ht="12.75">
      <c r="M2395" s="162"/>
      <c r="N2395" s="162"/>
      <c r="AG2395" s="142"/>
      <c r="AH2395" s="142"/>
    </row>
    <row r="2396" spans="13:34" ht="12.75">
      <c r="M2396" s="162"/>
      <c r="N2396" s="162"/>
      <c r="AG2396" s="142"/>
      <c r="AH2396" s="142"/>
    </row>
    <row r="2397" spans="13:34" ht="12.75">
      <c r="M2397" s="162"/>
      <c r="N2397" s="162"/>
      <c r="AG2397" s="142"/>
      <c r="AH2397" s="142"/>
    </row>
    <row r="2398" spans="13:34" ht="12.75">
      <c r="M2398" s="162"/>
      <c r="N2398" s="162"/>
      <c r="AG2398" s="142"/>
      <c r="AH2398" s="142"/>
    </row>
    <row r="2399" spans="13:34" ht="12.75">
      <c r="M2399" s="162"/>
      <c r="N2399" s="162"/>
      <c r="AG2399" s="142"/>
      <c r="AH2399" s="142"/>
    </row>
    <row r="2400" spans="13:34" ht="12.75">
      <c r="M2400" s="162"/>
      <c r="N2400" s="162"/>
      <c r="AG2400" s="142"/>
      <c r="AH2400" s="142"/>
    </row>
    <row r="2401" spans="13:34" ht="12.75">
      <c r="M2401" s="162"/>
      <c r="N2401" s="162"/>
      <c r="AG2401" s="142"/>
      <c r="AH2401" s="142"/>
    </row>
    <row r="2402" spans="13:34" ht="12.75">
      <c r="M2402" s="162"/>
      <c r="N2402" s="162"/>
      <c r="AG2402" s="142"/>
      <c r="AH2402" s="142"/>
    </row>
    <row r="2403" spans="13:34" ht="12.75">
      <c r="M2403" s="162"/>
      <c r="N2403" s="162"/>
      <c r="AG2403" s="142"/>
      <c r="AH2403" s="142"/>
    </row>
    <row r="2404" spans="13:34" ht="12.75">
      <c r="M2404" s="162"/>
      <c r="N2404" s="162"/>
      <c r="AG2404" s="142"/>
      <c r="AH2404" s="142"/>
    </row>
    <row r="2405" spans="13:34" ht="12.75">
      <c r="M2405" s="162"/>
      <c r="N2405" s="162"/>
      <c r="AG2405" s="142"/>
      <c r="AH2405" s="142"/>
    </row>
    <row r="2406" spans="13:34" ht="12.75">
      <c r="M2406" s="162"/>
      <c r="N2406" s="162"/>
      <c r="AG2406" s="142"/>
      <c r="AH2406" s="142"/>
    </row>
    <row r="2407" spans="13:34" ht="12.75">
      <c r="M2407" s="162"/>
      <c r="N2407" s="162"/>
      <c r="AG2407" s="142"/>
      <c r="AH2407" s="142"/>
    </row>
    <row r="2408" spans="13:34" ht="12.75">
      <c r="M2408" s="162"/>
      <c r="N2408" s="162"/>
      <c r="AG2408" s="142"/>
      <c r="AH2408" s="142"/>
    </row>
    <row r="2409" spans="13:34" ht="12.75">
      <c r="M2409" s="162"/>
      <c r="N2409" s="162"/>
      <c r="AG2409" s="142"/>
      <c r="AH2409" s="142"/>
    </row>
    <row r="2410" spans="13:34" ht="12.75">
      <c r="M2410" s="162"/>
      <c r="N2410" s="162"/>
      <c r="AG2410" s="142"/>
      <c r="AH2410" s="142"/>
    </row>
    <row r="2411" spans="13:34" ht="12.75">
      <c r="M2411" s="162"/>
      <c r="N2411" s="162"/>
      <c r="AG2411" s="142"/>
      <c r="AH2411" s="142"/>
    </row>
    <row r="2412" spans="13:34" ht="12.75">
      <c r="M2412" s="162"/>
      <c r="N2412" s="162"/>
      <c r="AG2412" s="142"/>
      <c r="AH2412" s="142"/>
    </row>
    <row r="2413" spans="13:34" ht="12.75">
      <c r="M2413" s="162"/>
      <c r="N2413" s="162"/>
      <c r="AG2413" s="142"/>
      <c r="AH2413" s="142"/>
    </row>
    <row r="2414" spans="13:34" ht="12.75">
      <c r="M2414" s="162"/>
      <c r="N2414" s="162"/>
      <c r="AG2414" s="142"/>
      <c r="AH2414" s="142"/>
    </row>
    <row r="2415" spans="13:34" ht="12.75">
      <c r="M2415" s="162"/>
      <c r="N2415" s="162"/>
      <c r="AG2415" s="142"/>
      <c r="AH2415" s="142"/>
    </row>
    <row r="2416" spans="13:34" ht="12.75">
      <c r="M2416" s="162"/>
      <c r="N2416" s="162"/>
      <c r="AG2416" s="142"/>
      <c r="AH2416" s="142"/>
    </row>
    <row r="2417" spans="13:34" ht="12.75">
      <c r="M2417" s="162"/>
      <c r="N2417" s="162"/>
      <c r="AG2417" s="142"/>
      <c r="AH2417" s="142"/>
    </row>
    <row r="2418" spans="13:34" ht="12.75">
      <c r="M2418" s="162"/>
      <c r="N2418" s="162"/>
      <c r="AG2418" s="142"/>
      <c r="AH2418" s="142"/>
    </row>
    <row r="2419" spans="13:34" ht="12.75">
      <c r="M2419" s="162"/>
      <c r="N2419" s="162"/>
      <c r="AG2419" s="142"/>
      <c r="AH2419" s="142"/>
    </row>
    <row r="2420" spans="13:34" ht="12.75">
      <c r="M2420" s="162"/>
      <c r="N2420" s="162"/>
      <c r="AG2420" s="142"/>
      <c r="AH2420" s="142"/>
    </row>
    <row r="2421" spans="13:34" ht="12.75">
      <c r="M2421" s="162"/>
      <c r="N2421" s="162"/>
      <c r="AG2421" s="142"/>
      <c r="AH2421" s="142"/>
    </row>
    <row r="2422" spans="13:34" ht="12.75">
      <c r="M2422" s="162"/>
      <c r="N2422" s="162"/>
      <c r="AG2422" s="142"/>
      <c r="AH2422" s="142"/>
    </row>
    <row r="2423" spans="13:34" ht="12.75">
      <c r="M2423" s="162"/>
      <c r="N2423" s="162"/>
      <c r="AG2423" s="142"/>
      <c r="AH2423" s="142"/>
    </row>
    <row r="2424" spans="13:34" ht="12.75">
      <c r="M2424" s="162"/>
      <c r="N2424" s="162"/>
      <c r="AG2424" s="142"/>
      <c r="AH2424" s="142"/>
    </row>
    <row r="2425" spans="13:34" ht="12.75">
      <c r="M2425" s="162"/>
      <c r="N2425" s="162"/>
      <c r="AG2425" s="142"/>
      <c r="AH2425" s="142"/>
    </row>
    <row r="2426" spans="13:34" ht="12.75">
      <c r="M2426" s="162"/>
      <c r="N2426" s="162"/>
      <c r="AG2426" s="142"/>
      <c r="AH2426" s="142"/>
    </row>
    <row r="2427" spans="13:34" ht="12.75">
      <c r="M2427" s="162"/>
      <c r="N2427" s="162"/>
      <c r="AG2427" s="142"/>
      <c r="AH2427" s="142"/>
    </row>
    <row r="2428" spans="13:34" ht="12.75">
      <c r="M2428" s="162"/>
      <c r="N2428" s="162"/>
      <c r="AG2428" s="142"/>
      <c r="AH2428" s="142"/>
    </row>
    <row r="2429" spans="13:34" ht="12.75">
      <c r="M2429" s="162"/>
      <c r="N2429" s="162"/>
      <c r="AG2429" s="142"/>
      <c r="AH2429" s="142"/>
    </row>
    <row r="2430" spans="13:34" ht="12.75">
      <c r="M2430" s="162"/>
      <c r="N2430" s="162"/>
      <c r="AG2430" s="142"/>
      <c r="AH2430" s="142"/>
    </row>
    <row r="2431" spans="13:34" ht="12.75">
      <c r="M2431" s="162"/>
      <c r="N2431" s="162"/>
      <c r="AG2431" s="142"/>
      <c r="AH2431" s="142"/>
    </row>
    <row r="2432" spans="13:34" ht="12.75">
      <c r="M2432" s="162"/>
      <c r="N2432" s="162"/>
      <c r="AG2432" s="142"/>
      <c r="AH2432" s="142"/>
    </row>
    <row r="2433" spans="13:34" ht="12.75">
      <c r="M2433" s="162"/>
      <c r="N2433" s="162"/>
      <c r="AG2433" s="142"/>
      <c r="AH2433" s="142"/>
    </row>
    <row r="2434" spans="13:34" ht="12.75">
      <c r="M2434" s="162"/>
      <c r="N2434" s="162"/>
      <c r="AG2434" s="142"/>
      <c r="AH2434" s="142"/>
    </row>
    <row r="2435" spans="13:34" ht="12.75">
      <c r="M2435" s="162"/>
      <c r="N2435" s="162"/>
      <c r="AG2435" s="142"/>
      <c r="AH2435" s="142"/>
    </row>
    <row r="2436" spans="13:34" ht="12.75">
      <c r="M2436" s="162"/>
      <c r="N2436" s="162"/>
      <c r="AG2436" s="142"/>
      <c r="AH2436" s="142"/>
    </row>
    <row r="2437" spans="13:34" ht="12.75">
      <c r="M2437" s="162"/>
      <c r="N2437" s="162"/>
      <c r="AG2437" s="142"/>
      <c r="AH2437" s="142"/>
    </row>
    <row r="2438" spans="13:34" ht="12.75">
      <c r="M2438" s="162"/>
      <c r="N2438" s="162"/>
      <c r="AG2438" s="142"/>
      <c r="AH2438" s="142"/>
    </row>
    <row r="2439" spans="13:34" ht="12.75">
      <c r="M2439" s="162"/>
      <c r="N2439" s="162"/>
      <c r="AG2439" s="142"/>
      <c r="AH2439" s="142"/>
    </row>
    <row r="2440" spans="13:34" ht="12.75">
      <c r="M2440" s="162"/>
      <c r="N2440" s="162"/>
      <c r="AG2440" s="142"/>
      <c r="AH2440" s="142"/>
    </row>
    <row r="2441" spans="13:34" ht="12.75">
      <c r="M2441" s="162"/>
      <c r="N2441" s="162"/>
      <c r="AG2441" s="142"/>
      <c r="AH2441" s="142"/>
    </row>
    <row r="2442" spans="13:34" ht="12.75">
      <c r="M2442" s="162"/>
      <c r="N2442" s="162"/>
      <c r="AG2442" s="142"/>
      <c r="AH2442" s="142"/>
    </row>
    <row r="2443" spans="13:34" ht="12.75">
      <c r="M2443" s="162"/>
      <c r="N2443" s="162"/>
      <c r="AG2443" s="142"/>
      <c r="AH2443" s="142"/>
    </row>
    <row r="2444" spans="13:34" ht="12.75">
      <c r="M2444" s="162"/>
      <c r="N2444" s="162"/>
      <c r="AG2444" s="142"/>
      <c r="AH2444" s="142"/>
    </row>
    <row r="2445" spans="13:34" ht="12.75">
      <c r="M2445" s="162"/>
      <c r="N2445" s="162"/>
      <c r="AG2445" s="142"/>
      <c r="AH2445" s="142"/>
    </row>
    <row r="2446" spans="13:34" ht="12.75">
      <c r="M2446" s="162"/>
      <c r="N2446" s="162"/>
      <c r="AG2446" s="142"/>
      <c r="AH2446" s="142"/>
    </row>
    <row r="2447" spans="13:34" ht="12.75">
      <c r="M2447" s="162"/>
      <c r="N2447" s="162"/>
      <c r="AG2447" s="142"/>
      <c r="AH2447" s="142"/>
    </row>
    <row r="2448" spans="13:34" ht="12.75">
      <c r="M2448" s="162"/>
      <c r="N2448" s="162"/>
      <c r="AG2448" s="142"/>
      <c r="AH2448" s="142"/>
    </row>
    <row r="2449" spans="13:34" ht="12.75">
      <c r="M2449" s="162"/>
      <c r="N2449" s="162"/>
      <c r="AG2449" s="142"/>
      <c r="AH2449" s="142"/>
    </row>
    <row r="2450" spans="13:34" ht="12.75">
      <c r="M2450" s="162"/>
      <c r="N2450" s="162"/>
      <c r="AG2450" s="142"/>
      <c r="AH2450" s="142"/>
    </row>
    <row r="2451" spans="13:34" ht="12.75">
      <c r="M2451" s="162"/>
      <c r="N2451" s="162"/>
      <c r="AG2451" s="142"/>
      <c r="AH2451" s="142"/>
    </row>
    <row r="2452" spans="13:34" ht="12.75">
      <c r="M2452" s="162"/>
      <c r="N2452" s="162"/>
      <c r="AG2452" s="142"/>
      <c r="AH2452" s="142"/>
    </row>
    <row r="2453" spans="13:34" ht="12.75">
      <c r="M2453" s="162"/>
      <c r="N2453" s="162"/>
      <c r="AG2453" s="142"/>
      <c r="AH2453" s="142"/>
    </row>
    <row r="2454" spans="13:34" ht="12.75">
      <c r="M2454" s="162"/>
      <c r="N2454" s="162"/>
      <c r="AG2454" s="142"/>
      <c r="AH2454" s="142"/>
    </row>
    <row r="2455" spans="13:34" ht="12.75">
      <c r="M2455" s="162"/>
      <c r="N2455" s="162"/>
      <c r="AG2455" s="142"/>
      <c r="AH2455" s="142"/>
    </row>
    <row r="2456" spans="13:34" ht="12.75">
      <c r="M2456" s="162"/>
      <c r="N2456" s="162"/>
      <c r="AG2456" s="142"/>
      <c r="AH2456" s="142"/>
    </row>
    <row r="2457" spans="13:34" ht="12.75">
      <c r="M2457" s="162"/>
      <c r="N2457" s="162"/>
      <c r="AG2457" s="142"/>
      <c r="AH2457" s="142"/>
    </row>
    <row r="2458" spans="13:34" ht="12.75">
      <c r="M2458" s="162"/>
      <c r="N2458" s="162"/>
      <c r="AG2458" s="142"/>
      <c r="AH2458" s="142"/>
    </row>
    <row r="2459" spans="13:34" ht="12.75">
      <c r="M2459" s="162"/>
      <c r="N2459" s="162"/>
      <c r="AG2459" s="142"/>
      <c r="AH2459" s="142"/>
    </row>
    <row r="2460" spans="13:34" ht="12.75">
      <c r="M2460" s="162"/>
      <c r="N2460" s="162"/>
      <c r="AG2460" s="142"/>
      <c r="AH2460" s="142"/>
    </row>
    <row r="2461" spans="13:34" ht="12.75">
      <c r="M2461" s="162"/>
      <c r="N2461" s="162"/>
      <c r="AG2461" s="142"/>
      <c r="AH2461" s="142"/>
    </row>
    <row r="2462" spans="13:34" ht="12.75">
      <c r="M2462" s="162"/>
      <c r="N2462" s="162"/>
      <c r="AG2462" s="142"/>
      <c r="AH2462" s="142"/>
    </row>
    <row r="2463" spans="13:34" ht="12.75">
      <c r="M2463" s="162"/>
      <c r="N2463" s="162"/>
      <c r="AG2463" s="142"/>
      <c r="AH2463" s="142"/>
    </row>
    <row r="2464" spans="13:34" ht="12.75">
      <c r="M2464" s="162"/>
      <c r="N2464" s="162"/>
      <c r="AG2464" s="142"/>
      <c r="AH2464" s="142"/>
    </row>
    <row r="2465" spans="13:34" ht="12.75">
      <c r="M2465" s="162"/>
      <c r="N2465" s="162"/>
      <c r="AG2465" s="142"/>
      <c r="AH2465" s="142"/>
    </row>
    <row r="2466" spans="13:34" ht="12.75">
      <c r="M2466" s="162"/>
      <c r="N2466" s="162"/>
      <c r="AG2466" s="142"/>
      <c r="AH2466" s="142"/>
    </row>
    <row r="2467" spans="13:34" ht="12.75">
      <c r="M2467" s="162"/>
      <c r="N2467" s="162"/>
      <c r="AG2467" s="142"/>
      <c r="AH2467" s="142"/>
    </row>
    <row r="2468" spans="13:34" ht="12.75">
      <c r="M2468" s="162"/>
      <c r="N2468" s="162"/>
      <c r="AG2468" s="142"/>
      <c r="AH2468" s="142"/>
    </row>
    <row r="2469" spans="13:34" ht="12.75">
      <c r="M2469" s="162"/>
      <c r="N2469" s="162"/>
      <c r="AG2469" s="142"/>
      <c r="AH2469" s="142"/>
    </row>
    <row r="2470" spans="13:34" ht="12.75">
      <c r="M2470" s="162"/>
      <c r="N2470" s="162"/>
      <c r="AG2470" s="142"/>
      <c r="AH2470" s="142"/>
    </row>
    <row r="2471" spans="13:34" ht="12.75">
      <c r="M2471" s="162"/>
      <c r="N2471" s="162"/>
      <c r="AG2471" s="142"/>
      <c r="AH2471" s="142"/>
    </row>
    <row r="2472" spans="13:34" ht="12.75">
      <c r="M2472" s="162"/>
      <c r="N2472" s="162"/>
      <c r="AG2472" s="142"/>
      <c r="AH2472" s="142"/>
    </row>
    <row r="2473" spans="13:34" ht="12.75">
      <c r="M2473" s="162"/>
      <c r="N2473" s="162"/>
      <c r="AG2473" s="142"/>
      <c r="AH2473" s="142"/>
    </row>
    <row r="2474" spans="13:34" ht="12.75">
      <c r="M2474" s="162"/>
      <c r="N2474" s="162"/>
      <c r="AG2474" s="142"/>
      <c r="AH2474" s="142"/>
    </row>
    <row r="2475" spans="13:34" ht="12.75">
      <c r="M2475" s="162"/>
      <c r="N2475" s="162"/>
      <c r="AG2475" s="142"/>
      <c r="AH2475" s="142"/>
    </row>
    <row r="2476" spans="13:34" ht="12.75">
      <c r="M2476" s="162"/>
      <c r="N2476" s="162"/>
      <c r="AG2476" s="142"/>
      <c r="AH2476" s="142"/>
    </row>
    <row r="2477" spans="13:34" ht="12.75">
      <c r="M2477" s="162"/>
      <c r="N2477" s="162"/>
      <c r="AG2477" s="142"/>
      <c r="AH2477" s="142"/>
    </row>
    <row r="2478" spans="13:34" ht="12.75">
      <c r="M2478" s="162"/>
      <c r="N2478" s="162"/>
      <c r="AG2478" s="142"/>
      <c r="AH2478" s="142"/>
    </row>
    <row r="2479" spans="13:34" ht="12.75">
      <c r="M2479" s="162"/>
      <c r="N2479" s="162"/>
      <c r="AG2479" s="142"/>
      <c r="AH2479" s="142"/>
    </row>
    <row r="2480" spans="13:34" ht="12.75">
      <c r="M2480" s="162"/>
      <c r="N2480" s="162"/>
      <c r="AG2480" s="142"/>
      <c r="AH2480" s="142"/>
    </row>
    <row r="2481" spans="13:34" ht="12.75">
      <c r="M2481" s="162"/>
      <c r="N2481" s="162"/>
      <c r="AG2481" s="142"/>
      <c r="AH2481" s="142"/>
    </row>
    <row r="2482" spans="13:34" ht="12.75">
      <c r="M2482" s="162"/>
      <c r="N2482" s="162"/>
      <c r="AG2482" s="142"/>
      <c r="AH2482" s="142"/>
    </row>
    <row r="2483" spans="13:34" ht="12.75">
      <c r="M2483" s="162"/>
      <c r="N2483" s="162"/>
      <c r="AG2483" s="142"/>
      <c r="AH2483" s="142"/>
    </row>
    <row r="2484" spans="13:34" ht="12.75">
      <c r="M2484" s="162"/>
      <c r="N2484" s="162"/>
      <c r="AG2484" s="142"/>
      <c r="AH2484" s="142"/>
    </row>
    <row r="2485" spans="13:34" ht="12.75">
      <c r="M2485" s="162"/>
      <c r="N2485" s="162"/>
      <c r="AG2485" s="142"/>
      <c r="AH2485" s="142"/>
    </row>
    <row r="2486" spans="13:34" ht="12.75">
      <c r="M2486" s="162"/>
      <c r="N2486" s="162"/>
      <c r="AG2486" s="142"/>
      <c r="AH2486" s="142"/>
    </row>
    <row r="2487" spans="13:34" ht="12.75">
      <c r="M2487" s="162"/>
      <c r="N2487" s="162"/>
      <c r="AG2487" s="142"/>
      <c r="AH2487" s="142"/>
    </row>
    <row r="2488" spans="13:34" ht="12.75">
      <c r="M2488" s="162"/>
      <c r="N2488" s="162"/>
      <c r="AG2488" s="142"/>
      <c r="AH2488" s="142"/>
    </row>
    <row r="2489" spans="13:34" ht="12.75">
      <c r="M2489" s="162"/>
      <c r="N2489" s="162"/>
      <c r="AG2489" s="142"/>
      <c r="AH2489" s="142"/>
    </row>
    <row r="2490" spans="13:34" ht="12.75">
      <c r="M2490" s="162"/>
      <c r="N2490" s="162"/>
      <c r="AG2490" s="142"/>
      <c r="AH2490" s="142"/>
    </row>
    <row r="2491" spans="13:34" ht="12.75">
      <c r="M2491" s="162"/>
      <c r="N2491" s="162"/>
      <c r="AG2491" s="142"/>
      <c r="AH2491" s="142"/>
    </row>
    <row r="2492" spans="13:34" ht="12.75">
      <c r="M2492" s="162"/>
      <c r="N2492" s="162"/>
      <c r="AG2492" s="142"/>
      <c r="AH2492" s="142"/>
    </row>
    <row r="2493" spans="13:34" ht="12.75">
      <c r="M2493" s="162"/>
      <c r="N2493" s="162"/>
      <c r="AG2493" s="142"/>
      <c r="AH2493" s="142"/>
    </row>
    <row r="2494" spans="13:34" ht="12.75">
      <c r="M2494" s="162"/>
      <c r="N2494" s="162"/>
      <c r="AG2494" s="142"/>
      <c r="AH2494" s="142"/>
    </row>
    <row r="2495" spans="13:34" ht="12.75">
      <c r="M2495" s="162"/>
      <c r="N2495" s="162"/>
      <c r="AG2495" s="142"/>
      <c r="AH2495" s="142"/>
    </row>
    <row r="2496" spans="13:34" ht="12.75">
      <c r="M2496" s="162"/>
      <c r="N2496" s="162"/>
      <c r="AG2496" s="142"/>
      <c r="AH2496" s="142"/>
    </row>
    <row r="2497" spans="13:34" ht="12.75">
      <c r="M2497" s="162"/>
      <c r="N2497" s="162"/>
      <c r="AG2497" s="142"/>
      <c r="AH2497" s="142"/>
    </row>
    <row r="2498" spans="13:34" ht="12.75">
      <c r="M2498" s="162"/>
      <c r="N2498" s="162"/>
      <c r="AG2498" s="142"/>
      <c r="AH2498" s="142"/>
    </row>
    <row r="2499" spans="13:34" ht="12.75">
      <c r="M2499" s="162"/>
      <c r="N2499" s="162"/>
      <c r="AG2499" s="142"/>
      <c r="AH2499" s="142"/>
    </row>
    <row r="2500" spans="13:34" ht="12.75">
      <c r="M2500" s="162"/>
      <c r="N2500" s="162"/>
      <c r="AG2500" s="142"/>
      <c r="AH2500" s="142"/>
    </row>
    <row r="2501" spans="13:34" ht="12.75">
      <c r="M2501" s="162"/>
      <c r="N2501" s="162"/>
      <c r="AG2501" s="142"/>
      <c r="AH2501" s="142"/>
    </row>
    <row r="2502" spans="13:34" ht="12.75">
      <c r="M2502" s="162"/>
      <c r="N2502" s="162"/>
      <c r="AG2502" s="142"/>
      <c r="AH2502" s="142"/>
    </row>
    <row r="2503" spans="13:34" ht="12.75">
      <c r="M2503" s="162"/>
      <c r="N2503" s="162"/>
      <c r="AG2503" s="142"/>
      <c r="AH2503" s="142"/>
    </row>
    <row r="2504" spans="13:34" ht="12.75">
      <c r="M2504" s="162"/>
      <c r="N2504" s="162"/>
      <c r="AG2504" s="142"/>
      <c r="AH2504" s="142"/>
    </row>
    <row r="2505" spans="13:34" ht="12.75">
      <c r="M2505" s="162"/>
      <c r="N2505" s="162"/>
      <c r="AG2505" s="142"/>
      <c r="AH2505" s="142"/>
    </row>
    <row r="2506" spans="13:34" ht="12.75">
      <c r="M2506" s="162"/>
      <c r="N2506" s="162"/>
      <c r="AG2506" s="142"/>
      <c r="AH2506" s="142"/>
    </row>
    <row r="2507" spans="13:34" ht="12.75">
      <c r="M2507" s="162"/>
      <c r="N2507" s="162"/>
      <c r="AG2507" s="142"/>
      <c r="AH2507" s="142"/>
    </row>
    <row r="2508" spans="13:34" ht="12.75">
      <c r="M2508" s="162"/>
      <c r="N2508" s="162"/>
      <c r="AG2508" s="142"/>
      <c r="AH2508" s="142"/>
    </row>
    <row r="2509" spans="13:34" ht="12.75">
      <c r="M2509" s="162"/>
      <c r="N2509" s="162"/>
      <c r="AG2509" s="142"/>
      <c r="AH2509" s="142"/>
    </row>
    <row r="2510" spans="13:34" ht="12.75">
      <c r="M2510" s="162"/>
      <c r="N2510" s="162"/>
      <c r="AG2510" s="142"/>
      <c r="AH2510" s="142"/>
    </row>
    <row r="2511" spans="13:34" ht="12.75">
      <c r="M2511" s="162"/>
      <c r="N2511" s="162"/>
      <c r="AG2511" s="142"/>
      <c r="AH2511" s="142"/>
    </row>
    <row r="2512" spans="13:34" ht="12.75">
      <c r="M2512" s="162"/>
      <c r="N2512" s="162"/>
      <c r="AG2512" s="142"/>
      <c r="AH2512" s="142"/>
    </row>
    <row r="2513" spans="13:34" ht="12.75">
      <c r="M2513" s="162"/>
      <c r="N2513" s="162"/>
      <c r="AG2513" s="142"/>
      <c r="AH2513" s="142"/>
    </row>
    <row r="2514" spans="13:34" ht="12.75">
      <c r="M2514" s="162"/>
      <c r="N2514" s="162"/>
      <c r="AG2514" s="142"/>
      <c r="AH2514" s="142"/>
    </row>
    <row r="2515" spans="13:34" ht="12.75">
      <c r="M2515" s="162"/>
      <c r="N2515" s="162"/>
      <c r="AG2515" s="142"/>
      <c r="AH2515" s="142"/>
    </row>
    <row r="2516" spans="13:34" ht="12.75">
      <c r="M2516" s="162"/>
      <c r="N2516" s="162"/>
      <c r="AG2516" s="142"/>
      <c r="AH2516" s="142"/>
    </row>
    <row r="2517" spans="13:34" ht="12.75">
      <c r="M2517" s="162"/>
      <c r="N2517" s="162"/>
      <c r="AG2517" s="142"/>
      <c r="AH2517" s="142"/>
    </row>
    <row r="2518" spans="13:34" ht="12.75">
      <c r="M2518" s="162"/>
      <c r="N2518" s="162"/>
      <c r="AG2518" s="142"/>
      <c r="AH2518" s="142"/>
    </row>
    <row r="2519" spans="13:34" ht="12.75">
      <c r="M2519" s="162"/>
      <c r="N2519" s="162"/>
      <c r="AG2519" s="142"/>
      <c r="AH2519" s="142"/>
    </row>
    <row r="2520" spans="13:34" ht="12.75">
      <c r="M2520" s="162"/>
      <c r="N2520" s="162"/>
      <c r="AG2520" s="142"/>
      <c r="AH2520" s="142"/>
    </row>
    <row r="2521" spans="13:34" ht="12.75">
      <c r="M2521" s="162"/>
      <c r="N2521" s="162"/>
      <c r="AG2521" s="142"/>
      <c r="AH2521" s="142"/>
    </row>
    <row r="2522" spans="13:34" ht="12.75">
      <c r="M2522" s="162"/>
      <c r="N2522" s="162"/>
      <c r="AG2522" s="142"/>
      <c r="AH2522" s="142"/>
    </row>
    <row r="2523" spans="13:34" ht="12.75">
      <c r="M2523" s="162"/>
      <c r="N2523" s="162"/>
      <c r="AG2523" s="142"/>
      <c r="AH2523" s="142"/>
    </row>
    <row r="2524" spans="13:34" ht="12.75">
      <c r="M2524" s="162"/>
      <c r="N2524" s="162"/>
      <c r="AG2524" s="142"/>
      <c r="AH2524" s="142"/>
    </row>
    <row r="2525" spans="13:34" ht="12.75">
      <c r="M2525" s="162"/>
      <c r="N2525" s="162"/>
      <c r="AG2525" s="142"/>
      <c r="AH2525" s="142"/>
    </row>
    <row r="2526" spans="13:34" ht="12.75">
      <c r="M2526" s="162"/>
      <c r="N2526" s="162"/>
      <c r="AG2526" s="142"/>
      <c r="AH2526" s="142"/>
    </row>
    <row r="2527" spans="13:34" ht="12.75">
      <c r="M2527" s="162"/>
      <c r="N2527" s="162"/>
      <c r="AG2527" s="142"/>
      <c r="AH2527" s="142"/>
    </row>
    <row r="2528" spans="13:34" ht="12.75">
      <c r="M2528" s="162"/>
      <c r="N2528" s="162"/>
      <c r="AG2528" s="142"/>
      <c r="AH2528" s="142"/>
    </row>
    <row r="2529" spans="13:34" ht="12.75">
      <c r="M2529" s="162"/>
      <c r="N2529" s="162"/>
      <c r="AG2529" s="142"/>
      <c r="AH2529" s="142"/>
    </row>
    <row r="2530" spans="13:34" ht="12.75">
      <c r="M2530" s="162"/>
      <c r="N2530" s="162"/>
      <c r="AG2530" s="142"/>
      <c r="AH2530" s="142"/>
    </row>
    <row r="2531" spans="13:34" ht="12.75">
      <c r="M2531" s="162"/>
      <c r="N2531" s="162"/>
      <c r="AG2531" s="142"/>
      <c r="AH2531" s="142"/>
    </row>
    <row r="2532" spans="13:34" ht="12.75">
      <c r="M2532" s="162"/>
      <c r="N2532" s="162"/>
      <c r="AG2532" s="142"/>
      <c r="AH2532" s="142"/>
    </row>
    <row r="2533" spans="13:34" ht="12.75">
      <c r="M2533" s="162"/>
      <c r="N2533" s="162"/>
      <c r="AG2533" s="142"/>
      <c r="AH2533" s="142"/>
    </row>
    <row r="2534" spans="13:34" ht="12.75">
      <c r="M2534" s="162"/>
      <c r="N2534" s="162"/>
      <c r="AG2534" s="142"/>
      <c r="AH2534" s="142"/>
    </row>
    <row r="2535" spans="13:34" ht="12.75">
      <c r="M2535" s="162"/>
      <c r="N2535" s="162"/>
      <c r="AG2535" s="142"/>
      <c r="AH2535" s="142"/>
    </row>
    <row r="2536" spans="13:34" ht="12.75">
      <c r="M2536" s="162"/>
      <c r="N2536" s="162"/>
      <c r="AG2536" s="142"/>
      <c r="AH2536" s="142"/>
    </row>
  </sheetData>
  <mergeCells count="229">
    <mergeCell ref="F164:H164"/>
    <mergeCell ref="F165:H165"/>
    <mergeCell ref="F151:H151"/>
    <mergeCell ref="F152:H152"/>
    <mergeCell ref="F158:H158"/>
    <mergeCell ref="B79:C79"/>
    <mergeCell ref="D79:E79"/>
    <mergeCell ref="B80:C80"/>
    <mergeCell ref="D80:E80"/>
    <mergeCell ref="D37:F37"/>
    <mergeCell ref="G5:H5"/>
    <mergeCell ref="A4:A7"/>
    <mergeCell ref="B5:B7"/>
    <mergeCell ref="C5:C7"/>
    <mergeCell ref="B4:M4"/>
    <mergeCell ref="D5:F5"/>
    <mergeCell ref="I5:K5"/>
    <mergeCell ref="L5:M5"/>
    <mergeCell ref="B62:C62"/>
    <mergeCell ref="F63:G63"/>
    <mergeCell ref="F72:F73"/>
    <mergeCell ref="F61:G61"/>
    <mergeCell ref="A69:B69"/>
    <mergeCell ref="D62:E62"/>
    <mergeCell ref="F62:G62"/>
    <mergeCell ref="A67:B67"/>
    <mergeCell ref="B63:C63"/>
    <mergeCell ref="D63:E63"/>
    <mergeCell ref="J72:K72"/>
    <mergeCell ref="A68:B68"/>
    <mergeCell ref="D72:E72"/>
    <mergeCell ref="D73:E73"/>
    <mergeCell ref="A72:A73"/>
    <mergeCell ref="B72:C73"/>
    <mergeCell ref="B61:C61"/>
    <mergeCell ref="D61:E61"/>
    <mergeCell ref="H58:K58"/>
    <mergeCell ref="B60:C60"/>
    <mergeCell ref="D60:E60"/>
    <mergeCell ref="F60:G60"/>
    <mergeCell ref="A58:A59"/>
    <mergeCell ref="B58:G58"/>
    <mergeCell ref="B59:C59"/>
    <mergeCell ref="D59:E59"/>
    <mergeCell ref="F59:G59"/>
    <mergeCell ref="F85:F86"/>
    <mergeCell ref="J85:K85"/>
    <mergeCell ref="K6:K7"/>
    <mergeCell ref="I37:K37"/>
    <mergeCell ref="A44:K44"/>
    <mergeCell ref="A45:A46"/>
    <mergeCell ref="B45:F45"/>
    <mergeCell ref="G45:K45"/>
    <mergeCell ref="D78:E78"/>
    <mergeCell ref="D81:E81"/>
    <mergeCell ref="D97:E97"/>
    <mergeCell ref="D95:E95"/>
    <mergeCell ref="D86:E86"/>
    <mergeCell ref="A85:A86"/>
    <mergeCell ref="B85:C86"/>
    <mergeCell ref="D85:E85"/>
    <mergeCell ref="D87:E87"/>
    <mergeCell ref="D88:E88"/>
    <mergeCell ref="D89:E89"/>
    <mergeCell ref="D90:E90"/>
    <mergeCell ref="A103:B103"/>
    <mergeCell ref="C103:D103"/>
    <mergeCell ref="F103:I103"/>
    <mergeCell ref="J103:K103"/>
    <mergeCell ref="A104:B104"/>
    <mergeCell ref="C104:D104"/>
    <mergeCell ref="F104:I104"/>
    <mergeCell ref="J104:K104"/>
    <mergeCell ref="A105:B105"/>
    <mergeCell ref="C105:D105"/>
    <mergeCell ref="F105:I105"/>
    <mergeCell ref="J105:K105"/>
    <mergeCell ref="A106:B106"/>
    <mergeCell ref="C106:D106"/>
    <mergeCell ref="F106:I106"/>
    <mergeCell ref="J106:K106"/>
    <mergeCell ref="A107:B107"/>
    <mergeCell ref="C107:D107"/>
    <mergeCell ref="F107:I107"/>
    <mergeCell ref="J107:K107"/>
    <mergeCell ref="A108:B108"/>
    <mergeCell ref="C108:D108"/>
    <mergeCell ref="F108:I108"/>
    <mergeCell ref="J108:K108"/>
    <mergeCell ref="A109:B109"/>
    <mergeCell ref="C109:D109"/>
    <mergeCell ref="F109:I109"/>
    <mergeCell ref="J109:K109"/>
    <mergeCell ref="C115:D115"/>
    <mergeCell ref="F115:I115"/>
    <mergeCell ref="J115:K115"/>
    <mergeCell ref="D91:E91"/>
    <mergeCell ref="D92:E92"/>
    <mergeCell ref="D93:E93"/>
    <mergeCell ref="D94:E94"/>
    <mergeCell ref="D100:E100"/>
    <mergeCell ref="D98:E98"/>
    <mergeCell ref="D96:E96"/>
    <mergeCell ref="J118:K118"/>
    <mergeCell ref="F116:I116"/>
    <mergeCell ref="J116:K116"/>
    <mergeCell ref="F117:I117"/>
    <mergeCell ref="J117:K117"/>
    <mergeCell ref="J119:K119"/>
    <mergeCell ref="F120:I120"/>
    <mergeCell ref="J120:K120"/>
    <mergeCell ref="A121:B121"/>
    <mergeCell ref="C121:D121"/>
    <mergeCell ref="D82:E82"/>
    <mergeCell ref="D83:E83"/>
    <mergeCell ref="D74:E74"/>
    <mergeCell ref="D75:E75"/>
    <mergeCell ref="D76:E76"/>
    <mergeCell ref="D77:E77"/>
    <mergeCell ref="F167:H167"/>
    <mergeCell ref="F172:H172"/>
    <mergeCell ref="B91:C91"/>
    <mergeCell ref="B92:C92"/>
    <mergeCell ref="B93:C93"/>
    <mergeCell ref="B94:C94"/>
    <mergeCell ref="B95:C95"/>
    <mergeCell ref="B96:C96"/>
    <mergeCell ref="B97:C97"/>
    <mergeCell ref="B98:C98"/>
    <mergeCell ref="I131:L131"/>
    <mergeCell ref="F121:I121"/>
    <mergeCell ref="J121:K121"/>
    <mergeCell ref="A125:A127"/>
    <mergeCell ref="B125:B127"/>
    <mergeCell ref="C125:H125"/>
    <mergeCell ref="I125:I127"/>
    <mergeCell ref="C126:C127"/>
    <mergeCell ref="D126:H126"/>
    <mergeCell ref="G131:G132"/>
    <mergeCell ref="B88:C88"/>
    <mergeCell ref="B89:C89"/>
    <mergeCell ref="B90:C90"/>
    <mergeCell ref="A131:A132"/>
    <mergeCell ref="B131:B132"/>
    <mergeCell ref="C131:F131"/>
    <mergeCell ref="B100:C100"/>
    <mergeCell ref="F119:I119"/>
    <mergeCell ref="F118:I118"/>
    <mergeCell ref="A115:B115"/>
    <mergeCell ref="F149:H149"/>
    <mergeCell ref="B74:C74"/>
    <mergeCell ref="B75:C75"/>
    <mergeCell ref="B76:C76"/>
    <mergeCell ref="B77:C77"/>
    <mergeCell ref="B78:C78"/>
    <mergeCell ref="B81:C81"/>
    <mergeCell ref="B82:C82"/>
    <mergeCell ref="B83:C83"/>
    <mergeCell ref="B87:C87"/>
    <mergeCell ref="F166:H166"/>
    <mergeCell ref="F150:H150"/>
    <mergeCell ref="F153:H153"/>
    <mergeCell ref="F154:H154"/>
    <mergeCell ref="F155:H155"/>
    <mergeCell ref="F159:H159"/>
    <mergeCell ref="F160:H160"/>
    <mergeCell ref="F161:H161"/>
    <mergeCell ref="F162:H162"/>
    <mergeCell ref="F163:H163"/>
    <mergeCell ref="F148:H148"/>
    <mergeCell ref="A174:A175"/>
    <mergeCell ref="B174:B175"/>
    <mergeCell ref="C174:H174"/>
    <mergeCell ref="F168:H168"/>
    <mergeCell ref="F169:H169"/>
    <mergeCell ref="F170:H170"/>
    <mergeCell ref="F171:H171"/>
    <mergeCell ref="F156:H156"/>
    <mergeCell ref="F157:H157"/>
    <mergeCell ref="J114:K114"/>
    <mergeCell ref="B180:F180"/>
    <mergeCell ref="G180:K180"/>
    <mergeCell ref="F141:H141"/>
    <mergeCell ref="F142:H142"/>
    <mergeCell ref="F143:H143"/>
    <mergeCell ref="F144:H144"/>
    <mergeCell ref="F145:H145"/>
    <mergeCell ref="F146:H146"/>
    <mergeCell ref="F147:H147"/>
    <mergeCell ref="J110:K110"/>
    <mergeCell ref="J111:K111"/>
    <mergeCell ref="J112:K112"/>
    <mergeCell ref="J113:K113"/>
    <mergeCell ref="C113:D113"/>
    <mergeCell ref="C114:D114"/>
    <mergeCell ref="F110:I110"/>
    <mergeCell ref="F111:I111"/>
    <mergeCell ref="F112:I112"/>
    <mergeCell ref="F113:I113"/>
    <mergeCell ref="F114:I114"/>
    <mergeCell ref="H131:H132"/>
    <mergeCell ref="F140:H140"/>
    <mergeCell ref="A110:B110"/>
    <mergeCell ref="A111:B111"/>
    <mergeCell ref="A112:B112"/>
    <mergeCell ref="A113:B113"/>
    <mergeCell ref="A114:B114"/>
    <mergeCell ref="C110:D110"/>
    <mergeCell ref="C111:D111"/>
    <mergeCell ref="C112:D112"/>
    <mergeCell ref="C201:G201"/>
    <mergeCell ref="A180:A181"/>
    <mergeCell ref="F206:H206"/>
    <mergeCell ref="C206:E206"/>
    <mergeCell ref="A218:B218"/>
    <mergeCell ref="A211:B211"/>
    <mergeCell ref="A212:B212"/>
    <mergeCell ref="A213:B213"/>
    <mergeCell ref="A214:B214"/>
    <mergeCell ref="A101:K101"/>
    <mergeCell ref="A215:B215"/>
    <mergeCell ref="A216:B216"/>
    <mergeCell ref="A217:B217"/>
    <mergeCell ref="A208:B208"/>
    <mergeCell ref="A209:B209"/>
    <mergeCell ref="A210:B210"/>
    <mergeCell ref="A206:B207"/>
    <mergeCell ref="I206:K206"/>
    <mergeCell ref="A203:K204"/>
  </mergeCells>
  <printOptions horizontalCentered="1"/>
  <pageMargins left="0.2362204724409449" right="0.2755905511811024" top="0.25" bottom="0.1968503937007874" header="0.2362204724409449" footer="0.1968503937007874"/>
  <pageSetup horizontalDpi="600" verticalDpi="600" orientation="portrait" paperSize="9" scale="65" r:id="rId1"/>
  <rowBreaks count="2" manualBreakCount="2">
    <brk id="70" max="255" man="1"/>
    <brk id="1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228"/>
  <sheetViews>
    <sheetView workbookViewId="0" topLeftCell="A50">
      <selection activeCell="G150" sqref="G150:G153"/>
    </sheetView>
  </sheetViews>
  <sheetFormatPr defaultColWidth="9.00390625" defaultRowHeight="12.75"/>
  <cols>
    <col min="1" max="1" width="31.625" style="398" customWidth="1"/>
    <col min="2" max="2" width="10.25390625" style="246" customWidth="1"/>
    <col min="3" max="4" width="10.00390625" style="246" customWidth="1"/>
    <col min="5" max="5" width="9.625" style="246" customWidth="1"/>
    <col min="6" max="7" width="9.375" style="246" customWidth="1"/>
    <col min="8" max="8" width="9.00390625" style="456" customWidth="1"/>
    <col min="9" max="9" width="8.875" style="456" customWidth="1"/>
    <col min="10" max="10" width="9.375" style="398" customWidth="1"/>
    <col min="11" max="11" width="9.625" style="398" customWidth="1"/>
    <col min="12" max="14" width="8.875" style="398" customWidth="1"/>
    <col min="15" max="15" width="10.125" style="0" bestFit="1" customWidth="1"/>
  </cols>
  <sheetData>
    <row r="1" spans="12:14" ht="15.75">
      <c r="L1" s="163"/>
      <c r="N1" s="164"/>
    </row>
    <row r="2" spans="1:14" ht="15.75" customHeight="1" thickBot="1">
      <c r="A2" s="167" t="s">
        <v>143</v>
      </c>
      <c r="B2" s="270"/>
      <c r="C2" s="270"/>
      <c r="D2" s="270"/>
      <c r="E2" s="270"/>
      <c r="F2" s="270"/>
      <c r="G2" s="270"/>
      <c r="H2" s="166"/>
      <c r="L2" s="163"/>
      <c r="N2" s="164"/>
    </row>
    <row r="3" spans="1:14" ht="23.25" customHeight="1" thickBot="1">
      <c r="A3" s="1325" t="s">
        <v>1</v>
      </c>
      <c r="B3" s="1338" t="s">
        <v>256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40"/>
      <c r="N3"/>
    </row>
    <row r="4" spans="1:21" ht="16.5" customHeight="1" thickBot="1">
      <c r="A4" s="1703"/>
      <c r="B4" s="1368" t="s">
        <v>207</v>
      </c>
      <c r="C4" s="1368" t="s">
        <v>251</v>
      </c>
      <c r="D4" s="1705" t="s">
        <v>291</v>
      </c>
      <c r="E4" s="1459"/>
      <c r="F4" s="1460"/>
      <c r="G4" s="1303" t="s">
        <v>152</v>
      </c>
      <c r="H4" s="1304"/>
      <c r="I4" s="1365" t="s">
        <v>292</v>
      </c>
      <c r="J4" s="1366"/>
      <c r="K4" s="1367"/>
      <c r="L4" s="1303" t="s">
        <v>293</v>
      </c>
      <c r="M4" s="1304"/>
      <c r="N4" s="142"/>
      <c r="O4" s="142"/>
      <c r="P4" s="142"/>
      <c r="Q4" s="142"/>
      <c r="R4" s="142"/>
      <c r="S4" s="142"/>
      <c r="T4" s="142"/>
      <c r="U4" s="142"/>
    </row>
    <row r="5" spans="1:13" s="162" customFormat="1" ht="9.75" customHeight="1">
      <c r="A5" s="1703"/>
      <c r="B5" s="1369"/>
      <c r="C5" s="1369"/>
      <c r="D5" s="1" t="s">
        <v>2</v>
      </c>
      <c r="E5" s="596" t="s">
        <v>3</v>
      </c>
      <c r="F5" s="1462" t="s">
        <v>4</v>
      </c>
      <c r="G5" s="168" t="s">
        <v>4</v>
      </c>
      <c r="H5" s="169" t="s">
        <v>5</v>
      </c>
      <c r="I5" s="1" t="s">
        <v>2</v>
      </c>
      <c r="J5" s="596" t="s">
        <v>3</v>
      </c>
      <c r="K5" s="1462" t="s">
        <v>4</v>
      </c>
      <c r="L5" s="3" t="s">
        <v>4</v>
      </c>
      <c r="M5" s="2" t="s">
        <v>5</v>
      </c>
    </row>
    <row r="6" spans="1:13" s="162" customFormat="1" ht="10.5" customHeight="1" thickBot="1">
      <c r="A6" s="1704"/>
      <c r="B6" s="1370"/>
      <c r="C6" s="1370"/>
      <c r="D6" s="417" t="s">
        <v>6</v>
      </c>
      <c r="E6" s="418" t="s">
        <v>6</v>
      </c>
      <c r="F6" s="1463"/>
      <c r="G6" s="516" t="s">
        <v>7</v>
      </c>
      <c r="H6" s="515" t="s">
        <v>8</v>
      </c>
      <c r="I6" s="417" t="s">
        <v>6</v>
      </c>
      <c r="J6" s="418" t="s">
        <v>6</v>
      </c>
      <c r="K6" s="1463"/>
      <c r="L6" s="5" t="s">
        <v>7</v>
      </c>
      <c r="M6" s="4" t="s">
        <v>8</v>
      </c>
    </row>
    <row r="7" spans="1:13" s="194" customFormat="1" ht="14.25" customHeight="1">
      <c r="A7" s="457" t="s">
        <v>9</v>
      </c>
      <c r="B7" s="477">
        <v>0</v>
      </c>
      <c r="C7" s="459"/>
      <c r="D7" s="45"/>
      <c r="E7" s="19"/>
      <c r="F7" s="459">
        <v>0</v>
      </c>
      <c r="G7" s="67"/>
      <c r="H7" s="74"/>
      <c r="I7" s="864"/>
      <c r="J7" s="865"/>
      <c r="K7" s="331"/>
      <c r="L7" s="67"/>
      <c r="M7" s="74"/>
    </row>
    <row r="8" spans="1:13" s="194" customFormat="1" ht="18" customHeight="1">
      <c r="A8" s="460" t="s">
        <v>10</v>
      </c>
      <c r="B8" s="477">
        <v>439420.29</v>
      </c>
      <c r="C8" s="458">
        <v>473246</v>
      </c>
      <c r="D8" s="20">
        <v>484808</v>
      </c>
      <c r="E8" s="21">
        <v>1005</v>
      </c>
      <c r="F8" s="458">
        <f>+D8+E8</f>
        <v>485813</v>
      </c>
      <c r="G8" s="67">
        <f aca="true" t="shared" si="0" ref="G8:G29">+F8-C8</f>
        <v>12567</v>
      </c>
      <c r="H8" s="74">
        <f>+F8/C8</f>
        <v>1.0265548995659763</v>
      </c>
      <c r="I8" s="20">
        <f>504803-813</f>
        <v>503990</v>
      </c>
      <c r="J8" s="21">
        <v>1010</v>
      </c>
      <c r="K8" s="458">
        <f>+I8+J8</f>
        <v>505000</v>
      </c>
      <c r="L8" s="67">
        <f aca="true" t="shared" si="1" ref="L8:L13">+K8-F8</f>
        <v>19187</v>
      </c>
      <c r="M8" s="74">
        <f aca="true" t="shared" si="2" ref="M8:M13">+K8/F8</f>
        <v>1.039494620358039</v>
      </c>
    </row>
    <row r="9" spans="1:13" s="194" customFormat="1" ht="18" customHeight="1">
      <c r="A9" s="460" t="s">
        <v>11</v>
      </c>
      <c r="B9" s="477">
        <v>49432.27</v>
      </c>
      <c r="C9" s="458">
        <v>48193</v>
      </c>
      <c r="D9" s="20">
        <v>51516</v>
      </c>
      <c r="E9" s="21">
        <v>3684</v>
      </c>
      <c r="F9" s="458">
        <f aca="true" t="shared" si="3" ref="F9:F15">+D9+E9</f>
        <v>55200</v>
      </c>
      <c r="G9" s="68">
        <f t="shared" si="0"/>
        <v>7007</v>
      </c>
      <c r="H9" s="69">
        <f>+F9/C9</f>
        <v>1.145394559375843</v>
      </c>
      <c r="I9" s="20">
        <v>56300</v>
      </c>
      <c r="J9" s="21">
        <v>3700</v>
      </c>
      <c r="K9" s="458">
        <f aca="true" t="shared" si="4" ref="K9:K15">+I9+J9</f>
        <v>60000</v>
      </c>
      <c r="L9" s="68">
        <f t="shared" si="1"/>
        <v>4800</v>
      </c>
      <c r="M9" s="69">
        <f t="shared" si="2"/>
        <v>1.0869565217391304</v>
      </c>
    </row>
    <row r="10" spans="1:13" s="194" customFormat="1" ht="18" customHeight="1">
      <c r="A10" s="460" t="s">
        <v>12</v>
      </c>
      <c r="B10" s="477">
        <v>13075.16</v>
      </c>
      <c r="C10" s="458">
        <v>10917</v>
      </c>
      <c r="D10" s="20">
        <v>9715</v>
      </c>
      <c r="E10" s="21"/>
      <c r="F10" s="458">
        <f t="shared" si="3"/>
        <v>9715</v>
      </c>
      <c r="G10" s="68">
        <f t="shared" si="0"/>
        <v>-1202</v>
      </c>
      <c r="H10" s="69">
        <f>+F10/C10</f>
        <v>0.8898964917101768</v>
      </c>
      <c r="I10" s="20">
        <v>9700</v>
      </c>
      <c r="J10" s="21"/>
      <c r="K10" s="458">
        <f t="shared" si="4"/>
        <v>9700</v>
      </c>
      <c r="L10" s="68">
        <f t="shared" si="1"/>
        <v>-15</v>
      </c>
      <c r="M10" s="69">
        <f t="shared" si="2"/>
        <v>0.9984559958826557</v>
      </c>
    </row>
    <row r="11" spans="1:13" s="194" customFormat="1" ht="18" customHeight="1">
      <c r="A11" s="460" t="s">
        <v>13</v>
      </c>
      <c r="B11" s="477">
        <v>2139.75</v>
      </c>
      <c r="C11" s="458">
        <v>2906</v>
      </c>
      <c r="D11" s="20">
        <v>6657</v>
      </c>
      <c r="E11" s="21">
        <v>319</v>
      </c>
      <c r="F11" s="458">
        <f t="shared" si="3"/>
        <v>6976</v>
      </c>
      <c r="G11" s="68">
        <f t="shared" si="0"/>
        <v>4070</v>
      </c>
      <c r="H11" s="69">
        <f>+F11/C11</f>
        <v>2.4005505849965587</v>
      </c>
      <c r="I11" s="20">
        <v>5660</v>
      </c>
      <c r="J11" s="21">
        <v>340</v>
      </c>
      <c r="K11" s="458">
        <f t="shared" si="4"/>
        <v>6000</v>
      </c>
      <c r="L11" s="68">
        <f t="shared" si="1"/>
        <v>-976</v>
      </c>
      <c r="M11" s="69">
        <f t="shared" si="2"/>
        <v>0.8600917431192661</v>
      </c>
    </row>
    <row r="12" spans="1:13" s="194" customFormat="1" ht="18" customHeight="1">
      <c r="A12" s="460" t="s">
        <v>14</v>
      </c>
      <c r="B12" s="477">
        <v>0</v>
      </c>
      <c r="C12" s="458">
        <v>0</v>
      </c>
      <c r="D12" s="20">
        <v>4192</v>
      </c>
      <c r="E12" s="21"/>
      <c r="F12" s="458">
        <f t="shared" si="3"/>
        <v>4192</v>
      </c>
      <c r="G12" s="68">
        <f t="shared" si="0"/>
        <v>4192</v>
      </c>
      <c r="H12" s="69"/>
      <c r="I12" s="20">
        <v>3000</v>
      </c>
      <c r="J12" s="21"/>
      <c r="K12" s="458">
        <f t="shared" si="4"/>
        <v>3000</v>
      </c>
      <c r="L12" s="68">
        <f t="shared" si="1"/>
        <v>-1192</v>
      </c>
      <c r="M12" s="69">
        <f t="shared" si="2"/>
        <v>0.7156488549618321</v>
      </c>
    </row>
    <row r="13" spans="1:13" s="194" customFormat="1" ht="18" customHeight="1">
      <c r="A13" s="460" t="s">
        <v>15</v>
      </c>
      <c r="B13" s="477">
        <v>4831.66</v>
      </c>
      <c r="C13" s="458">
        <v>4169</v>
      </c>
      <c r="D13" s="20">
        <v>3547</v>
      </c>
      <c r="E13" s="21">
        <v>8</v>
      </c>
      <c r="F13" s="458">
        <f t="shared" si="3"/>
        <v>3555</v>
      </c>
      <c r="G13" s="68">
        <f t="shared" si="0"/>
        <v>-614</v>
      </c>
      <c r="H13" s="69">
        <f>+F13/C13</f>
        <v>0.8527224754137683</v>
      </c>
      <c r="I13" s="20">
        <v>3490</v>
      </c>
      <c r="J13" s="21">
        <v>10</v>
      </c>
      <c r="K13" s="458">
        <f t="shared" si="4"/>
        <v>3500</v>
      </c>
      <c r="L13" s="68">
        <f t="shared" si="1"/>
        <v>-55</v>
      </c>
      <c r="M13" s="69">
        <f t="shared" si="2"/>
        <v>0.9845288326300985</v>
      </c>
    </row>
    <row r="14" spans="1:13" s="194" customFormat="1" ht="20.25" customHeight="1">
      <c r="A14" s="460" t="s">
        <v>16</v>
      </c>
      <c r="B14" s="477">
        <v>0</v>
      </c>
      <c r="C14" s="458">
        <v>0</v>
      </c>
      <c r="D14" s="20"/>
      <c r="E14" s="21"/>
      <c r="F14" s="458">
        <f t="shared" si="3"/>
        <v>0</v>
      </c>
      <c r="G14" s="68">
        <f t="shared" si="0"/>
        <v>0</v>
      </c>
      <c r="H14" s="69"/>
      <c r="I14" s="20">
        <v>0</v>
      </c>
      <c r="J14" s="21"/>
      <c r="K14" s="458">
        <f t="shared" si="4"/>
        <v>0</v>
      </c>
      <c r="L14" s="68"/>
      <c r="M14" s="69"/>
    </row>
    <row r="15" spans="1:13" s="194" customFormat="1" ht="16.5" customHeight="1" thickBot="1">
      <c r="A15" s="461" t="s">
        <v>17</v>
      </c>
      <c r="B15" s="477">
        <v>25252</v>
      </c>
      <c r="C15" s="458">
        <v>17481</v>
      </c>
      <c r="D15" s="462">
        <v>21782</v>
      </c>
      <c r="E15" s="52"/>
      <c r="F15" s="458">
        <f t="shared" si="3"/>
        <v>21782</v>
      </c>
      <c r="G15" s="70">
        <f t="shared" si="0"/>
        <v>4301</v>
      </c>
      <c r="H15" s="71">
        <f aca="true" t="shared" si="5" ref="H15:H29">+F15/C15</f>
        <v>1.2460385561466736</v>
      </c>
      <c r="I15" s="462">
        <f>+E53/1000</f>
        <v>18720</v>
      </c>
      <c r="J15" s="52"/>
      <c r="K15" s="458">
        <f t="shared" si="4"/>
        <v>18720</v>
      </c>
      <c r="L15" s="70">
        <f>+K15-F15</f>
        <v>-3062</v>
      </c>
      <c r="M15" s="71">
        <f>+K15/F15</f>
        <v>0.8594252134790193</v>
      </c>
    </row>
    <row r="16" spans="1:13" s="194" customFormat="1" ht="15" customHeight="1" thickBot="1">
      <c r="A16" s="435" t="s">
        <v>18</v>
      </c>
      <c r="B16" s="10">
        <v>534151.13</v>
      </c>
      <c r="C16" s="9">
        <v>556912</v>
      </c>
      <c r="D16" s="44">
        <f>SUM(D7+D8+D9+D10+D11+D13+D15)</f>
        <v>578025</v>
      </c>
      <c r="E16" s="24">
        <f>SUM(E7+E8+E9+E10+E11+E13+E15)</f>
        <v>5016</v>
      </c>
      <c r="F16" s="44">
        <f>SUM(F7+F8+F9+F10+F11+F13+F15)</f>
        <v>583041</v>
      </c>
      <c r="G16" s="72">
        <f t="shared" si="0"/>
        <v>26129</v>
      </c>
      <c r="H16" s="73">
        <f t="shared" si="5"/>
        <v>1.0469176458758296</v>
      </c>
      <c r="I16" s="44">
        <f>SUM(I7+I8+I9+I10+I11+I13+I15)</f>
        <v>597860</v>
      </c>
      <c r="J16" s="24">
        <f>SUM(J7+J8+J9+J10+J11+J13+J15)</f>
        <v>5060</v>
      </c>
      <c r="K16" s="44">
        <f>SUM(K7+K8+K9+K10+K11+K13+K15)</f>
        <v>602920</v>
      </c>
      <c r="L16" s="72">
        <f>+K16-F16</f>
        <v>19879</v>
      </c>
      <c r="M16" s="73">
        <f>+K16/F16</f>
        <v>1.0340953723666089</v>
      </c>
    </row>
    <row r="17" spans="1:13" s="194" customFormat="1" ht="19.5" customHeight="1">
      <c r="A17" s="463" t="s">
        <v>19</v>
      </c>
      <c r="B17" s="477">
        <v>135955.2</v>
      </c>
      <c r="C17" s="458">
        <v>134383</v>
      </c>
      <c r="D17" s="45">
        <v>128615</v>
      </c>
      <c r="E17" s="19">
        <v>693</v>
      </c>
      <c r="F17" s="458">
        <f>+D17+E17</f>
        <v>129308</v>
      </c>
      <c r="G17" s="67">
        <f t="shared" si="0"/>
        <v>-5075</v>
      </c>
      <c r="H17" s="74">
        <f t="shared" si="5"/>
        <v>0.9622348064859394</v>
      </c>
      <c r="I17" s="45">
        <v>127300</v>
      </c>
      <c r="J17" s="19">
        <v>700</v>
      </c>
      <c r="K17" s="458">
        <f>+I17+J17</f>
        <v>128000</v>
      </c>
      <c r="L17" s="67">
        <f>+K17-F17</f>
        <v>-1308</v>
      </c>
      <c r="M17" s="74">
        <f>+K17/F17</f>
        <v>0.9898846165743805</v>
      </c>
    </row>
    <row r="18" spans="1:13" s="194" customFormat="1" ht="19.5" customHeight="1">
      <c r="A18" s="460" t="s">
        <v>20</v>
      </c>
      <c r="B18" s="477">
        <v>5266</v>
      </c>
      <c r="C18" s="458">
        <v>6176</v>
      </c>
      <c r="D18" s="45">
        <v>3756</v>
      </c>
      <c r="E18" s="19">
        <v>1</v>
      </c>
      <c r="F18" s="458">
        <f aca="true" t="shared" si="6" ref="F18:F33">+D18+E18</f>
        <v>3757</v>
      </c>
      <c r="G18" s="67">
        <f t="shared" si="0"/>
        <v>-2419</v>
      </c>
      <c r="H18" s="74">
        <f t="shared" si="5"/>
        <v>0.6083225388601037</v>
      </c>
      <c r="I18" s="45">
        <v>3799</v>
      </c>
      <c r="J18" s="19">
        <v>1</v>
      </c>
      <c r="K18" s="458">
        <f aca="true" t="shared" si="7" ref="K18:K34">+I18+J18</f>
        <v>3800</v>
      </c>
      <c r="L18" s="67">
        <f aca="true" t="shared" si="8" ref="L18:L35">+K18-F18</f>
        <v>43</v>
      </c>
      <c r="M18" s="74">
        <f aca="true" t="shared" si="9" ref="M18:M35">+K18/F18</f>
        <v>1.0114453021027416</v>
      </c>
    </row>
    <row r="19" spans="1:13" s="194" customFormat="1" ht="19.5" customHeight="1">
      <c r="A19" s="460" t="s">
        <v>21</v>
      </c>
      <c r="B19" s="477">
        <v>5797.31</v>
      </c>
      <c r="C19" s="458">
        <v>6520</v>
      </c>
      <c r="D19" s="467">
        <v>7247</v>
      </c>
      <c r="E19" s="404">
        <v>3</v>
      </c>
      <c r="F19" s="458">
        <f t="shared" si="6"/>
        <v>7250</v>
      </c>
      <c r="G19" s="67">
        <f t="shared" si="0"/>
        <v>730</v>
      </c>
      <c r="H19" s="74">
        <f t="shared" si="5"/>
        <v>1.111963190184049</v>
      </c>
      <c r="I19" s="467">
        <v>7247</v>
      </c>
      <c r="J19" s="404">
        <v>3</v>
      </c>
      <c r="K19" s="593">
        <f t="shared" si="7"/>
        <v>7250</v>
      </c>
      <c r="L19" s="67">
        <f t="shared" si="8"/>
        <v>0</v>
      </c>
      <c r="M19" s="74">
        <f t="shared" si="9"/>
        <v>1</v>
      </c>
    </row>
    <row r="20" spans="1:13" s="194" customFormat="1" ht="19.5" customHeight="1">
      <c r="A20" s="460" t="s">
        <v>22</v>
      </c>
      <c r="B20" s="477">
        <v>13547.61</v>
      </c>
      <c r="C20" s="458">
        <v>14359</v>
      </c>
      <c r="D20" s="465">
        <v>17301</v>
      </c>
      <c r="E20" s="404">
        <v>166</v>
      </c>
      <c r="F20" s="458">
        <f t="shared" si="6"/>
        <v>17467</v>
      </c>
      <c r="G20" s="67">
        <f t="shared" si="0"/>
        <v>3108</v>
      </c>
      <c r="H20" s="74">
        <f t="shared" si="5"/>
        <v>1.216449613482833</v>
      </c>
      <c r="I20" s="465">
        <v>17334</v>
      </c>
      <c r="J20" s="404">
        <v>166</v>
      </c>
      <c r="K20" s="593">
        <f t="shared" si="7"/>
        <v>17500</v>
      </c>
      <c r="L20" s="67">
        <f t="shared" si="8"/>
        <v>33</v>
      </c>
      <c r="M20" s="74">
        <f t="shared" si="9"/>
        <v>1.001889276922196</v>
      </c>
    </row>
    <row r="21" spans="1:13" s="194" customFormat="1" ht="19.5" customHeight="1">
      <c r="A21" s="460" t="s">
        <v>23</v>
      </c>
      <c r="B21" s="477">
        <v>41095.47</v>
      </c>
      <c r="C21" s="458">
        <v>40904</v>
      </c>
      <c r="D21" s="20">
        <v>42942</v>
      </c>
      <c r="E21" s="21">
        <v>3061</v>
      </c>
      <c r="F21" s="458">
        <f t="shared" si="6"/>
        <v>46003</v>
      </c>
      <c r="G21" s="67">
        <f t="shared" si="0"/>
        <v>5099</v>
      </c>
      <c r="H21" s="74">
        <f t="shared" si="5"/>
        <v>1.124657735184823</v>
      </c>
      <c r="I21" s="20">
        <v>48923</v>
      </c>
      <c r="J21" s="21">
        <v>3061</v>
      </c>
      <c r="K21" s="458">
        <f t="shared" si="7"/>
        <v>51984</v>
      </c>
      <c r="L21" s="67">
        <f t="shared" si="8"/>
        <v>5981</v>
      </c>
      <c r="M21" s="74">
        <f t="shared" si="9"/>
        <v>1.1300132600047823</v>
      </c>
    </row>
    <row r="22" spans="1:13" s="194" customFormat="1" ht="19.5" customHeight="1">
      <c r="A22" s="460" t="s">
        <v>24</v>
      </c>
      <c r="B22" s="477">
        <v>58955.79</v>
      </c>
      <c r="C22" s="458">
        <v>66418</v>
      </c>
      <c r="D22" s="20">
        <v>67700</v>
      </c>
      <c r="E22" s="21">
        <v>30</v>
      </c>
      <c r="F22" s="458">
        <f t="shared" si="6"/>
        <v>67730</v>
      </c>
      <c r="G22" s="67">
        <f t="shared" si="0"/>
        <v>1312</v>
      </c>
      <c r="H22" s="74">
        <f t="shared" si="5"/>
        <v>1.0197536812309915</v>
      </c>
      <c r="I22" s="20">
        <v>66970</v>
      </c>
      <c r="J22" s="21">
        <v>30</v>
      </c>
      <c r="K22" s="458">
        <f t="shared" si="7"/>
        <v>67000</v>
      </c>
      <c r="L22" s="67">
        <f t="shared" si="8"/>
        <v>-730</v>
      </c>
      <c r="M22" s="74">
        <f t="shared" si="9"/>
        <v>0.9892219105270929</v>
      </c>
    </row>
    <row r="23" spans="1:13" s="194" customFormat="1" ht="19.5" customHeight="1">
      <c r="A23" s="460" t="s">
        <v>25</v>
      </c>
      <c r="B23" s="477">
        <v>7201.7</v>
      </c>
      <c r="C23" s="458">
        <v>7772</v>
      </c>
      <c r="D23" s="465">
        <v>10320</v>
      </c>
      <c r="E23" s="404">
        <v>3</v>
      </c>
      <c r="F23" s="458">
        <f t="shared" si="6"/>
        <v>10323</v>
      </c>
      <c r="G23" s="67">
        <f t="shared" si="0"/>
        <v>2551</v>
      </c>
      <c r="H23" s="74">
        <f t="shared" si="5"/>
        <v>1.3282295419454453</v>
      </c>
      <c r="I23" s="465">
        <v>8997</v>
      </c>
      <c r="J23" s="404">
        <v>3</v>
      </c>
      <c r="K23" s="593">
        <f t="shared" si="7"/>
        <v>9000</v>
      </c>
      <c r="L23" s="67">
        <f t="shared" si="8"/>
        <v>-1323</v>
      </c>
      <c r="M23" s="74">
        <f t="shared" si="9"/>
        <v>0.8718395815170009</v>
      </c>
    </row>
    <row r="24" spans="1:13" s="194" customFormat="1" ht="19.5" customHeight="1">
      <c r="A24" s="460" t="s">
        <v>26</v>
      </c>
      <c r="B24" s="477">
        <v>50968.96</v>
      </c>
      <c r="C24" s="458">
        <v>57881</v>
      </c>
      <c r="D24" s="465">
        <v>56755</v>
      </c>
      <c r="E24" s="21">
        <v>27</v>
      </c>
      <c r="F24" s="458">
        <f t="shared" si="6"/>
        <v>56782</v>
      </c>
      <c r="G24" s="67">
        <f t="shared" si="0"/>
        <v>-1099</v>
      </c>
      <c r="H24" s="74">
        <f t="shared" si="5"/>
        <v>0.9810127675748519</v>
      </c>
      <c r="I24" s="465">
        <v>56773</v>
      </c>
      <c r="J24" s="21">
        <v>27</v>
      </c>
      <c r="K24" s="458">
        <f t="shared" si="7"/>
        <v>56800</v>
      </c>
      <c r="L24" s="67">
        <f t="shared" si="8"/>
        <v>18</v>
      </c>
      <c r="M24" s="74">
        <f t="shared" si="9"/>
        <v>1.0003170018667888</v>
      </c>
    </row>
    <row r="25" spans="1:13" s="194" customFormat="1" ht="19.5" customHeight="1">
      <c r="A25" s="466" t="s">
        <v>27</v>
      </c>
      <c r="B25" s="477">
        <v>266987.76</v>
      </c>
      <c r="C25" s="458">
        <v>286422</v>
      </c>
      <c r="D25" s="464">
        <v>305338</v>
      </c>
      <c r="E25" s="21">
        <v>112</v>
      </c>
      <c r="F25" s="458">
        <f t="shared" si="6"/>
        <v>305450</v>
      </c>
      <c r="G25" s="67">
        <f t="shared" si="0"/>
        <v>19028</v>
      </c>
      <c r="H25" s="74">
        <f t="shared" si="5"/>
        <v>1.0664334443583243</v>
      </c>
      <c r="I25" s="464">
        <v>328545</v>
      </c>
      <c r="J25" s="21">
        <v>113</v>
      </c>
      <c r="K25" s="593">
        <f t="shared" si="7"/>
        <v>328658</v>
      </c>
      <c r="L25" s="67">
        <f t="shared" si="8"/>
        <v>23208</v>
      </c>
      <c r="M25" s="74">
        <f t="shared" si="9"/>
        <v>1.0759797020789</v>
      </c>
    </row>
    <row r="26" spans="1:13" s="194" customFormat="1" ht="19.5" customHeight="1">
      <c r="A26" s="460" t="s">
        <v>28</v>
      </c>
      <c r="B26" s="477">
        <v>194945.12</v>
      </c>
      <c r="C26" s="458">
        <v>209073</v>
      </c>
      <c r="D26" s="467">
        <v>222882</v>
      </c>
      <c r="E26" s="404">
        <v>82</v>
      </c>
      <c r="F26" s="458">
        <f t="shared" si="6"/>
        <v>222964</v>
      </c>
      <c r="G26" s="67">
        <f t="shared" si="0"/>
        <v>13891</v>
      </c>
      <c r="H26" s="74">
        <f t="shared" si="5"/>
        <v>1.0664409081995283</v>
      </c>
      <c r="I26" s="467">
        <v>239921</v>
      </c>
      <c r="J26" s="404">
        <v>82</v>
      </c>
      <c r="K26" s="593">
        <f t="shared" si="7"/>
        <v>240003</v>
      </c>
      <c r="L26" s="67">
        <f t="shared" si="8"/>
        <v>17039</v>
      </c>
      <c r="M26" s="74">
        <f t="shared" si="9"/>
        <v>1.07642040867584</v>
      </c>
    </row>
    <row r="27" spans="1:13" s="194" customFormat="1" ht="19.5" customHeight="1">
      <c r="A27" s="466" t="s">
        <v>29</v>
      </c>
      <c r="B27" s="477">
        <v>193724</v>
      </c>
      <c r="C27" s="458">
        <v>207708</v>
      </c>
      <c r="D27" s="464">
        <v>221499</v>
      </c>
      <c r="E27" s="21">
        <v>82</v>
      </c>
      <c r="F27" s="458">
        <f t="shared" si="6"/>
        <v>221581</v>
      </c>
      <c r="G27" s="67">
        <f t="shared" si="0"/>
        <v>13873</v>
      </c>
      <c r="H27" s="74">
        <f t="shared" si="5"/>
        <v>1.066790879503919</v>
      </c>
      <c r="I27" s="464">
        <v>232621</v>
      </c>
      <c r="J27" s="21">
        <v>82</v>
      </c>
      <c r="K27" s="593">
        <f t="shared" si="7"/>
        <v>232703</v>
      </c>
      <c r="L27" s="67">
        <f t="shared" si="8"/>
        <v>11122</v>
      </c>
      <c r="M27" s="74">
        <f t="shared" si="9"/>
        <v>1.0501938343088983</v>
      </c>
    </row>
    <row r="28" spans="1:13" s="194" customFormat="1" ht="19.5" customHeight="1">
      <c r="A28" s="460" t="s">
        <v>30</v>
      </c>
      <c r="B28" s="477">
        <v>1221</v>
      </c>
      <c r="C28" s="458">
        <v>1365</v>
      </c>
      <c r="D28" s="464">
        <v>1383</v>
      </c>
      <c r="E28" s="21"/>
      <c r="F28" s="458">
        <f t="shared" si="6"/>
        <v>1383</v>
      </c>
      <c r="G28" s="67">
        <f t="shared" si="0"/>
        <v>18</v>
      </c>
      <c r="H28" s="74">
        <f t="shared" si="5"/>
        <v>1.0131868131868131</v>
      </c>
      <c r="I28" s="464">
        <v>7300</v>
      </c>
      <c r="J28" s="21"/>
      <c r="K28" s="593">
        <f t="shared" si="7"/>
        <v>7300</v>
      </c>
      <c r="L28" s="67">
        <f t="shared" si="8"/>
        <v>5917</v>
      </c>
      <c r="M28" s="74">
        <f t="shared" si="9"/>
        <v>5.278380332610268</v>
      </c>
    </row>
    <row r="29" spans="1:13" s="194" customFormat="1" ht="19.5" customHeight="1">
      <c r="A29" s="460" t="s">
        <v>31</v>
      </c>
      <c r="B29" s="477">
        <v>72042.64</v>
      </c>
      <c r="C29" s="458">
        <v>77349</v>
      </c>
      <c r="D29" s="464">
        <v>82456</v>
      </c>
      <c r="E29" s="21">
        <v>30</v>
      </c>
      <c r="F29" s="458">
        <f t="shared" si="6"/>
        <v>82486</v>
      </c>
      <c r="G29" s="67">
        <f t="shared" si="0"/>
        <v>5137</v>
      </c>
      <c r="H29" s="74">
        <f t="shared" si="5"/>
        <v>1.0664132697255297</v>
      </c>
      <c r="I29" s="464">
        <v>88624</v>
      </c>
      <c r="J29" s="21">
        <v>31</v>
      </c>
      <c r="K29" s="593">
        <f t="shared" si="7"/>
        <v>88655</v>
      </c>
      <c r="L29" s="67">
        <f t="shared" si="8"/>
        <v>6169</v>
      </c>
      <c r="M29" s="74">
        <f t="shared" si="9"/>
        <v>1.0747884489489126</v>
      </c>
    </row>
    <row r="30" spans="1:13" s="194" customFormat="1" ht="19.5" customHeight="1">
      <c r="A30" s="466" t="s">
        <v>32</v>
      </c>
      <c r="B30" s="477"/>
      <c r="C30" s="458"/>
      <c r="D30" s="20"/>
      <c r="E30" s="21"/>
      <c r="F30" s="458">
        <f t="shared" si="6"/>
        <v>0</v>
      </c>
      <c r="G30" s="67"/>
      <c r="H30" s="74"/>
      <c r="I30" s="20"/>
      <c r="J30" s="21"/>
      <c r="K30" s="458"/>
      <c r="L30" s="67"/>
      <c r="M30" s="74"/>
    </row>
    <row r="31" spans="1:13" s="194" customFormat="1" ht="19.5" customHeight="1">
      <c r="A31" s="466" t="s">
        <v>33</v>
      </c>
      <c r="B31" s="477">
        <v>2328.86</v>
      </c>
      <c r="C31" s="458">
        <v>2018</v>
      </c>
      <c r="D31" s="20">
        <v>2431</v>
      </c>
      <c r="E31" s="21">
        <v>1</v>
      </c>
      <c r="F31" s="458">
        <f t="shared" si="6"/>
        <v>2432</v>
      </c>
      <c r="G31" s="67">
        <f>+F31-C31</f>
        <v>414</v>
      </c>
      <c r="H31" s="74">
        <f>+F31/C31</f>
        <v>1.2051536174430129</v>
      </c>
      <c r="I31" s="20">
        <v>2499</v>
      </c>
      <c r="J31" s="21">
        <v>1</v>
      </c>
      <c r="K31" s="458">
        <f t="shared" si="7"/>
        <v>2500</v>
      </c>
      <c r="L31" s="67">
        <f t="shared" si="8"/>
        <v>68</v>
      </c>
      <c r="M31" s="74">
        <f t="shared" si="9"/>
        <v>1.0279605263157894</v>
      </c>
    </row>
    <row r="32" spans="1:13" s="194" customFormat="1" ht="19.5" customHeight="1">
      <c r="A32" s="460" t="s">
        <v>34</v>
      </c>
      <c r="B32" s="477">
        <v>9351.13</v>
      </c>
      <c r="C32" s="458">
        <v>5807</v>
      </c>
      <c r="D32" s="465">
        <v>7350</v>
      </c>
      <c r="E32" s="21">
        <v>2</v>
      </c>
      <c r="F32" s="458">
        <f t="shared" si="6"/>
        <v>7352</v>
      </c>
      <c r="G32" s="67">
        <f>+F32-C32</f>
        <v>1545</v>
      </c>
      <c r="H32" s="74">
        <f>+F32/C32</f>
        <v>1.2660582056139142</v>
      </c>
      <c r="I32" s="465">
        <v>9998</v>
      </c>
      <c r="J32" s="21">
        <v>2</v>
      </c>
      <c r="K32" s="458">
        <f t="shared" si="7"/>
        <v>10000</v>
      </c>
      <c r="L32" s="67">
        <f t="shared" si="8"/>
        <v>2648</v>
      </c>
      <c r="M32" s="74">
        <f t="shared" si="9"/>
        <v>1.3601741022850924</v>
      </c>
    </row>
    <row r="33" spans="1:13" s="194" customFormat="1" ht="21" customHeight="1">
      <c r="A33" s="460" t="s">
        <v>35</v>
      </c>
      <c r="B33" s="477">
        <v>4905.14</v>
      </c>
      <c r="C33" s="458">
        <v>2309</v>
      </c>
      <c r="D33" s="465">
        <v>4398</v>
      </c>
      <c r="E33" s="21">
        <v>2</v>
      </c>
      <c r="F33" s="458">
        <f t="shared" si="6"/>
        <v>4400</v>
      </c>
      <c r="G33" s="67">
        <f>+F33-C33</f>
        <v>2091</v>
      </c>
      <c r="H33" s="74">
        <f>+F33/C33</f>
        <v>1.9055868341273279</v>
      </c>
      <c r="I33" s="465">
        <v>6702</v>
      </c>
      <c r="J33" s="21">
        <v>2</v>
      </c>
      <c r="K33" s="458">
        <f t="shared" si="7"/>
        <v>6704</v>
      </c>
      <c r="L33" s="67">
        <f t="shared" si="8"/>
        <v>2304</v>
      </c>
      <c r="M33" s="74">
        <f t="shared" si="9"/>
        <v>1.5236363636363637</v>
      </c>
    </row>
    <row r="34" spans="1:13" s="194" customFormat="1" ht="16.5" customHeight="1" thickBot="1">
      <c r="A34" s="468" t="s">
        <v>36</v>
      </c>
      <c r="B34" s="477">
        <v>0</v>
      </c>
      <c r="C34" s="458">
        <v>0</v>
      </c>
      <c r="D34" s="22"/>
      <c r="E34" s="52"/>
      <c r="F34" s="458">
        <v>0</v>
      </c>
      <c r="G34" s="67">
        <f>+F34-C34</f>
        <v>0</v>
      </c>
      <c r="H34" s="74"/>
      <c r="I34" s="22">
        <v>0</v>
      </c>
      <c r="J34" s="52"/>
      <c r="K34" s="458">
        <f t="shared" si="7"/>
        <v>0</v>
      </c>
      <c r="L34" s="67">
        <f t="shared" si="8"/>
        <v>0</v>
      </c>
      <c r="M34" s="74"/>
    </row>
    <row r="35" spans="1:13" s="194" customFormat="1" ht="15" customHeight="1" thickBot="1">
      <c r="A35" s="7" t="s">
        <v>37</v>
      </c>
      <c r="B35" s="129">
        <v>534019.13</v>
      </c>
      <c r="C35" s="10">
        <v>556831</v>
      </c>
      <c r="D35" s="44">
        <f>SUM(D17+D19+D20+D21+D22+D25+D30+D31+D32+D34)</f>
        <v>578924</v>
      </c>
      <c r="E35" s="24">
        <f>SUM(E17+E19+E20+E21+E22+E25+E30+E31+E32+E34)</f>
        <v>4068</v>
      </c>
      <c r="F35" s="233">
        <f>SUM(F17+F19+F20+F21+F22+F25+F30+F31+F32+F34)</f>
        <v>582992</v>
      </c>
      <c r="G35" s="72">
        <f>+F35-C35</f>
        <v>26161</v>
      </c>
      <c r="H35" s="73">
        <f>+F35/C35</f>
        <v>1.0469819388647543</v>
      </c>
      <c r="I35" s="44">
        <f>SUM(I17+I19+I20+I21+I22+I25+I30+I31+I32+I34)</f>
        <v>608816</v>
      </c>
      <c r="J35" s="24">
        <f>SUM(J17+J19+J20+J21+J22+J25+J30+J31+J32+J34)</f>
        <v>4076</v>
      </c>
      <c r="K35" s="44">
        <f>SUM(K17+K19+K20+K21+K22+K25+K30+K31+K32+K34)</f>
        <v>612892</v>
      </c>
      <c r="L35" s="72">
        <f t="shared" si="8"/>
        <v>29900</v>
      </c>
      <c r="M35" s="73">
        <f t="shared" si="9"/>
        <v>1.0512871531684826</v>
      </c>
    </row>
    <row r="36" spans="1:14" ht="15" customHeight="1" thickBot="1">
      <c r="A36" s="7" t="s">
        <v>38</v>
      </c>
      <c r="B36" s="129">
        <f>+B16-B35</f>
        <v>132</v>
      </c>
      <c r="C36" s="130">
        <f>+C16-C35</f>
        <v>81</v>
      </c>
      <c r="D36" s="478">
        <f>+D16-D35</f>
        <v>-899</v>
      </c>
      <c r="E36" s="479">
        <f>+E16-E35</f>
        <v>948</v>
      </c>
      <c r="F36" s="594">
        <f>+F16-F35</f>
        <v>49</v>
      </c>
      <c r="G36"/>
      <c r="H36"/>
      <c r="I36" s="1290">
        <f>+K16-K35</f>
        <v>-9972</v>
      </c>
      <c r="J36" s="1688"/>
      <c r="K36" s="1689"/>
      <c r="L36" s="79"/>
      <c r="M36" s="79"/>
      <c r="N36"/>
    </row>
    <row r="37" spans="1:14" ht="21" customHeight="1" thickBot="1">
      <c r="A37" s="14" t="s">
        <v>39</v>
      </c>
      <c r="B37" s="866">
        <v>-19030.78</v>
      </c>
      <c r="C37" s="130">
        <v>0</v>
      </c>
      <c r="D37"/>
      <c r="E37"/>
      <c r="F37"/>
      <c r="G37"/>
      <c r="H37"/>
      <c r="I37"/>
      <c r="J37"/>
      <c r="K37"/>
      <c r="L37"/>
      <c r="M37"/>
      <c r="N37"/>
    </row>
    <row r="38" spans="1:14" ht="19.5" customHeight="1" thickBot="1">
      <c r="A38" s="14" t="s">
        <v>40</v>
      </c>
      <c r="B38" s="129">
        <v>-18898.78</v>
      </c>
      <c r="C38" s="130">
        <f>+C36+C37</f>
        <v>81</v>
      </c>
      <c r="D38"/>
      <c r="E38"/>
      <c r="F38"/>
      <c r="G38"/>
      <c r="H38"/>
      <c r="I38"/>
      <c r="J38"/>
      <c r="K38"/>
      <c r="L38"/>
      <c r="M38"/>
      <c r="N38"/>
    </row>
    <row r="39" spans="1:14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.75" customHeight="1">
      <c r="A40" s="246"/>
      <c r="M40" s="456"/>
      <c r="N40" s="456"/>
    </row>
    <row r="41" spans="1:10" ht="5.25" customHeight="1" thickBot="1">
      <c r="A41" s="453"/>
      <c r="B41" s="453"/>
      <c r="C41" s="453"/>
      <c r="D41" s="453"/>
      <c r="E41" s="453"/>
      <c r="F41" s="453"/>
      <c r="G41" s="453"/>
      <c r="H41" s="216"/>
      <c r="I41" s="216"/>
      <c r="J41" s="469"/>
    </row>
    <row r="42" spans="1:30" ht="17.25" customHeight="1" thickBot="1">
      <c r="A42" s="1673" t="s">
        <v>427</v>
      </c>
      <c r="B42" s="1339"/>
      <c r="C42" s="1339"/>
      <c r="D42" s="1339"/>
      <c r="E42" s="1339"/>
      <c r="F42" s="1339"/>
      <c r="G42" s="1339"/>
      <c r="H42" s="1339"/>
      <c r="I42" s="1339"/>
      <c r="J42" s="1339"/>
      <c r="K42" s="1340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</row>
    <row r="43" spans="1:32" s="15" customFormat="1" ht="15.75" customHeight="1">
      <c r="A43" s="1330" t="s">
        <v>42</v>
      </c>
      <c r="B43" s="1348" t="s">
        <v>145</v>
      </c>
      <c r="C43" s="1425"/>
      <c r="D43" s="1425"/>
      <c r="E43" s="1328"/>
      <c r="F43" s="1329"/>
      <c r="G43" s="1348" t="s">
        <v>146</v>
      </c>
      <c r="H43" s="1328"/>
      <c r="I43" s="1328"/>
      <c r="J43" s="1328"/>
      <c r="K43" s="1329"/>
      <c r="L43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</row>
    <row r="44" spans="1:30" ht="13.5" thickBot="1">
      <c r="A44" s="1269"/>
      <c r="B44" s="18">
        <v>2004</v>
      </c>
      <c r="C44" s="16">
        <v>2005</v>
      </c>
      <c r="D44" s="16">
        <v>2006</v>
      </c>
      <c r="E44" s="17">
        <v>2007</v>
      </c>
      <c r="F44" s="632" t="s">
        <v>7</v>
      </c>
      <c r="G44" s="18">
        <v>2004</v>
      </c>
      <c r="H44" s="16">
        <v>2005</v>
      </c>
      <c r="I44" s="16">
        <v>2006</v>
      </c>
      <c r="J44" s="17">
        <v>2007</v>
      </c>
      <c r="K44" s="632" t="s">
        <v>7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1:30" s="15" customFormat="1" ht="27.75" customHeight="1">
      <c r="A45" s="240" t="s">
        <v>139</v>
      </c>
      <c r="B45" s="45">
        <v>1535000</v>
      </c>
      <c r="C45" s="19">
        <v>1152000</v>
      </c>
      <c r="D45" s="19">
        <v>1552300</v>
      </c>
      <c r="E45" s="656">
        <v>1020000</v>
      </c>
      <c r="F45" s="227">
        <f>+E45-D45</f>
        <v>-532300</v>
      </c>
      <c r="G45" s="20"/>
      <c r="H45" s="21">
        <v>49980</v>
      </c>
      <c r="I45" s="21"/>
      <c r="J45" s="656"/>
      <c r="K45" s="227">
        <f>+J45-I45</f>
        <v>0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</row>
    <row r="46" spans="1:30" s="15" customFormat="1" ht="21" customHeight="1">
      <c r="A46" s="241" t="s">
        <v>140</v>
      </c>
      <c r="B46" s="20">
        <v>21334000</v>
      </c>
      <c r="C46" s="19">
        <v>13554100</v>
      </c>
      <c r="D46" s="19">
        <v>17901000</v>
      </c>
      <c r="E46" s="656">
        <f>+B60-D124</f>
        <v>17700000</v>
      </c>
      <c r="F46" s="227">
        <f>+E46-D46</f>
        <v>-201000</v>
      </c>
      <c r="G46" s="20">
        <v>9266000</v>
      </c>
      <c r="H46" s="21">
        <v>22145900</v>
      </c>
      <c r="I46" s="21">
        <v>17799000</v>
      </c>
      <c r="J46" s="656">
        <f>+B60-E46</f>
        <v>18000000</v>
      </c>
      <c r="K46" s="227">
        <f aca="true" t="shared" si="10" ref="K46:K52">+J46-I46</f>
        <v>201000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</row>
    <row r="47" spans="1:30" s="15" customFormat="1" ht="21" customHeight="1">
      <c r="A47" s="242" t="s">
        <v>141</v>
      </c>
      <c r="B47" s="20">
        <v>1351724</v>
      </c>
      <c r="C47" s="19">
        <v>1574518.4</v>
      </c>
      <c r="D47" s="19">
        <v>1323639</v>
      </c>
      <c r="E47" s="656"/>
      <c r="F47" s="227">
        <f>+E47-D47</f>
        <v>-1323639</v>
      </c>
      <c r="G47" s="20"/>
      <c r="H47" s="21"/>
      <c r="I47" s="21"/>
      <c r="J47" s="656"/>
      <c r="K47" s="227">
        <f t="shared" si="10"/>
        <v>0</v>
      </c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</row>
    <row r="48" spans="1:30" s="15" customFormat="1" ht="21" customHeight="1">
      <c r="A48" s="242" t="s">
        <v>142</v>
      </c>
      <c r="B48" s="20">
        <v>12500</v>
      </c>
      <c r="C48" s="19"/>
      <c r="D48" s="19"/>
      <c r="E48" s="656"/>
      <c r="F48" s="227"/>
      <c r="G48" s="20"/>
      <c r="H48" s="21"/>
      <c r="I48" s="21"/>
      <c r="J48" s="656"/>
      <c r="K48" s="227">
        <f t="shared" si="10"/>
        <v>0</v>
      </c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</row>
    <row r="49" spans="1:30" s="15" customFormat="1" ht="21" customHeight="1">
      <c r="A49" s="756" t="s">
        <v>49</v>
      </c>
      <c r="B49" s="22"/>
      <c r="C49" s="19">
        <v>21000</v>
      </c>
      <c r="D49" s="19"/>
      <c r="E49" s="656"/>
      <c r="F49" s="227"/>
      <c r="G49" s="22">
        <v>18526000</v>
      </c>
      <c r="H49" s="243"/>
      <c r="I49" s="243"/>
      <c r="J49" s="656"/>
      <c r="K49" s="227">
        <f t="shared" si="10"/>
        <v>0</v>
      </c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</row>
    <row r="50" spans="1:30" s="15" customFormat="1" ht="21" customHeight="1">
      <c r="A50" s="225" t="s">
        <v>370</v>
      </c>
      <c r="B50" s="20"/>
      <c r="C50" s="19"/>
      <c r="D50" s="19"/>
      <c r="E50" s="656"/>
      <c r="F50" s="227"/>
      <c r="G50" s="20"/>
      <c r="H50" s="21">
        <f>17289979.5-H45</f>
        <v>17239999.5</v>
      </c>
      <c r="I50" s="21">
        <v>19250000</v>
      </c>
      <c r="J50" s="656">
        <f>+J124</f>
        <v>15455000</v>
      </c>
      <c r="K50" s="227">
        <f t="shared" si="10"/>
        <v>-3795000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</row>
    <row r="51" spans="1:30" s="15" customFormat="1" ht="21" customHeight="1">
      <c r="A51" s="225" t="s">
        <v>529</v>
      </c>
      <c r="B51" s="20"/>
      <c r="C51" s="19"/>
      <c r="D51" s="19">
        <v>908944</v>
      </c>
      <c r="E51" s="656"/>
      <c r="F51" s="227"/>
      <c r="G51" s="20"/>
      <c r="H51" s="21"/>
      <c r="I51" s="21"/>
      <c r="J51" s="656"/>
      <c r="K51" s="227">
        <f t="shared" si="10"/>
        <v>0</v>
      </c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</row>
    <row r="52" spans="1:30" s="15" customFormat="1" ht="21" customHeight="1" thickBot="1">
      <c r="A52" s="443" t="s">
        <v>185</v>
      </c>
      <c r="B52" s="22">
        <v>1019047</v>
      </c>
      <c r="C52" s="259">
        <v>1113472</v>
      </c>
      <c r="D52" s="259">
        <v>10000</v>
      </c>
      <c r="E52" s="887"/>
      <c r="F52" s="227"/>
      <c r="G52" s="22">
        <v>197957</v>
      </c>
      <c r="H52" s="243"/>
      <c r="I52" s="21">
        <v>1856000</v>
      </c>
      <c r="J52" s="887"/>
      <c r="K52" s="227">
        <f t="shared" si="10"/>
        <v>-1856000</v>
      </c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</row>
    <row r="53" spans="1:30" s="15" customFormat="1" ht="18.75" customHeight="1" thickBot="1">
      <c r="A53" s="46" t="s">
        <v>54</v>
      </c>
      <c r="B53" s="11">
        <f>SUM(B45:B52)</f>
        <v>25252271</v>
      </c>
      <c r="C53" s="24">
        <f>SUM(C45:C52)</f>
        <v>17415090.4</v>
      </c>
      <c r="D53" s="24">
        <f>SUM(D45:D52)</f>
        <v>21695883</v>
      </c>
      <c r="E53" s="24">
        <f>SUM(E45:E52)</f>
        <v>18720000</v>
      </c>
      <c r="F53" s="10">
        <f>+E53-D53</f>
        <v>-2975883</v>
      </c>
      <c r="G53" s="11">
        <f>SUM(G45:G52)</f>
        <v>27989957</v>
      </c>
      <c r="H53" s="24">
        <f>SUM(H45:H52)</f>
        <v>39435879.5</v>
      </c>
      <c r="I53" s="24">
        <f>SUM(I45:I52)</f>
        <v>38905000</v>
      </c>
      <c r="J53" s="24">
        <f>SUM(J45:J52)</f>
        <v>33455000</v>
      </c>
      <c r="K53" s="10">
        <f>SUM(K45:K52)</f>
        <v>-5450000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</row>
    <row r="54" spans="1:14" ht="13.5" thickBot="1">
      <c r="A54"/>
      <c r="B54"/>
      <c r="C54"/>
      <c r="D54"/>
      <c r="E54"/>
      <c r="F54"/>
      <c r="G54"/>
      <c r="H54"/>
      <c r="I54"/>
      <c r="J54"/>
      <c r="K54"/>
      <c r="L54"/>
      <c r="M54" s="444"/>
      <c r="N54"/>
    </row>
    <row r="55" spans="1:11" s="142" customFormat="1" ht="18" customHeight="1">
      <c r="A55" s="1561" t="s">
        <v>44</v>
      </c>
      <c r="B55" s="1183" t="s">
        <v>41</v>
      </c>
      <c r="C55" s="1193"/>
      <c r="D55" s="1193"/>
      <c r="E55" s="1193"/>
      <c r="F55" s="1193"/>
      <c r="G55" s="1349"/>
      <c r="H55" s="1183" t="s">
        <v>144</v>
      </c>
      <c r="I55" s="1599"/>
      <c r="J55" s="1599"/>
      <c r="K55" s="1600"/>
    </row>
    <row r="56" spans="1:11" s="142" customFormat="1" ht="25.5" customHeight="1" thickBot="1">
      <c r="A56" s="1597"/>
      <c r="B56" s="1379" t="s">
        <v>45</v>
      </c>
      <c r="C56" s="1380"/>
      <c r="D56" s="1381" t="s">
        <v>46</v>
      </c>
      <c r="E56" s="1380"/>
      <c r="F56" s="1381" t="s">
        <v>47</v>
      </c>
      <c r="G56" s="1382"/>
      <c r="H56" s="158" t="s">
        <v>50</v>
      </c>
      <c r="I56" s="156" t="s">
        <v>52</v>
      </c>
      <c r="J56" s="525" t="s">
        <v>51</v>
      </c>
      <c r="K56" s="114" t="s">
        <v>53</v>
      </c>
    </row>
    <row r="57" spans="1:11" s="142" customFormat="1" ht="18.75" customHeight="1">
      <c r="A57" s="159">
        <v>2004</v>
      </c>
      <c r="B57" s="1598">
        <f>+D57+F57</f>
        <v>30600000</v>
      </c>
      <c r="C57" s="1452"/>
      <c r="D57" s="1451">
        <f>23800000-800000</f>
        <v>23000000</v>
      </c>
      <c r="E57" s="1452"/>
      <c r="F57" s="1451">
        <v>7600000</v>
      </c>
      <c r="G57" s="1603"/>
      <c r="H57" s="153">
        <v>0.3028104575163399</v>
      </c>
      <c r="I57" s="154">
        <v>0.1277997300653595</v>
      </c>
      <c r="J57" s="154">
        <v>0.17501074183006535</v>
      </c>
      <c r="K57" s="155">
        <v>0.6971895424836602</v>
      </c>
    </row>
    <row r="58" spans="1:11" s="142" customFormat="1" ht="18.75" customHeight="1">
      <c r="A58" s="160">
        <v>2005</v>
      </c>
      <c r="B58" s="1588">
        <f>+C46+H46</f>
        <v>35700000</v>
      </c>
      <c r="C58" s="1447"/>
      <c r="D58" s="1446">
        <v>27300000</v>
      </c>
      <c r="E58" s="1447"/>
      <c r="F58" s="1446">
        <v>8400000</v>
      </c>
      <c r="G58" s="1589"/>
      <c r="H58" s="143">
        <v>0.4452380952380952</v>
      </c>
      <c r="I58" s="144">
        <v>0.15815126050420167</v>
      </c>
      <c r="J58" s="144">
        <v>0.28708683473389357</v>
      </c>
      <c r="K58" s="145">
        <v>0.5547619047619048</v>
      </c>
    </row>
    <row r="59" spans="1:11" s="142" customFormat="1" ht="18.75" customHeight="1">
      <c r="A59" s="160">
        <v>2006</v>
      </c>
      <c r="B59" s="1588">
        <f>+B58</f>
        <v>35700000</v>
      </c>
      <c r="C59" s="1447"/>
      <c r="D59" s="1446">
        <f>+D58</f>
        <v>27300000</v>
      </c>
      <c r="E59" s="1447"/>
      <c r="F59" s="1446">
        <f>+F58</f>
        <v>8400000</v>
      </c>
      <c r="G59" s="1589"/>
      <c r="H59" s="143">
        <f>+D46/B59</f>
        <v>0.5014285714285714</v>
      </c>
      <c r="I59" s="144">
        <f>+H59-J59</f>
        <v>0.32683473389355744</v>
      </c>
      <c r="J59" s="144">
        <f>6233/35700</f>
        <v>0.174593837535014</v>
      </c>
      <c r="K59" s="145">
        <f>+I46/B59</f>
        <v>0.49857142857142855</v>
      </c>
    </row>
    <row r="60" spans="1:11" s="142" customFormat="1" ht="18.75" customHeight="1" thickBot="1">
      <c r="A60" s="161">
        <v>2007</v>
      </c>
      <c r="B60" s="1590">
        <f>+B59</f>
        <v>35700000</v>
      </c>
      <c r="C60" s="1468"/>
      <c r="D60" s="1467">
        <f>+D59</f>
        <v>27300000</v>
      </c>
      <c r="E60" s="1468"/>
      <c r="F60" s="1467">
        <f>+F59</f>
        <v>8400000</v>
      </c>
      <c r="G60" s="1585"/>
      <c r="H60" s="150">
        <f>+D124/B60</f>
        <v>0.5042016806722689</v>
      </c>
      <c r="I60" s="151">
        <f>+D78/B60</f>
        <v>0.0938375350140056</v>
      </c>
      <c r="J60" s="151">
        <f>+D122/B60</f>
        <v>0.4103641456582633</v>
      </c>
      <c r="K60" s="152">
        <f>+E46/B60</f>
        <v>0.4957983193277311</v>
      </c>
    </row>
    <row r="61" spans="1:1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6.5" thickBot="1">
      <c r="A62" s="102" t="s">
        <v>179</v>
      </c>
      <c r="B62" s="79"/>
      <c r="C62" s="79"/>
      <c r="D62"/>
      <c r="E62"/>
      <c r="F62"/>
      <c r="G62"/>
      <c r="H62"/>
      <c r="I62"/>
      <c r="J62"/>
      <c r="K62"/>
      <c r="L62"/>
      <c r="M62"/>
      <c r="N62"/>
    </row>
    <row r="63" spans="1:14" ht="13.5" thickBot="1">
      <c r="A63" s="66" t="s">
        <v>149</v>
      </c>
      <c r="B63" s="60"/>
      <c r="C63" s="61"/>
      <c r="D63"/>
      <c r="E63"/>
      <c r="F63"/>
      <c r="G63"/>
      <c r="H63"/>
      <c r="I63"/>
      <c r="J63"/>
      <c r="K63"/>
      <c r="L63"/>
      <c r="M63"/>
      <c r="N63"/>
    </row>
    <row r="64" spans="1:14" ht="18" customHeight="1">
      <c r="A64" s="1449" t="s">
        <v>129</v>
      </c>
      <c r="B64" s="1450"/>
      <c r="C64" s="395">
        <f>+I15</f>
        <v>18720</v>
      </c>
      <c r="D64"/>
      <c r="E64"/>
      <c r="F64"/>
      <c r="G64"/>
      <c r="H64"/>
      <c r="I64"/>
      <c r="J64"/>
      <c r="K64"/>
      <c r="L64"/>
      <c r="M64"/>
      <c r="N64"/>
    </row>
    <row r="65" spans="1:14" ht="18" customHeight="1">
      <c r="A65" s="1419" t="s">
        <v>43</v>
      </c>
      <c r="B65" s="1420"/>
      <c r="C65" s="396">
        <f>+J53/1000</f>
        <v>33455</v>
      </c>
      <c r="D65"/>
      <c r="E65"/>
      <c r="F65"/>
      <c r="G65"/>
      <c r="H65"/>
      <c r="I65"/>
      <c r="J65"/>
      <c r="K65"/>
      <c r="L65"/>
      <c r="M65"/>
      <c r="N65"/>
    </row>
    <row r="66" spans="1:14" ht="18" customHeight="1" thickBot="1">
      <c r="A66" s="1421" t="s">
        <v>130</v>
      </c>
      <c r="B66" s="1422"/>
      <c r="C66" s="397">
        <f>+I27</f>
        <v>232621</v>
      </c>
      <c r="D66"/>
      <c r="E66"/>
      <c r="F66"/>
      <c r="G66"/>
      <c r="H66"/>
      <c r="I66"/>
      <c r="J66"/>
      <c r="K66"/>
      <c r="L66"/>
      <c r="M66"/>
      <c r="N66"/>
    </row>
    <row r="67" spans="1:14" ht="18" customHeight="1">
      <c r="A67" s="517"/>
      <c r="B67" s="517"/>
      <c r="C67" s="518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7.25" customHeight="1" thickBot="1">
      <c r="A69" s="102" t="s">
        <v>217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33" ht="30.75" customHeight="1">
      <c r="A70" s="1579" t="s">
        <v>193</v>
      </c>
      <c r="B70" s="1249" t="s">
        <v>373</v>
      </c>
      <c r="C70" s="1180"/>
      <c r="D70" s="1248" t="s">
        <v>55</v>
      </c>
      <c r="E70" s="1249"/>
      <c r="F70" s="1249" t="s">
        <v>56</v>
      </c>
      <c r="G70" s="1425"/>
      <c r="H70" s="1208"/>
      <c r="I70" s="1208"/>
      <c r="J70" s="1248" t="s">
        <v>370</v>
      </c>
      <c r="K70" s="1248"/>
      <c r="L70" s="1248" t="s">
        <v>180</v>
      </c>
      <c r="M70" s="1181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</row>
    <row r="71" spans="1:33" ht="27" customHeight="1" thickBot="1">
      <c r="A71" s="1694"/>
      <c r="B71" s="1336" t="s">
        <v>195</v>
      </c>
      <c r="C71" s="1336"/>
      <c r="D71" s="1336" t="s">
        <v>58</v>
      </c>
      <c r="E71" s="1337"/>
      <c r="F71" s="1346" t="s">
        <v>59</v>
      </c>
      <c r="G71" s="1346"/>
      <c r="H71" s="1336" t="s">
        <v>196</v>
      </c>
      <c r="I71" s="1337"/>
      <c r="J71" s="1336" t="s">
        <v>325</v>
      </c>
      <c r="K71" s="1337"/>
      <c r="L71" s="1336" t="s">
        <v>60</v>
      </c>
      <c r="M71" s="1172"/>
      <c r="N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</row>
    <row r="72" spans="1:15" s="314" customFormat="1" ht="18" customHeight="1">
      <c r="A72" s="1013" t="s">
        <v>508</v>
      </c>
      <c r="B72" s="1680">
        <v>2500000</v>
      </c>
      <c r="C72" s="1681"/>
      <c r="D72" s="1476">
        <v>300000</v>
      </c>
      <c r="E72" s="1471"/>
      <c r="F72" s="1680"/>
      <c r="G72" s="1681"/>
      <c r="H72" s="1680"/>
      <c r="I72" s="1725"/>
      <c r="J72" s="1680">
        <v>2800000</v>
      </c>
      <c r="K72" s="1681"/>
      <c r="L72" s="1680">
        <f>+D72+F72+H72+J72</f>
        <v>3100000</v>
      </c>
      <c r="M72" s="1701"/>
      <c r="O72"/>
    </row>
    <row r="73" spans="1:15" s="314" customFormat="1" ht="21.75" customHeight="1">
      <c r="A73" s="1014" t="s">
        <v>509</v>
      </c>
      <c r="B73" s="1680">
        <v>1263000</v>
      </c>
      <c r="C73" s="1681"/>
      <c r="D73" s="1476">
        <v>230000</v>
      </c>
      <c r="E73" s="1471"/>
      <c r="F73" s="1680"/>
      <c r="G73" s="1681"/>
      <c r="H73" s="1680"/>
      <c r="I73" s="1725"/>
      <c r="J73" s="1680">
        <v>1150000</v>
      </c>
      <c r="K73" s="1681"/>
      <c r="L73" s="1680">
        <f>+D73+F73+H73+J73</f>
        <v>1380000</v>
      </c>
      <c r="M73" s="1701"/>
      <c r="O73"/>
    </row>
    <row r="74" spans="1:15" s="314" customFormat="1" ht="21" customHeight="1">
      <c r="A74" s="1015" t="s">
        <v>510</v>
      </c>
      <c r="B74" s="1680">
        <v>1825000</v>
      </c>
      <c r="C74" s="1681"/>
      <c r="D74" s="1476">
        <v>2000000</v>
      </c>
      <c r="E74" s="1471"/>
      <c r="F74" s="1680"/>
      <c r="G74" s="1681"/>
      <c r="H74" s="1680"/>
      <c r="I74" s="1725"/>
      <c r="J74" s="1680">
        <v>804000</v>
      </c>
      <c r="K74" s="1681"/>
      <c r="L74" s="1680">
        <f>+D74+F74+H74+J74</f>
        <v>2804000</v>
      </c>
      <c r="M74" s="1701"/>
      <c r="O74"/>
    </row>
    <row r="75" spans="1:13" s="314" customFormat="1" ht="16.5" customHeight="1">
      <c r="A75" s="544" t="s">
        <v>515</v>
      </c>
      <c r="B75" s="1680"/>
      <c r="C75" s="1681"/>
      <c r="D75" s="1680">
        <v>120000</v>
      </c>
      <c r="E75" s="1681"/>
      <c r="F75" s="1680"/>
      <c r="G75" s="1681"/>
      <c r="H75" s="1680"/>
      <c r="I75" s="1681"/>
      <c r="J75" s="1680"/>
      <c r="K75" s="1681"/>
      <c r="L75" s="1682">
        <f>SUM(D75:K75)</f>
        <v>120000</v>
      </c>
      <c r="M75" s="1683"/>
    </row>
    <row r="76" spans="1:13" s="314" customFormat="1" ht="16.5" customHeight="1">
      <c r="A76" s="544" t="s">
        <v>516</v>
      </c>
      <c r="B76" s="1680"/>
      <c r="C76" s="1681"/>
      <c r="D76" s="1680">
        <v>400000</v>
      </c>
      <c r="E76" s="1681"/>
      <c r="F76" s="1680"/>
      <c r="G76" s="1681"/>
      <c r="H76" s="1680"/>
      <c r="I76" s="1681"/>
      <c r="J76" s="1680"/>
      <c r="K76" s="1681"/>
      <c r="L76" s="1682">
        <f>SUM(D76:K76)</f>
        <v>400000</v>
      </c>
      <c r="M76" s="1683"/>
    </row>
    <row r="77" spans="1:13" s="314" customFormat="1" ht="16.5" customHeight="1" thickBot="1">
      <c r="A77" s="868" t="s">
        <v>517</v>
      </c>
      <c r="B77" s="1684"/>
      <c r="C77" s="1685"/>
      <c r="D77" s="1684">
        <v>300000</v>
      </c>
      <c r="E77" s="1685"/>
      <c r="F77" s="1684"/>
      <c r="G77" s="1685"/>
      <c r="H77" s="1684"/>
      <c r="I77" s="1685"/>
      <c r="J77" s="1684"/>
      <c r="K77" s="1685"/>
      <c r="L77" s="1726">
        <f>SUM(D77:K77)</f>
        <v>300000</v>
      </c>
      <c r="M77" s="1727"/>
    </row>
    <row r="78" spans="1:19" ht="23.25" customHeight="1" thickBot="1">
      <c r="A78" s="438" t="s">
        <v>257</v>
      </c>
      <c r="B78" s="1418">
        <f>SUM(B72:C77)</f>
        <v>5588000</v>
      </c>
      <c r="C78" s="1424"/>
      <c r="D78" s="1418">
        <f>SUM(D72:E77)</f>
        <v>3350000</v>
      </c>
      <c r="E78" s="1424"/>
      <c r="F78" s="1418">
        <f>SUM(F72:G77)</f>
        <v>0</v>
      </c>
      <c r="G78" s="1424"/>
      <c r="H78" s="1418">
        <f>SUM(H72:I77)</f>
        <v>0</v>
      </c>
      <c r="I78" s="1424"/>
      <c r="J78" s="1418">
        <f>SUM(J72:K77)</f>
        <v>4754000</v>
      </c>
      <c r="K78" s="1424"/>
      <c r="L78" s="1418">
        <f>SUM(L72:M77)</f>
        <v>8104000</v>
      </c>
      <c r="M78" s="1702"/>
      <c r="N78" s="142"/>
      <c r="P78" s="142"/>
      <c r="Q78" s="142"/>
      <c r="R78" s="142"/>
      <c r="S78" s="142"/>
    </row>
    <row r="79" spans="1:14" ht="5.25" customHeight="1" thickBo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33" ht="32.25" customHeight="1">
      <c r="A80" s="1579" t="s">
        <v>198</v>
      </c>
      <c r="B80" s="1249" t="s">
        <v>373</v>
      </c>
      <c r="C80" s="1180"/>
      <c r="D80" s="1248" t="s">
        <v>55</v>
      </c>
      <c r="E80" s="1249"/>
      <c r="F80" s="1249" t="s">
        <v>56</v>
      </c>
      <c r="G80" s="1425"/>
      <c r="H80" s="1208"/>
      <c r="I80" s="1208"/>
      <c r="J80" s="1248" t="s">
        <v>370</v>
      </c>
      <c r="K80" s="1248"/>
      <c r="L80" s="1248" t="s">
        <v>180</v>
      </c>
      <c r="M80" s="1181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</row>
    <row r="81" spans="1:33" ht="18" customHeight="1" thickBot="1">
      <c r="A81" s="1694" t="s">
        <v>199</v>
      </c>
      <c r="B81" s="1336" t="s">
        <v>195</v>
      </c>
      <c r="C81" s="1336"/>
      <c r="D81" s="1336" t="s">
        <v>58</v>
      </c>
      <c r="E81" s="1337"/>
      <c r="F81" s="1346" t="s">
        <v>59</v>
      </c>
      <c r="G81" s="1346"/>
      <c r="H81" s="1336" t="s">
        <v>196</v>
      </c>
      <c r="I81" s="1337"/>
      <c r="J81" s="1336" t="s">
        <v>325</v>
      </c>
      <c r="K81" s="1337"/>
      <c r="L81" s="1336" t="s">
        <v>60</v>
      </c>
      <c r="M81" s="117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</row>
    <row r="82" spans="1:13" s="314" customFormat="1" ht="16.5" customHeight="1">
      <c r="A82" s="867" t="s">
        <v>511</v>
      </c>
      <c r="B82" s="1698">
        <v>5525000</v>
      </c>
      <c r="C82" s="1700"/>
      <c r="D82" s="1680"/>
      <c r="E82" s="1681"/>
      <c r="F82" s="1698"/>
      <c r="G82" s="1700"/>
      <c r="H82" s="1698"/>
      <c r="I82" s="1700"/>
      <c r="J82" s="1680">
        <v>10369000</v>
      </c>
      <c r="K82" s="1681"/>
      <c r="L82" s="1698">
        <f>SUM(D82:K82)</f>
        <v>10369000</v>
      </c>
      <c r="M82" s="1699"/>
    </row>
    <row r="83" spans="1:13" s="314" customFormat="1" ht="16.5" customHeight="1">
      <c r="A83" s="867" t="s">
        <v>538</v>
      </c>
      <c r="B83" s="1680"/>
      <c r="C83" s="1681"/>
      <c r="D83" s="1680">
        <v>1200000</v>
      </c>
      <c r="E83" s="1681"/>
      <c r="F83" s="1680"/>
      <c r="G83" s="1681"/>
      <c r="H83" s="1680"/>
      <c r="I83" s="1681"/>
      <c r="J83" s="1680"/>
      <c r="K83" s="1681"/>
      <c r="L83" s="1682">
        <f>SUM(D83:K83)</f>
        <v>1200000</v>
      </c>
      <c r="M83" s="1683"/>
    </row>
    <row r="84" spans="1:13" s="314" customFormat="1" ht="16.5" customHeight="1">
      <c r="A84" s="867" t="s">
        <v>598</v>
      </c>
      <c r="B84" s="1680"/>
      <c r="C84" s="1681"/>
      <c r="D84" s="1476">
        <v>0</v>
      </c>
      <c r="E84" s="1471"/>
      <c r="F84" s="1680"/>
      <c r="G84" s="1681"/>
      <c r="H84" s="1680"/>
      <c r="I84" s="1681"/>
      <c r="J84" s="1680">
        <v>332000</v>
      </c>
      <c r="K84" s="1681"/>
      <c r="L84" s="1682">
        <f>SUM(D84:K84)</f>
        <v>332000</v>
      </c>
      <c r="M84" s="1683"/>
    </row>
    <row r="85" spans="1:13" s="314" customFormat="1" ht="16.5" customHeight="1">
      <c r="A85" s="867" t="s">
        <v>565</v>
      </c>
      <c r="B85" s="1680"/>
      <c r="C85" s="1681"/>
      <c r="D85" s="1680">
        <v>100000</v>
      </c>
      <c r="E85" s="1681"/>
      <c r="F85" s="1680"/>
      <c r="G85" s="1681"/>
      <c r="H85" s="1680"/>
      <c r="I85" s="1681"/>
      <c r="J85" s="1680"/>
      <c r="K85" s="1681"/>
      <c r="L85" s="1682">
        <f aca="true" t="shared" si="11" ref="L85:L117">SUM(D85:K85)</f>
        <v>100000</v>
      </c>
      <c r="M85" s="1683"/>
    </row>
    <row r="86" spans="1:13" s="314" customFormat="1" ht="16.5" customHeight="1">
      <c r="A86" s="867" t="s">
        <v>566</v>
      </c>
      <c r="B86" s="1680"/>
      <c r="C86" s="1681"/>
      <c r="D86" s="1680">
        <v>400000</v>
      </c>
      <c r="E86" s="1681"/>
      <c r="F86" s="1680"/>
      <c r="G86" s="1681"/>
      <c r="H86" s="1680"/>
      <c r="I86" s="1681"/>
      <c r="J86" s="1680"/>
      <c r="K86" s="1681"/>
      <c r="L86" s="1682">
        <f t="shared" si="11"/>
        <v>400000</v>
      </c>
      <c r="M86" s="1683"/>
    </row>
    <row r="87" spans="1:13" s="314" customFormat="1" ht="16.5" customHeight="1">
      <c r="A87" s="867" t="s">
        <v>567</v>
      </c>
      <c r="B87" s="1680"/>
      <c r="C87" s="1681"/>
      <c r="D87" s="1680">
        <v>50000</v>
      </c>
      <c r="E87" s="1681"/>
      <c r="F87" s="1680"/>
      <c r="G87" s="1681"/>
      <c r="H87" s="1680"/>
      <c r="I87" s="1681"/>
      <c r="J87" s="1680"/>
      <c r="K87" s="1681"/>
      <c r="L87" s="1682">
        <f t="shared" si="11"/>
        <v>50000</v>
      </c>
      <c r="M87" s="1683"/>
    </row>
    <row r="88" spans="1:13" s="314" customFormat="1" ht="16.5" customHeight="1">
      <c r="A88" s="867" t="s">
        <v>568</v>
      </c>
      <c r="B88" s="1680"/>
      <c r="C88" s="1681"/>
      <c r="D88" s="1680">
        <v>250000</v>
      </c>
      <c r="E88" s="1681"/>
      <c r="F88" s="1680"/>
      <c r="G88" s="1681"/>
      <c r="H88" s="1680"/>
      <c r="I88" s="1681"/>
      <c r="J88" s="1680"/>
      <c r="K88" s="1681"/>
      <c r="L88" s="1682">
        <f t="shared" si="11"/>
        <v>250000</v>
      </c>
      <c r="M88" s="1683"/>
    </row>
    <row r="89" spans="1:13" s="314" customFormat="1" ht="16.5" customHeight="1">
      <c r="A89" s="867" t="s">
        <v>569</v>
      </c>
      <c r="B89" s="1680"/>
      <c r="C89" s="1681"/>
      <c r="D89" s="1680">
        <v>80000</v>
      </c>
      <c r="E89" s="1681"/>
      <c r="F89" s="1680"/>
      <c r="G89" s="1681"/>
      <c r="H89" s="1680"/>
      <c r="I89" s="1681"/>
      <c r="J89" s="1680"/>
      <c r="K89" s="1681"/>
      <c r="L89" s="1682">
        <f t="shared" si="11"/>
        <v>80000</v>
      </c>
      <c r="M89" s="1683"/>
    </row>
    <row r="90" spans="1:13" s="314" customFormat="1" ht="16.5" customHeight="1">
      <c r="A90" s="867" t="s">
        <v>570</v>
      </c>
      <c r="B90" s="1680"/>
      <c r="C90" s="1681"/>
      <c r="D90" s="1680">
        <v>60000</v>
      </c>
      <c r="E90" s="1681"/>
      <c r="F90" s="1680"/>
      <c r="G90" s="1681"/>
      <c r="H90" s="1680"/>
      <c r="I90" s="1681"/>
      <c r="J90" s="1680"/>
      <c r="K90" s="1681"/>
      <c r="L90" s="1682">
        <f t="shared" si="11"/>
        <v>60000</v>
      </c>
      <c r="M90" s="1683"/>
    </row>
    <row r="91" spans="1:13" s="314" customFormat="1" ht="16.5" customHeight="1">
      <c r="A91" s="867" t="s">
        <v>571</v>
      </c>
      <c r="B91" s="1680"/>
      <c r="C91" s="1681"/>
      <c r="D91" s="1680">
        <v>120000</v>
      </c>
      <c r="E91" s="1681"/>
      <c r="F91" s="1680"/>
      <c r="G91" s="1681"/>
      <c r="H91" s="1680"/>
      <c r="I91" s="1681"/>
      <c r="J91" s="1680"/>
      <c r="K91" s="1681"/>
      <c r="L91" s="1682">
        <f t="shared" si="11"/>
        <v>120000</v>
      </c>
      <c r="M91" s="1683"/>
    </row>
    <row r="92" spans="1:13" s="314" customFormat="1" ht="16.5" customHeight="1">
      <c r="A92" s="867" t="s">
        <v>572</v>
      </c>
      <c r="B92" s="1680"/>
      <c r="C92" s="1681"/>
      <c r="D92" s="1680">
        <v>250000</v>
      </c>
      <c r="E92" s="1681"/>
      <c r="F92" s="1680"/>
      <c r="G92" s="1681"/>
      <c r="H92" s="1680"/>
      <c r="I92" s="1681"/>
      <c r="J92" s="1680"/>
      <c r="K92" s="1681"/>
      <c r="L92" s="1682">
        <f t="shared" si="11"/>
        <v>250000</v>
      </c>
      <c r="M92" s="1683"/>
    </row>
    <row r="93" spans="1:13" s="314" customFormat="1" ht="16.5" customHeight="1">
      <c r="A93" s="867" t="s">
        <v>573</v>
      </c>
      <c r="B93" s="1680"/>
      <c r="C93" s="1681"/>
      <c r="D93" s="1680">
        <v>600000</v>
      </c>
      <c r="E93" s="1681"/>
      <c r="F93" s="1680"/>
      <c r="G93" s="1681"/>
      <c r="H93" s="1680"/>
      <c r="I93" s="1681"/>
      <c r="J93" s="1680"/>
      <c r="K93" s="1681"/>
      <c r="L93" s="1682">
        <f t="shared" si="11"/>
        <v>600000</v>
      </c>
      <c r="M93" s="1683"/>
    </row>
    <row r="94" spans="1:13" s="314" customFormat="1" ht="16.5" customHeight="1">
      <c r="A94" s="867" t="s">
        <v>574</v>
      </c>
      <c r="B94" s="1680"/>
      <c r="C94" s="1681"/>
      <c r="D94" s="1680">
        <v>2200000</v>
      </c>
      <c r="E94" s="1681"/>
      <c r="F94" s="1680"/>
      <c r="G94" s="1681"/>
      <c r="H94" s="1680"/>
      <c r="I94" s="1681"/>
      <c r="J94" s="1680"/>
      <c r="K94" s="1681"/>
      <c r="L94" s="1682">
        <f t="shared" si="11"/>
        <v>2200000</v>
      </c>
      <c r="M94" s="1683"/>
    </row>
    <row r="95" spans="1:13" s="314" customFormat="1" ht="16.5" customHeight="1">
      <c r="A95" s="867" t="s">
        <v>575</v>
      </c>
      <c r="B95" s="1680"/>
      <c r="C95" s="1681"/>
      <c r="D95" s="1680">
        <v>100000</v>
      </c>
      <c r="E95" s="1681"/>
      <c r="F95" s="1680"/>
      <c r="G95" s="1681"/>
      <c r="H95" s="1680"/>
      <c r="I95" s="1681"/>
      <c r="J95" s="1680"/>
      <c r="K95" s="1681"/>
      <c r="L95" s="1682">
        <f t="shared" si="11"/>
        <v>100000</v>
      </c>
      <c r="M95" s="1683"/>
    </row>
    <row r="96" spans="1:13" s="314" customFormat="1" ht="16.5" customHeight="1">
      <c r="A96" s="867" t="s">
        <v>576</v>
      </c>
      <c r="B96" s="1680"/>
      <c r="C96" s="1681"/>
      <c r="D96" s="1680">
        <v>250000</v>
      </c>
      <c r="E96" s="1681"/>
      <c r="F96" s="1680"/>
      <c r="G96" s="1681"/>
      <c r="H96" s="1680"/>
      <c r="I96" s="1681"/>
      <c r="J96" s="1680"/>
      <c r="K96" s="1681"/>
      <c r="L96" s="1682">
        <f t="shared" si="11"/>
        <v>250000</v>
      </c>
      <c r="M96" s="1683"/>
    </row>
    <row r="97" spans="1:13" s="314" customFormat="1" ht="16.5" customHeight="1">
      <c r="A97" s="867" t="s">
        <v>577</v>
      </c>
      <c r="B97" s="1680"/>
      <c r="C97" s="1681"/>
      <c r="D97" s="1680">
        <v>50000</v>
      </c>
      <c r="E97" s="1681"/>
      <c r="F97" s="1680"/>
      <c r="G97" s="1681"/>
      <c r="H97" s="1680"/>
      <c r="I97" s="1681"/>
      <c r="J97" s="1680"/>
      <c r="K97" s="1681"/>
      <c r="L97" s="1682">
        <f t="shared" si="11"/>
        <v>50000</v>
      </c>
      <c r="M97" s="1683"/>
    </row>
    <row r="98" spans="1:13" s="314" customFormat="1" ht="16.5" customHeight="1">
      <c r="A98" s="867" t="s">
        <v>578</v>
      </c>
      <c r="B98" s="1680"/>
      <c r="C98" s="1681"/>
      <c r="D98" s="1680">
        <v>300000</v>
      </c>
      <c r="E98" s="1681"/>
      <c r="F98" s="1680"/>
      <c r="G98" s="1681"/>
      <c r="H98" s="1680"/>
      <c r="I98" s="1681"/>
      <c r="J98" s="1680"/>
      <c r="K98" s="1681"/>
      <c r="L98" s="1682">
        <f t="shared" si="11"/>
        <v>300000</v>
      </c>
      <c r="M98" s="1683"/>
    </row>
    <row r="99" spans="1:13" s="314" customFormat="1" ht="16.5" customHeight="1">
      <c r="A99" s="867" t="s">
        <v>579</v>
      </c>
      <c r="B99" s="1680"/>
      <c r="C99" s="1681"/>
      <c r="D99" s="1680">
        <v>150000</v>
      </c>
      <c r="E99" s="1681"/>
      <c r="F99" s="1680"/>
      <c r="G99" s="1681"/>
      <c r="H99" s="1680"/>
      <c r="I99" s="1681"/>
      <c r="J99" s="1680"/>
      <c r="K99" s="1681"/>
      <c r="L99" s="1682">
        <f t="shared" si="11"/>
        <v>150000</v>
      </c>
      <c r="M99" s="1683"/>
    </row>
    <row r="100" spans="1:13" s="314" customFormat="1" ht="16.5" customHeight="1">
      <c r="A100" s="867" t="s">
        <v>580</v>
      </c>
      <c r="B100" s="1680"/>
      <c r="C100" s="1681"/>
      <c r="D100" s="1680">
        <v>120000</v>
      </c>
      <c r="E100" s="1681"/>
      <c r="F100" s="1680"/>
      <c r="G100" s="1681"/>
      <c r="H100" s="1680"/>
      <c r="I100" s="1681"/>
      <c r="J100" s="1680"/>
      <c r="K100" s="1681"/>
      <c r="L100" s="1682">
        <f t="shared" si="11"/>
        <v>120000</v>
      </c>
      <c r="M100" s="1683"/>
    </row>
    <row r="101" spans="1:13" s="314" customFormat="1" ht="16.5" customHeight="1">
      <c r="A101" s="867" t="s">
        <v>581</v>
      </c>
      <c r="B101" s="1680"/>
      <c r="C101" s="1681"/>
      <c r="D101" s="1680">
        <v>100000</v>
      </c>
      <c r="E101" s="1681"/>
      <c r="F101" s="1680"/>
      <c r="G101" s="1681"/>
      <c r="H101" s="1680"/>
      <c r="I101" s="1681"/>
      <c r="J101" s="1680"/>
      <c r="K101" s="1681"/>
      <c r="L101" s="1682">
        <f t="shared" si="11"/>
        <v>100000</v>
      </c>
      <c r="M101" s="1683"/>
    </row>
    <row r="102" spans="1:13" s="314" customFormat="1" ht="16.5" customHeight="1">
      <c r="A102" s="867" t="s">
        <v>582</v>
      </c>
      <c r="B102" s="1680"/>
      <c r="C102" s="1681"/>
      <c r="D102" s="1680">
        <v>200000</v>
      </c>
      <c r="E102" s="1681"/>
      <c r="F102" s="1680"/>
      <c r="G102" s="1681"/>
      <c r="H102" s="1680"/>
      <c r="I102" s="1681"/>
      <c r="J102" s="1680"/>
      <c r="K102" s="1681"/>
      <c r="L102" s="1682">
        <f t="shared" si="11"/>
        <v>200000</v>
      </c>
      <c r="M102" s="1683"/>
    </row>
    <row r="103" spans="1:13" s="314" customFormat="1" ht="16.5" customHeight="1">
      <c r="A103" s="867" t="s">
        <v>583</v>
      </c>
      <c r="B103" s="1680"/>
      <c r="C103" s="1681"/>
      <c r="D103" s="1680">
        <v>700000</v>
      </c>
      <c r="E103" s="1681"/>
      <c r="F103" s="1680"/>
      <c r="G103" s="1681"/>
      <c r="H103" s="1680"/>
      <c r="I103" s="1681"/>
      <c r="J103" s="1680"/>
      <c r="K103" s="1681"/>
      <c r="L103" s="1682">
        <f t="shared" si="11"/>
        <v>700000</v>
      </c>
      <c r="M103" s="1683"/>
    </row>
    <row r="104" spans="1:13" s="314" customFormat="1" ht="16.5" customHeight="1">
      <c r="A104" s="867" t="s">
        <v>584</v>
      </c>
      <c r="B104" s="1680"/>
      <c r="C104" s="1681"/>
      <c r="D104" s="1680">
        <v>1000000</v>
      </c>
      <c r="E104" s="1681"/>
      <c r="F104" s="1680"/>
      <c r="G104" s="1681"/>
      <c r="H104" s="1680"/>
      <c r="I104" s="1681"/>
      <c r="J104" s="1680"/>
      <c r="K104" s="1681"/>
      <c r="L104" s="1682">
        <f t="shared" si="11"/>
        <v>1000000</v>
      </c>
      <c r="M104" s="1683"/>
    </row>
    <row r="105" spans="1:13" s="314" customFormat="1" ht="16.5" customHeight="1">
      <c r="A105" s="867" t="s">
        <v>585</v>
      </c>
      <c r="B105" s="1680"/>
      <c r="C105" s="1681"/>
      <c r="D105" s="1680">
        <v>100000</v>
      </c>
      <c r="E105" s="1681"/>
      <c r="F105" s="1680"/>
      <c r="G105" s="1681"/>
      <c r="H105" s="1680"/>
      <c r="I105" s="1681"/>
      <c r="J105" s="1680"/>
      <c r="K105" s="1681"/>
      <c r="L105" s="1682">
        <f t="shared" si="11"/>
        <v>100000</v>
      </c>
      <c r="M105" s="1683"/>
    </row>
    <row r="106" spans="1:13" s="314" customFormat="1" ht="16.5" customHeight="1">
      <c r="A106" s="867" t="s">
        <v>586</v>
      </c>
      <c r="B106" s="1680"/>
      <c r="C106" s="1681"/>
      <c r="D106" s="1680">
        <v>1300000</v>
      </c>
      <c r="E106" s="1681"/>
      <c r="F106" s="1680"/>
      <c r="G106" s="1681"/>
      <c r="H106" s="1680"/>
      <c r="I106" s="1681"/>
      <c r="J106" s="1680"/>
      <c r="K106" s="1681"/>
      <c r="L106" s="1682">
        <f t="shared" si="11"/>
        <v>1300000</v>
      </c>
      <c r="M106" s="1683"/>
    </row>
    <row r="107" spans="1:13" s="314" customFormat="1" ht="16.5" customHeight="1">
      <c r="A107" s="867" t="s">
        <v>587</v>
      </c>
      <c r="B107" s="1680"/>
      <c r="C107" s="1681"/>
      <c r="D107" s="1680">
        <v>60000</v>
      </c>
      <c r="E107" s="1681"/>
      <c r="F107" s="1680"/>
      <c r="G107" s="1681"/>
      <c r="H107" s="1680"/>
      <c r="I107" s="1681"/>
      <c r="J107" s="1680"/>
      <c r="K107" s="1681"/>
      <c r="L107" s="1682">
        <f t="shared" si="11"/>
        <v>60000</v>
      </c>
      <c r="M107" s="1683"/>
    </row>
    <row r="108" spans="1:13" s="314" customFormat="1" ht="16.5" customHeight="1">
      <c r="A108" s="867" t="s">
        <v>588</v>
      </c>
      <c r="B108" s="1680"/>
      <c r="C108" s="1681"/>
      <c r="D108" s="1680">
        <v>62000</v>
      </c>
      <c r="E108" s="1681"/>
      <c r="F108" s="1680"/>
      <c r="G108" s="1681"/>
      <c r="H108" s="1680"/>
      <c r="I108" s="1681"/>
      <c r="J108" s="1680"/>
      <c r="K108" s="1681"/>
      <c r="L108" s="1682">
        <f t="shared" si="11"/>
        <v>62000</v>
      </c>
      <c r="M108" s="1683"/>
    </row>
    <row r="109" spans="1:13" s="314" customFormat="1" ht="16.5" customHeight="1">
      <c r="A109" s="867" t="s">
        <v>589</v>
      </c>
      <c r="B109" s="1680"/>
      <c r="C109" s="1681"/>
      <c r="D109" s="1680">
        <v>200000</v>
      </c>
      <c r="E109" s="1681"/>
      <c r="F109" s="1680"/>
      <c r="G109" s="1681"/>
      <c r="H109" s="1680"/>
      <c r="I109" s="1681"/>
      <c r="J109" s="1680"/>
      <c r="K109" s="1681"/>
      <c r="L109" s="1682">
        <f t="shared" si="11"/>
        <v>200000</v>
      </c>
      <c r="M109" s="1683"/>
    </row>
    <row r="110" spans="1:13" s="314" customFormat="1" ht="16.5" customHeight="1">
      <c r="A110" s="867" t="s">
        <v>590</v>
      </c>
      <c r="B110" s="1680"/>
      <c r="C110" s="1681"/>
      <c r="D110" s="1680">
        <v>150000</v>
      </c>
      <c r="E110" s="1681"/>
      <c r="F110" s="1680"/>
      <c r="G110" s="1681"/>
      <c r="H110" s="1680"/>
      <c r="I110" s="1681"/>
      <c r="J110" s="1680"/>
      <c r="K110" s="1681"/>
      <c r="L110" s="1682">
        <f t="shared" si="11"/>
        <v>150000</v>
      </c>
      <c r="M110" s="1683"/>
    </row>
    <row r="111" spans="1:13" s="314" customFormat="1" ht="16.5" customHeight="1">
      <c r="A111" s="867" t="s">
        <v>591</v>
      </c>
      <c r="B111" s="1680"/>
      <c r="C111" s="1681"/>
      <c r="D111" s="1680">
        <v>2500000</v>
      </c>
      <c r="E111" s="1681"/>
      <c r="F111" s="1680"/>
      <c r="G111" s="1681"/>
      <c r="H111" s="1680"/>
      <c r="I111" s="1681"/>
      <c r="J111" s="1680"/>
      <c r="K111" s="1681"/>
      <c r="L111" s="1682">
        <f t="shared" si="11"/>
        <v>2500000</v>
      </c>
      <c r="M111" s="1683"/>
    </row>
    <row r="112" spans="1:13" s="314" customFormat="1" ht="16.5" customHeight="1">
      <c r="A112" s="867" t="s">
        <v>592</v>
      </c>
      <c r="B112" s="1680"/>
      <c r="C112" s="1681"/>
      <c r="D112" s="1680">
        <v>100000</v>
      </c>
      <c r="E112" s="1681"/>
      <c r="F112" s="1680"/>
      <c r="G112" s="1681"/>
      <c r="H112" s="1680"/>
      <c r="I112" s="1681"/>
      <c r="J112" s="1680"/>
      <c r="K112" s="1681"/>
      <c r="L112" s="1682">
        <f t="shared" si="11"/>
        <v>100000</v>
      </c>
      <c r="M112" s="1683"/>
    </row>
    <row r="113" spans="1:13" s="314" customFormat="1" ht="16.5" customHeight="1">
      <c r="A113" s="867" t="s">
        <v>593</v>
      </c>
      <c r="B113" s="1680"/>
      <c r="C113" s="1681"/>
      <c r="D113" s="1680">
        <v>50000</v>
      </c>
      <c r="E113" s="1681"/>
      <c r="F113" s="1680"/>
      <c r="G113" s="1681"/>
      <c r="H113" s="1680"/>
      <c r="I113" s="1681"/>
      <c r="J113" s="1680"/>
      <c r="K113" s="1681"/>
      <c r="L113" s="1682">
        <f t="shared" si="11"/>
        <v>50000</v>
      </c>
      <c r="M113" s="1683"/>
    </row>
    <row r="114" spans="1:13" s="314" customFormat="1" ht="16.5" customHeight="1">
      <c r="A114" s="867" t="s">
        <v>594</v>
      </c>
      <c r="B114" s="1680"/>
      <c r="C114" s="1681"/>
      <c r="D114" s="1680">
        <v>70000</v>
      </c>
      <c r="E114" s="1681"/>
      <c r="F114" s="1680"/>
      <c r="G114" s="1681"/>
      <c r="H114" s="1680"/>
      <c r="I114" s="1681"/>
      <c r="J114" s="1680"/>
      <c r="K114" s="1681"/>
      <c r="L114" s="1682">
        <f t="shared" si="11"/>
        <v>70000</v>
      </c>
      <c r="M114" s="1683"/>
    </row>
    <row r="115" spans="1:13" s="314" customFormat="1" ht="16.5" customHeight="1">
      <c r="A115" s="867" t="s">
        <v>595</v>
      </c>
      <c r="B115" s="1680"/>
      <c r="C115" s="1681"/>
      <c r="D115" s="1680">
        <v>60000</v>
      </c>
      <c r="E115" s="1681"/>
      <c r="F115" s="1680"/>
      <c r="G115" s="1681"/>
      <c r="H115" s="1680"/>
      <c r="I115" s="1681"/>
      <c r="J115" s="1680"/>
      <c r="K115" s="1681"/>
      <c r="L115" s="1682">
        <f t="shared" si="11"/>
        <v>60000</v>
      </c>
      <c r="M115" s="1683"/>
    </row>
    <row r="116" spans="1:13" s="314" customFormat="1" ht="16.5" customHeight="1">
      <c r="A116" s="867" t="s">
        <v>596</v>
      </c>
      <c r="B116" s="1680"/>
      <c r="C116" s="1681"/>
      <c r="D116" s="1680">
        <v>120000</v>
      </c>
      <c r="E116" s="1681"/>
      <c r="F116" s="1680"/>
      <c r="G116" s="1681"/>
      <c r="H116" s="1680"/>
      <c r="I116" s="1681"/>
      <c r="J116" s="1680"/>
      <c r="K116" s="1681"/>
      <c r="L116" s="1682">
        <f t="shared" si="11"/>
        <v>120000</v>
      </c>
      <c r="M116" s="1683"/>
    </row>
    <row r="117" spans="1:13" s="314" customFormat="1" ht="16.5" customHeight="1">
      <c r="A117" s="867" t="s">
        <v>597</v>
      </c>
      <c r="B117" s="1680"/>
      <c r="C117" s="1681"/>
      <c r="D117" s="1680">
        <v>198000</v>
      </c>
      <c r="E117" s="1681"/>
      <c r="F117" s="1680"/>
      <c r="G117" s="1681"/>
      <c r="H117" s="1680"/>
      <c r="I117" s="1681"/>
      <c r="J117" s="1680"/>
      <c r="K117" s="1681"/>
      <c r="L117" s="1682">
        <f t="shared" si="11"/>
        <v>198000</v>
      </c>
      <c r="M117" s="1683"/>
    </row>
    <row r="118" spans="1:13" s="314" customFormat="1" ht="20.25" customHeight="1">
      <c r="A118" s="544" t="s">
        <v>564</v>
      </c>
      <c r="B118" s="1680"/>
      <c r="C118" s="1681"/>
      <c r="D118" s="1680">
        <v>700000</v>
      </c>
      <c r="E118" s="1681"/>
      <c r="F118" s="1680"/>
      <c r="G118" s="1681"/>
      <c r="H118" s="1680"/>
      <c r="I118" s="1681"/>
      <c r="J118" s="1680"/>
      <c r="K118" s="1681"/>
      <c r="L118" s="1682">
        <f>SUM(D118:K118)</f>
        <v>700000</v>
      </c>
      <c r="M118" s="1683"/>
    </row>
    <row r="119" spans="1:13" s="314" customFormat="1" ht="16.5" customHeight="1">
      <c r="A119" s="544" t="s">
        <v>512</v>
      </c>
      <c r="B119" s="1680"/>
      <c r="C119" s="1681"/>
      <c r="D119" s="1680">
        <v>150000</v>
      </c>
      <c r="E119" s="1681"/>
      <c r="F119" s="1680"/>
      <c r="G119" s="1681"/>
      <c r="H119" s="1680"/>
      <c r="I119" s="1681"/>
      <c r="J119" s="1680"/>
      <c r="K119" s="1681"/>
      <c r="L119" s="1682">
        <f>SUM(D119:K119)</f>
        <v>150000</v>
      </c>
      <c r="M119" s="1683"/>
    </row>
    <row r="120" spans="1:13" s="314" customFormat="1" ht="19.5" customHeight="1">
      <c r="A120" s="544" t="s">
        <v>513</v>
      </c>
      <c r="B120" s="1680"/>
      <c r="C120" s="1681"/>
      <c r="D120" s="1680">
        <v>250000</v>
      </c>
      <c r="E120" s="1681"/>
      <c r="F120" s="1680"/>
      <c r="G120" s="1681"/>
      <c r="H120" s="1680"/>
      <c r="I120" s="1681"/>
      <c r="J120" s="1680"/>
      <c r="K120" s="1681"/>
      <c r="L120" s="1682">
        <f>SUM(D120:K120)</f>
        <v>250000</v>
      </c>
      <c r="M120" s="1683"/>
    </row>
    <row r="121" spans="1:13" s="314" customFormat="1" ht="16.5" customHeight="1" thickBot="1">
      <c r="A121" s="544" t="s">
        <v>514</v>
      </c>
      <c r="B121" s="1680"/>
      <c r="C121" s="1681"/>
      <c r="D121" s="1680">
        <v>300000</v>
      </c>
      <c r="E121" s="1681"/>
      <c r="F121" s="1680"/>
      <c r="G121" s="1681"/>
      <c r="H121" s="1680"/>
      <c r="I121" s="1681"/>
      <c r="J121" s="1680"/>
      <c r="K121" s="1681"/>
      <c r="L121" s="1682">
        <f>SUM(D121:K121)</f>
        <v>300000</v>
      </c>
      <c r="M121" s="1683"/>
    </row>
    <row r="122" spans="1:13" s="398" customFormat="1" ht="23.25" customHeight="1" thickBot="1">
      <c r="A122" s="438" t="s">
        <v>248</v>
      </c>
      <c r="B122" s="1424">
        <f>SUM(B82:C121)</f>
        <v>5525000</v>
      </c>
      <c r="C122" s="1396"/>
      <c r="D122" s="1396">
        <f>SUM(D82:E121)</f>
        <v>14650000</v>
      </c>
      <c r="E122" s="1396"/>
      <c r="F122" s="1396">
        <f>SUM(F82:F121)</f>
        <v>0</v>
      </c>
      <c r="G122" s="1396"/>
      <c r="H122" s="1396">
        <f>SUM(H82:H121)</f>
        <v>0</v>
      </c>
      <c r="I122" s="1396"/>
      <c r="J122" s="1396">
        <f>SUM(J82:K121)</f>
        <v>10701000</v>
      </c>
      <c r="K122" s="1396"/>
      <c r="L122" s="1396">
        <f>SUM(L82:M121)</f>
        <v>25351000</v>
      </c>
      <c r="M122" s="1397"/>
    </row>
    <row r="123" spans="1:33" ht="3.75" customHeight="1" thickBot="1">
      <c r="A123" s="14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</row>
    <row r="124" spans="1:13" s="398" customFormat="1" ht="18" customHeight="1" thickBot="1">
      <c r="A124" s="260" t="s">
        <v>61</v>
      </c>
      <c r="B124" s="1396">
        <f>+B122+B78</f>
        <v>11113000</v>
      </c>
      <c r="C124" s="1396"/>
      <c r="D124" s="1424">
        <f>+D122+D78</f>
        <v>18000000</v>
      </c>
      <c r="E124" s="1418"/>
      <c r="F124" s="1396">
        <f>+F122+F78</f>
        <v>0</v>
      </c>
      <c r="G124" s="1396"/>
      <c r="H124" s="1424">
        <f>+H122+H78</f>
        <v>0</v>
      </c>
      <c r="I124" s="1418"/>
      <c r="J124" s="1396">
        <f>+J122+J78</f>
        <v>15455000</v>
      </c>
      <c r="K124" s="1396"/>
      <c r="L124" s="1424">
        <f>+L122+L78</f>
        <v>33455000</v>
      </c>
      <c r="M124" s="1397"/>
    </row>
    <row r="125" ht="14.25" customHeight="1" thickBot="1">
      <c r="O125" s="444"/>
    </row>
    <row r="126" spans="1:14" ht="25.5" customHeight="1" thickBot="1">
      <c r="A126" s="542" t="s">
        <v>202</v>
      </c>
      <c r="B126" s="56" t="s">
        <v>203</v>
      </c>
      <c r="C126" s="1713" t="s">
        <v>645</v>
      </c>
      <c r="D126" s="1714"/>
      <c r="E126" s="1715"/>
      <c r="F126" s="302" t="s">
        <v>203</v>
      </c>
      <c r="G126"/>
      <c r="H126"/>
      <c r="I126"/>
      <c r="J126"/>
      <c r="K126"/>
      <c r="L126"/>
      <c r="M126"/>
      <c r="N126"/>
    </row>
    <row r="127" spans="1:6" s="15" customFormat="1" ht="14.25" customHeight="1">
      <c r="A127" s="303" t="s">
        <v>518</v>
      </c>
      <c r="B127" s="304">
        <v>800</v>
      </c>
      <c r="C127" s="1716" t="s">
        <v>275</v>
      </c>
      <c r="D127" s="1717"/>
      <c r="E127" s="1718"/>
      <c r="F127" s="305">
        <v>1000</v>
      </c>
    </row>
    <row r="128" spans="1:6" s="15" customFormat="1" ht="14.25" customHeight="1">
      <c r="A128" s="306" t="s">
        <v>519</v>
      </c>
      <c r="B128" s="307">
        <v>350</v>
      </c>
      <c r="C128" s="1719" t="s">
        <v>276</v>
      </c>
      <c r="D128" s="1720"/>
      <c r="E128" s="1721"/>
      <c r="F128" s="308">
        <v>4500</v>
      </c>
    </row>
    <row r="129" spans="1:6" s="15" customFormat="1" ht="14.25" customHeight="1">
      <c r="A129" s="306" t="s">
        <v>520</v>
      </c>
      <c r="B129" s="307">
        <v>400</v>
      </c>
      <c r="C129" s="1719" t="s">
        <v>277</v>
      </c>
      <c r="D129" s="1720"/>
      <c r="E129" s="1721"/>
      <c r="F129" s="308">
        <v>500</v>
      </c>
    </row>
    <row r="130" spans="1:6" s="15" customFormat="1" ht="14.25" customHeight="1">
      <c r="A130" s="306" t="s">
        <v>521</v>
      </c>
      <c r="B130" s="307">
        <v>100</v>
      </c>
      <c r="C130" s="1686"/>
      <c r="D130" s="1687"/>
      <c r="E130" s="1240"/>
      <c r="F130" s="308"/>
    </row>
    <row r="131" spans="1:6" s="15" customFormat="1" ht="14.25" customHeight="1">
      <c r="A131" s="306" t="s">
        <v>522</v>
      </c>
      <c r="B131" s="307">
        <v>120</v>
      </c>
      <c r="C131" s="1686"/>
      <c r="D131" s="1687"/>
      <c r="E131" s="1240"/>
      <c r="F131" s="308"/>
    </row>
    <row r="132" spans="1:6" s="15" customFormat="1" ht="14.25" customHeight="1">
      <c r="A132" s="306" t="s">
        <v>523</v>
      </c>
      <c r="B132" s="307">
        <v>100</v>
      </c>
      <c r="C132" s="1686"/>
      <c r="D132" s="1687"/>
      <c r="E132" s="1240"/>
      <c r="F132" s="308"/>
    </row>
    <row r="133" spans="1:6" s="15" customFormat="1" ht="14.25" customHeight="1">
      <c r="A133" s="306" t="s">
        <v>524</v>
      </c>
      <c r="B133" s="307">
        <v>100</v>
      </c>
      <c r="C133" s="1686"/>
      <c r="D133" s="1687"/>
      <c r="E133" s="1240"/>
      <c r="F133" s="308"/>
    </row>
    <row r="134" spans="1:6" s="15" customFormat="1" ht="14.25" customHeight="1">
      <c r="A134" s="306" t="s">
        <v>525</v>
      </c>
      <c r="B134" s="307">
        <v>150</v>
      </c>
      <c r="C134" s="1686"/>
      <c r="D134" s="1687"/>
      <c r="E134" s="1240"/>
      <c r="F134" s="308"/>
    </row>
    <row r="135" spans="1:6" s="15" customFormat="1" ht="14.25" customHeight="1">
      <c r="A135" s="306" t="s">
        <v>526</v>
      </c>
      <c r="B135" s="307">
        <v>350</v>
      </c>
      <c r="C135" s="1686"/>
      <c r="D135" s="1687"/>
      <c r="E135" s="1240"/>
      <c r="F135" s="309"/>
    </row>
    <row r="136" spans="1:6" s="15" customFormat="1" ht="14.25" customHeight="1">
      <c r="A136" s="306" t="s">
        <v>527</v>
      </c>
      <c r="B136" s="307">
        <v>100</v>
      </c>
      <c r="C136" s="1686"/>
      <c r="D136" s="1687"/>
      <c r="E136" s="1240"/>
      <c r="F136" s="309"/>
    </row>
    <row r="137" spans="1:6" s="15" customFormat="1" ht="14.25" customHeight="1" thickBot="1">
      <c r="A137" s="306" t="s">
        <v>252</v>
      </c>
      <c r="B137" s="307">
        <v>430</v>
      </c>
      <c r="C137" s="1686"/>
      <c r="D137" s="1687"/>
      <c r="E137" s="1240"/>
      <c r="F137" s="309"/>
    </row>
    <row r="138" spans="1:6" s="313" customFormat="1" ht="12" thickBot="1">
      <c r="A138" s="118" t="s">
        <v>205</v>
      </c>
      <c r="B138" s="115">
        <f>SUM(B127:B137)</f>
        <v>3000</v>
      </c>
      <c r="C138" s="1723" t="s">
        <v>4</v>
      </c>
      <c r="D138" s="1724"/>
      <c r="E138" s="1636"/>
      <c r="F138" s="116">
        <f>SUM(F127:F136)</f>
        <v>6000</v>
      </c>
    </row>
    <row r="139" ht="12" customHeight="1" thickBot="1"/>
    <row r="140" ht="13.5" hidden="1" thickBot="1"/>
    <row r="141" spans="1:11" ht="12.75" customHeight="1" thickBot="1">
      <c r="A141" s="1706" t="s">
        <v>62</v>
      </c>
      <c r="B141" s="1709" t="s">
        <v>302</v>
      </c>
      <c r="C141" s="1711" t="s">
        <v>301</v>
      </c>
      <c r="D141" s="1549"/>
      <c r="E141" s="1549"/>
      <c r="F141" s="1549"/>
      <c r="G141" s="1549"/>
      <c r="H141" s="1712"/>
      <c r="I141" s="1695" t="s">
        <v>528</v>
      </c>
      <c r="K141" s="888"/>
    </row>
    <row r="142" spans="1:11" ht="13.5" thickBot="1">
      <c r="A142" s="1707"/>
      <c r="B142" s="1536"/>
      <c r="C142" s="1539" t="s">
        <v>45</v>
      </c>
      <c r="D142" s="1522" t="s">
        <v>63</v>
      </c>
      <c r="E142" s="1523"/>
      <c r="F142" s="1523"/>
      <c r="G142" s="1523"/>
      <c r="H142" s="1524"/>
      <c r="I142" s="1696"/>
      <c r="K142" s="888"/>
    </row>
    <row r="143" spans="1:12" ht="12.75" customHeight="1" thickBot="1">
      <c r="A143" s="1708"/>
      <c r="B143" s="1710"/>
      <c r="C143" s="1722"/>
      <c r="D143" s="869">
        <v>1</v>
      </c>
      <c r="E143" s="869">
        <v>2</v>
      </c>
      <c r="F143" s="869">
        <v>3</v>
      </c>
      <c r="G143" s="869">
        <v>4</v>
      </c>
      <c r="H143" s="870">
        <v>5</v>
      </c>
      <c r="I143" s="1697"/>
      <c r="L143" s="888"/>
    </row>
    <row r="144" spans="1:14" s="194" customFormat="1" ht="15.75" customHeight="1" thickBot="1">
      <c r="A144" s="316">
        <v>160573</v>
      </c>
      <c r="B144" s="244">
        <v>10317.96</v>
      </c>
      <c r="C144" s="244">
        <f>SUM(D144:H144)</f>
        <v>6703.653000000001</v>
      </c>
      <c r="D144" s="244">
        <v>2997.695</v>
      </c>
      <c r="E144" s="244">
        <v>3324.175</v>
      </c>
      <c r="F144" s="244">
        <v>5.916</v>
      </c>
      <c r="G144" s="244"/>
      <c r="H144" s="413">
        <v>375.867</v>
      </c>
      <c r="I144" s="245">
        <f>+A144-B144-C144</f>
        <v>143551.38700000002</v>
      </c>
      <c r="J144" s="246"/>
      <c r="K144" s="246"/>
      <c r="L144" s="246"/>
      <c r="M144" s="246"/>
      <c r="N144" s="246"/>
    </row>
    <row r="145" ht="3.75" customHeight="1"/>
    <row r="146" ht="15.75" customHeight="1" thickBot="1">
      <c r="A146" s="102" t="s">
        <v>218</v>
      </c>
    </row>
    <row r="147" spans="1:12" ht="12.75" customHeight="1">
      <c r="A147" s="1296" t="s">
        <v>64</v>
      </c>
      <c r="B147" s="1298" t="s">
        <v>296</v>
      </c>
      <c r="C147" s="1285" t="s">
        <v>294</v>
      </c>
      <c r="D147" s="1286"/>
      <c r="E147" s="1286"/>
      <c r="F147" s="1287"/>
      <c r="G147" s="1300" t="s">
        <v>295</v>
      </c>
      <c r="H147" s="1283" t="s">
        <v>65</v>
      </c>
      <c r="I147" s="1285" t="s">
        <v>299</v>
      </c>
      <c r="J147" s="1286"/>
      <c r="K147" s="1286"/>
      <c r="L147" s="1287"/>
    </row>
    <row r="148" spans="1:12" ht="18.75" thickBot="1">
      <c r="A148" s="1297"/>
      <c r="B148" s="1299"/>
      <c r="C148" s="26" t="s">
        <v>150</v>
      </c>
      <c r="D148" s="27" t="s">
        <v>66</v>
      </c>
      <c r="E148" s="27" t="s">
        <v>67</v>
      </c>
      <c r="F148" s="28" t="s">
        <v>151</v>
      </c>
      <c r="G148" s="1284"/>
      <c r="H148" s="1284"/>
      <c r="I148" s="49" t="s">
        <v>297</v>
      </c>
      <c r="J148" s="27" t="s">
        <v>66</v>
      </c>
      <c r="K148" s="27" t="s">
        <v>67</v>
      </c>
      <c r="L148" s="28" t="s">
        <v>298</v>
      </c>
    </row>
    <row r="149" spans="1:12" ht="12.75">
      <c r="A149" s="198" t="s">
        <v>68</v>
      </c>
      <c r="B149" s="201">
        <v>32376.11</v>
      </c>
      <c r="C149" s="470" t="s">
        <v>69</v>
      </c>
      <c r="D149" s="471" t="s">
        <v>69</v>
      </c>
      <c r="E149" s="471" t="s">
        <v>69</v>
      </c>
      <c r="F149" s="321" t="s">
        <v>69</v>
      </c>
      <c r="G149" s="201">
        <v>78071.94</v>
      </c>
      <c r="H149" s="202" t="s">
        <v>69</v>
      </c>
      <c r="I149" s="199" t="s">
        <v>69</v>
      </c>
      <c r="J149" s="199" t="s">
        <v>69</v>
      </c>
      <c r="K149" s="199" t="s">
        <v>69</v>
      </c>
      <c r="L149" s="200" t="s">
        <v>69</v>
      </c>
    </row>
    <row r="150" spans="1:12" ht="12.75">
      <c r="A150" s="203" t="s">
        <v>70</v>
      </c>
      <c r="B150" s="206">
        <v>543.17</v>
      </c>
      <c r="C150" s="137">
        <v>543.17</v>
      </c>
      <c r="D150" s="30">
        <v>0</v>
      </c>
      <c r="E150" s="30">
        <v>0</v>
      </c>
      <c r="F150" s="205">
        <f>+C150+D150-E150</f>
        <v>543.17</v>
      </c>
      <c r="G150" s="206">
        <v>543.17</v>
      </c>
      <c r="H150" s="207">
        <f>+G150-F150</f>
        <v>0</v>
      </c>
      <c r="I150" s="30">
        <f>+F150</f>
        <v>543.17</v>
      </c>
      <c r="J150" s="30">
        <v>0</v>
      </c>
      <c r="K150" s="30">
        <v>0</v>
      </c>
      <c r="L150" s="205">
        <f>+I150+J150-K150</f>
        <v>543.17</v>
      </c>
    </row>
    <row r="151" spans="1:12" ht="12.75">
      <c r="A151" s="203" t="s">
        <v>71</v>
      </c>
      <c r="B151" s="206">
        <v>1192.51</v>
      </c>
      <c r="C151" s="137">
        <f>+K157</f>
        <v>1193</v>
      </c>
      <c r="D151" s="30"/>
      <c r="E151" s="30"/>
      <c r="F151" s="205">
        <v>1625</v>
      </c>
      <c r="G151" s="206">
        <v>1625</v>
      </c>
      <c r="H151" s="206">
        <f>+G151-F151</f>
        <v>0</v>
      </c>
      <c r="I151" s="30">
        <f>+G151</f>
        <v>1625</v>
      </c>
      <c r="J151" s="30">
        <f>+L160</f>
        <v>349</v>
      </c>
      <c r="K151" s="30">
        <f>+L171</f>
        <v>349</v>
      </c>
      <c r="L151" s="205">
        <f>+I151+J151-K151</f>
        <v>1625</v>
      </c>
    </row>
    <row r="152" spans="1:12" ht="12.75">
      <c r="A152" s="203" t="s">
        <v>72</v>
      </c>
      <c r="B152" s="206">
        <v>-38558.21</v>
      </c>
      <c r="C152" s="470" t="s">
        <v>69</v>
      </c>
      <c r="D152" s="319" t="s">
        <v>69</v>
      </c>
      <c r="E152" s="319" t="s">
        <v>69</v>
      </c>
      <c r="F152" s="321" t="s">
        <v>69</v>
      </c>
      <c r="G152" s="206">
        <v>-3162.39</v>
      </c>
      <c r="H152" s="321" t="s">
        <v>69</v>
      </c>
      <c r="I152" s="199" t="s">
        <v>69</v>
      </c>
      <c r="J152" s="199" t="s">
        <v>69</v>
      </c>
      <c r="K152" s="199" t="s">
        <v>69</v>
      </c>
      <c r="L152" s="200" t="s">
        <v>69</v>
      </c>
    </row>
    <row r="153" spans="1:12" ht="12.75">
      <c r="A153" s="203" t="s">
        <v>73</v>
      </c>
      <c r="B153" s="206">
        <v>69198.64</v>
      </c>
      <c r="C153" s="137">
        <v>69198.64</v>
      </c>
      <c r="D153" s="30">
        <f>+D160</f>
        <v>43305</v>
      </c>
      <c r="E153" s="30">
        <f>+D171</f>
        <v>33438.292</v>
      </c>
      <c r="F153" s="205">
        <f>+D184</f>
        <v>79065.708</v>
      </c>
      <c r="G153" s="206">
        <v>79065.73</v>
      </c>
      <c r="H153" s="207">
        <f>+G153-F153</f>
        <v>0.021999999997206032</v>
      </c>
      <c r="I153" s="210">
        <f>+F153</f>
        <v>79065.708</v>
      </c>
      <c r="J153" s="210">
        <f>+E160</f>
        <v>40459</v>
      </c>
      <c r="K153" s="210">
        <f>+E171</f>
        <v>44568</v>
      </c>
      <c r="L153" s="205">
        <f>+I153+J153-K153</f>
        <v>74956.708</v>
      </c>
    </row>
    <row r="154" spans="1:12" ht="13.5" thickBot="1">
      <c r="A154" s="211" t="s">
        <v>74</v>
      </c>
      <c r="B154" s="214">
        <v>2.72</v>
      </c>
      <c r="C154" s="138">
        <v>534.66</v>
      </c>
      <c r="D154" s="139"/>
      <c r="E154" s="139"/>
      <c r="F154" s="213">
        <v>355.28</v>
      </c>
      <c r="G154" s="214">
        <v>4</v>
      </c>
      <c r="H154" s="215">
        <f>+G154-F154</f>
        <v>-351.28</v>
      </c>
      <c r="I154" s="139">
        <f>+F154</f>
        <v>355.28</v>
      </c>
      <c r="J154" s="139">
        <v>4654</v>
      </c>
      <c r="K154" s="139">
        <v>4500</v>
      </c>
      <c r="L154" s="213">
        <f>+I154+J154-K154</f>
        <v>509.27999999999975</v>
      </c>
    </row>
    <row r="155" spans="1:12" ht="6.75" customHeight="1" thickBot="1">
      <c r="A155" s="216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s="187" customFormat="1" ht="13.5" customHeight="1" thickBot="1">
      <c r="A156" s="247" t="s">
        <v>75</v>
      </c>
      <c r="B156" s="248">
        <v>2004</v>
      </c>
      <c r="C156" s="401">
        <v>2005</v>
      </c>
      <c r="D156" s="401">
        <v>2006</v>
      </c>
      <c r="E156" s="249">
        <v>2007</v>
      </c>
      <c r="F156" s="1414" t="s">
        <v>76</v>
      </c>
      <c r="G156" s="1432"/>
      <c r="H156" s="1432"/>
      <c r="I156" s="248">
        <v>2004</v>
      </c>
      <c r="J156" s="248">
        <v>2005</v>
      </c>
      <c r="K156" s="401">
        <v>2006</v>
      </c>
      <c r="L156" s="249">
        <v>2007</v>
      </c>
    </row>
    <row r="157" spans="1:14" ht="12.75">
      <c r="A157" s="33" t="s">
        <v>77</v>
      </c>
      <c r="B157" s="34">
        <f>+C153</f>
        <v>69198.64</v>
      </c>
      <c r="C157" s="378">
        <v>84333.13</v>
      </c>
      <c r="D157" s="108">
        <v>69199</v>
      </c>
      <c r="E157" s="35">
        <f>+D184</f>
        <v>79065.708</v>
      </c>
      <c r="F157" s="1402" t="s">
        <v>78</v>
      </c>
      <c r="G157" s="1403"/>
      <c r="H157" s="1403"/>
      <c r="I157" s="34">
        <f>+C151</f>
        <v>1193</v>
      </c>
      <c r="J157" s="859">
        <f>+I184</f>
        <v>1484</v>
      </c>
      <c r="K157" s="108">
        <v>1193</v>
      </c>
      <c r="L157" s="35">
        <f>+K184</f>
        <v>1625</v>
      </c>
      <c r="M157"/>
      <c r="N157"/>
    </row>
    <row r="158" spans="1:14" ht="12.75">
      <c r="A158" s="561" t="s">
        <v>176</v>
      </c>
      <c r="B158" s="546"/>
      <c r="C158" s="378"/>
      <c r="D158" s="108">
        <v>1454</v>
      </c>
      <c r="E158" s="35">
        <v>11113</v>
      </c>
      <c r="F158" s="1251"/>
      <c r="G158" s="1392"/>
      <c r="H158" s="1393"/>
      <c r="I158" s="30"/>
      <c r="J158" s="584"/>
      <c r="K158" s="204"/>
      <c r="L158" s="205"/>
      <c r="M158"/>
      <c r="N158"/>
    </row>
    <row r="159" spans="1:14" ht="13.5" thickBot="1">
      <c r="A159" s="877" t="s">
        <v>177</v>
      </c>
      <c r="B159" s="839"/>
      <c r="C159" s="878"/>
      <c r="D159" s="879">
        <v>0</v>
      </c>
      <c r="E159" s="791"/>
      <c r="F159" s="1402"/>
      <c r="G159" s="1403"/>
      <c r="H159" s="1403"/>
      <c r="I159" s="376"/>
      <c r="J159" s="872"/>
      <c r="K159" s="618"/>
      <c r="L159" s="377"/>
      <c r="M159"/>
      <c r="N159"/>
    </row>
    <row r="160" spans="1:14" ht="13.5" thickBot="1">
      <c r="A160" s="441" t="s">
        <v>66</v>
      </c>
      <c r="B160" s="875">
        <f>+B161+B162+B164+B169+B170</f>
        <v>33392.957</v>
      </c>
      <c r="C160" s="876">
        <f>SUM(C161:C170)</f>
        <v>43199.88</v>
      </c>
      <c r="D160" s="876">
        <f>SUM(D161:D170)</f>
        <v>43305</v>
      </c>
      <c r="E160" s="48">
        <f>SUM(E161:E170)</f>
        <v>40459</v>
      </c>
      <c r="F160" s="1414" t="s">
        <v>66</v>
      </c>
      <c r="G160" s="1432"/>
      <c r="H160" s="1432"/>
      <c r="I160" s="875">
        <f>+I161+I162</f>
        <v>291</v>
      </c>
      <c r="J160" s="875">
        <f>SUM(J161:J163)</f>
        <v>951</v>
      </c>
      <c r="K160" s="876">
        <f>SUM(K161:K170)</f>
        <v>513</v>
      </c>
      <c r="L160" s="48">
        <f>SUM(L161:L170)</f>
        <v>349</v>
      </c>
      <c r="M160"/>
      <c r="N160"/>
    </row>
    <row r="161" spans="1:14" ht="12.75">
      <c r="A161" s="33" t="s">
        <v>79</v>
      </c>
      <c r="B161" s="34">
        <v>4905</v>
      </c>
      <c r="C161" s="378">
        <v>2309</v>
      </c>
      <c r="D161" s="108">
        <f>+F33</f>
        <v>4400</v>
      </c>
      <c r="E161" s="35">
        <v>6704</v>
      </c>
      <c r="F161" s="880" t="s">
        <v>80</v>
      </c>
      <c r="G161" s="753"/>
      <c r="H161" s="753"/>
      <c r="I161" s="34"/>
      <c r="J161" s="859">
        <v>132</v>
      </c>
      <c r="K161" s="108">
        <v>81</v>
      </c>
      <c r="L161" s="35">
        <v>49</v>
      </c>
      <c r="M161"/>
      <c r="N161"/>
    </row>
    <row r="162" spans="1:14" ht="12.75">
      <c r="A162" s="36" t="s">
        <v>240</v>
      </c>
      <c r="B162" s="30">
        <f>+G46/1000+G52/1000</f>
        <v>9463.957</v>
      </c>
      <c r="C162" s="379">
        <v>39435.88</v>
      </c>
      <c r="D162" s="204">
        <f>+I46/1000</f>
        <v>17799</v>
      </c>
      <c r="E162" s="205">
        <v>18000</v>
      </c>
      <c r="F162" s="1251" t="s">
        <v>81</v>
      </c>
      <c r="G162" s="1392"/>
      <c r="H162" s="1393"/>
      <c r="I162" s="30">
        <v>291</v>
      </c>
      <c r="J162" s="584">
        <v>300</v>
      </c>
      <c r="K162" s="204">
        <v>300</v>
      </c>
      <c r="L162" s="205">
        <v>300</v>
      </c>
      <c r="M162"/>
      <c r="N162"/>
    </row>
    <row r="163" spans="1:14" ht="12.75">
      <c r="A163" s="36" t="s">
        <v>280</v>
      </c>
      <c r="B163" s="30"/>
      <c r="C163" s="379"/>
      <c r="D163" s="204">
        <v>0</v>
      </c>
      <c r="E163" s="205"/>
      <c r="F163" s="1251" t="s">
        <v>250</v>
      </c>
      <c r="G163" s="1392"/>
      <c r="H163" s="1393"/>
      <c r="I163" s="30"/>
      <c r="J163" s="584">
        <v>519</v>
      </c>
      <c r="K163" s="204">
        <f>+K184-1493</f>
        <v>132</v>
      </c>
      <c r="L163" s="205"/>
      <c r="M163"/>
      <c r="N163"/>
    </row>
    <row r="164" spans="1:14" ht="12.75">
      <c r="A164" s="36" t="s">
        <v>82</v>
      </c>
      <c r="B164" s="30">
        <f>+G49/1000</f>
        <v>18526</v>
      </c>
      <c r="C164" s="379"/>
      <c r="D164" s="204"/>
      <c r="E164" s="205"/>
      <c r="F164" s="1251"/>
      <c r="G164" s="1392"/>
      <c r="H164" s="1393"/>
      <c r="I164" s="30"/>
      <c r="J164" s="584"/>
      <c r="K164" s="204"/>
      <c r="L164" s="205"/>
      <c r="M164"/>
      <c r="N164"/>
    </row>
    <row r="165" spans="1:14" ht="12.75">
      <c r="A165" s="36" t="s">
        <v>533</v>
      </c>
      <c r="B165" s="30"/>
      <c r="C165" s="379"/>
      <c r="D165" s="204">
        <v>19250</v>
      </c>
      <c r="E165" s="205">
        <v>15455</v>
      </c>
      <c r="F165" s="1251"/>
      <c r="G165" s="1392"/>
      <c r="H165" s="1393"/>
      <c r="I165" s="30"/>
      <c r="J165" s="584"/>
      <c r="K165" s="204"/>
      <c r="L165" s="205"/>
      <c r="M165"/>
      <c r="N165"/>
    </row>
    <row r="166" spans="1:14" ht="12.75">
      <c r="A166" s="36" t="s">
        <v>168</v>
      </c>
      <c r="B166" s="30"/>
      <c r="C166" s="379"/>
      <c r="D166" s="204">
        <v>0</v>
      </c>
      <c r="E166" s="205"/>
      <c r="F166" s="1251"/>
      <c r="G166" s="1392"/>
      <c r="H166" s="1393"/>
      <c r="I166" s="30"/>
      <c r="J166" s="584"/>
      <c r="K166" s="204"/>
      <c r="L166" s="205"/>
      <c r="M166"/>
      <c r="N166"/>
    </row>
    <row r="167" spans="1:14" ht="12.75">
      <c r="A167" s="36" t="s">
        <v>530</v>
      </c>
      <c r="B167" s="30"/>
      <c r="C167" s="379"/>
      <c r="D167" s="204"/>
      <c r="E167" s="205"/>
      <c r="F167" s="1251"/>
      <c r="G167" s="1392"/>
      <c r="H167" s="1393"/>
      <c r="I167" s="30"/>
      <c r="J167" s="584"/>
      <c r="K167" s="204"/>
      <c r="L167" s="205"/>
      <c r="M167"/>
      <c r="N167"/>
    </row>
    <row r="168" spans="1:14" ht="12.75">
      <c r="A168" s="36" t="s">
        <v>250</v>
      </c>
      <c r="B168" s="30"/>
      <c r="C168" s="379"/>
      <c r="D168" s="204">
        <f>+I52/1000</f>
        <v>1856</v>
      </c>
      <c r="E168" s="205"/>
      <c r="F168" s="1251"/>
      <c r="G168" s="1392"/>
      <c r="H168" s="1393"/>
      <c r="I168" s="30"/>
      <c r="J168" s="584"/>
      <c r="K168" s="204"/>
      <c r="L168" s="205"/>
      <c r="M168"/>
      <c r="N168"/>
    </row>
    <row r="169" spans="1:14" ht="12.75">
      <c r="A169" s="36" t="s">
        <v>81</v>
      </c>
      <c r="B169" s="30"/>
      <c r="C169" s="379"/>
      <c r="D169" s="204"/>
      <c r="E169" s="205"/>
      <c r="F169" s="1251"/>
      <c r="G169" s="1392"/>
      <c r="H169" s="1393"/>
      <c r="I169" s="30"/>
      <c r="J169" s="584"/>
      <c r="K169" s="204"/>
      <c r="L169" s="205"/>
      <c r="M169"/>
      <c r="N169"/>
    </row>
    <row r="170" spans="1:14" ht="13.5" thickBot="1">
      <c r="A170" s="871" t="s">
        <v>83</v>
      </c>
      <c r="B170" s="376">
        <v>498</v>
      </c>
      <c r="C170" s="380">
        <v>1455</v>
      </c>
      <c r="D170" s="618"/>
      <c r="E170" s="377">
        <v>300</v>
      </c>
      <c r="F170" s="1691"/>
      <c r="G170" s="1692"/>
      <c r="H170" s="1693"/>
      <c r="I170" s="376"/>
      <c r="J170" s="872"/>
      <c r="K170" s="618"/>
      <c r="L170" s="377"/>
      <c r="M170"/>
      <c r="N170"/>
    </row>
    <row r="171" spans="1:14" ht="13.5" thickBot="1">
      <c r="A171" s="441" t="s">
        <v>67</v>
      </c>
      <c r="B171" s="875">
        <f>+B174+B179</f>
        <v>0</v>
      </c>
      <c r="C171" s="876">
        <f>SUM(C174:C182)</f>
        <v>58334.2895</v>
      </c>
      <c r="D171" s="876">
        <f>SUM(D172:D183)</f>
        <v>33438.292</v>
      </c>
      <c r="E171" s="48">
        <f>SUM(E172:E182)</f>
        <v>44568</v>
      </c>
      <c r="F171" s="1414" t="s">
        <v>67</v>
      </c>
      <c r="G171" s="1432"/>
      <c r="H171" s="1432"/>
      <c r="I171" s="875">
        <f>+I172+I175+I180</f>
        <v>580</v>
      </c>
      <c r="J171" s="875">
        <f>+J172+J175+J180</f>
        <v>300</v>
      </c>
      <c r="K171" s="876">
        <f>SUM(K172:K182)</f>
        <v>81</v>
      </c>
      <c r="L171" s="48">
        <f>SUM(L172:L182)</f>
        <v>349</v>
      </c>
      <c r="M171"/>
      <c r="N171"/>
    </row>
    <row r="172" spans="1:14" ht="12.75">
      <c r="A172" s="873" t="s">
        <v>169</v>
      </c>
      <c r="B172" s="874"/>
      <c r="C172" s="378"/>
      <c r="D172" s="108">
        <v>652</v>
      </c>
      <c r="E172" s="35">
        <v>5525</v>
      </c>
      <c r="F172" s="1280" t="s">
        <v>84</v>
      </c>
      <c r="G172" s="1394"/>
      <c r="H172" s="1395"/>
      <c r="I172" s="34">
        <v>82</v>
      </c>
      <c r="J172" s="859">
        <v>50</v>
      </c>
      <c r="K172" s="108">
        <v>81</v>
      </c>
      <c r="L172" s="35">
        <v>49</v>
      </c>
      <c r="M172"/>
      <c r="N172"/>
    </row>
    <row r="173" spans="1:14" ht="12.75">
      <c r="A173" s="562" t="s">
        <v>537</v>
      </c>
      <c r="B173" s="563"/>
      <c r="C173" s="379"/>
      <c r="D173" s="204">
        <v>1833</v>
      </c>
      <c r="E173" s="205"/>
      <c r="F173" s="1251"/>
      <c r="G173" s="1392"/>
      <c r="H173" s="1393"/>
      <c r="I173" s="30"/>
      <c r="J173" s="584"/>
      <c r="K173" s="204"/>
      <c r="L173" s="205"/>
      <c r="M173"/>
      <c r="N173"/>
    </row>
    <row r="174" spans="1:14" ht="12.75">
      <c r="A174" s="562" t="s">
        <v>170</v>
      </c>
      <c r="B174" s="563"/>
      <c r="C174" s="379">
        <v>30715.3415</v>
      </c>
      <c r="D174" s="204">
        <v>6233</v>
      </c>
      <c r="E174" s="205">
        <v>14650</v>
      </c>
      <c r="F174" s="1251" t="s">
        <v>85</v>
      </c>
      <c r="G174" s="1392"/>
      <c r="H174" s="1393"/>
      <c r="I174" s="30"/>
      <c r="J174" s="584">
        <v>132</v>
      </c>
      <c r="K174" s="204">
        <v>0</v>
      </c>
      <c r="L174" s="205"/>
      <c r="M174"/>
      <c r="N174"/>
    </row>
    <row r="175" spans="1:14" ht="12.75">
      <c r="A175" s="562" t="s">
        <v>171</v>
      </c>
      <c r="B175" s="563"/>
      <c r="C175" s="379"/>
      <c r="D175" s="204"/>
      <c r="E175" s="205"/>
      <c r="F175" s="1251" t="s">
        <v>206</v>
      </c>
      <c r="G175" s="1392"/>
      <c r="H175" s="1393"/>
      <c r="I175" s="30">
        <v>498</v>
      </c>
      <c r="J175" s="584">
        <v>250</v>
      </c>
      <c r="K175" s="204"/>
      <c r="L175" s="205">
        <v>300</v>
      </c>
      <c r="M175"/>
      <c r="N175"/>
    </row>
    <row r="176" spans="1:14" ht="12.75">
      <c r="A176" s="562" t="s">
        <v>534</v>
      </c>
      <c r="B176" s="563"/>
      <c r="C176" s="379"/>
      <c r="D176" s="204">
        <v>7380</v>
      </c>
      <c r="E176" s="205">
        <v>10701</v>
      </c>
      <c r="F176" s="1251"/>
      <c r="G176" s="1392"/>
      <c r="H176" s="1393"/>
      <c r="I176" s="30"/>
      <c r="J176" s="584"/>
      <c r="K176" s="204"/>
      <c r="L176" s="205"/>
      <c r="M176"/>
      <c r="N176"/>
    </row>
    <row r="177" spans="1:14" ht="12.75">
      <c r="A177" s="562" t="s">
        <v>281</v>
      </c>
      <c r="B177" s="563"/>
      <c r="C177" s="379"/>
      <c r="D177" s="204">
        <v>804.087</v>
      </c>
      <c r="E177" s="205">
        <v>5588</v>
      </c>
      <c r="F177" s="1251"/>
      <c r="G177" s="1392"/>
      <c r="H177" s="1393"/>
      <c r="I177" s="30"/>
      <c r="J177" s="584"/>
      <c r="K177" s="204"/>
      <c r="L177" s="205"/>
      <c r="M177"/>
      <c r="N177"/>
    </row>
    <row r="178" spans="1:14" ht="12.75">
      <c r="A178" s="562" t="s">
        <v>536</v>
      </c>
      <c r="B178" s="563"/>
      <c r="C178" s="379"/>
      <c r="D178" s="204">
        <v>23.205</v>
      </c>
      <c r="E178" s="205"/>
      <c r="F178" s="1251"/>
      <c r="G178" s="1392"/>
      <c r="H178" s="1393"/>
      <c r="I178" s="30"/>
      <c r="J178" s="584"/>
      <c r="K178" s="204"/>
      <c r="L178" s="205"/>
      <c r="M178"/>
      <c r="N178"/>
    </row>
    <row r="179" spans="1:14" ht="12.75">
      <c r="A179" s="562" t="s">
        <v>172</v>
      </c>
      <c r="B179" s="563"/>
      <c r="C179" s="379">
        <v>8720.538</v>
      </c>
      <c r="D179" s="204">
        <v>6240</v>
      </c>
      <c r="E179" s="205">
        <v>3350</v>
      </c>
      <c r="F179" s="1251"/>
      <c r="G179" s="1392"/>
      <c r="H179" s="1393"/>
      <c r="I179" s="30"/>
      <c r="J179" s="584"/>
      <c r="K179" s="204"/>
      <c r="L179" s="205"/>
      <c r="M179"/>
      <c r="N179"/>
    </row>
    <row r="180" spans="1:14" ht="12.75">
      <c r="A180" s="562" t="s">
        <v>173</v>
      </c>
      <c r="B180" s="563"/>
      <c r="C180" s="379"/>
      <c r="D180" s="204"/>
      <c r="E180" s="205"/>
      <c r="F180" s="1251"/>
      <c r="G180" s="1392"/>
      <c r="H180" s="1393"/>
      <c r="I180" s="30"/>
      <c r="J180" s="584"/>
      <c r="K180" s="204"/>
      <c r="L180" s="205"/>
      <c r="M180"/>
      <c r="N180"/>
    </row>
    <row r="181" spans="1:14" ht="12.75">
      <c r="A181" s="562" t="s">
        <v>535</v>
      </c>
      <c r="B181" s="563"/>
      <c r="C181" s="379"/>
      <c r="D181" s="204">
        <v>6346</v>
      </c>
      <c r="E181" s="205">
        <v>4754</v>
      </c>
      <c r="F181" s="1251"/>
      <c r="G181" s="1392"/>
      <c r="H181" s="1393"/>
      <c r="I181" s="30"/>
      <c r="J181" s="584"/>
      <c r="K181" s="204"/>
      <c r="L181" s="205"/>
      <c r="M181"/>
      <c r="N181"/>
    </row>
    <row r="182" spans="1:14" ht="12.75">
      <c r="A182" s="562" t="s">
        <v>83</v>
      </c>
      <c r="B182" s="563"/>
      <c r="C182" s="379">
        <v>18898.41</v>
      </c>
      <c r="D182" s="204"/>
      <c r="E182" s="205"/>
      <c r="F182" s="1251"/>
      <c r="G182" s="1392"/>
      <c r="H182" s="1393"/>
      <c r="I182" s="30"/>
      <c r="J182" s="584"/>
      <c r="K182" s="204"/>
      <c r="L182" s="205"/>
      <c r="M182"/>
      <c r="N182"/>
    </row>
    <row r="183" spans="1:14" ht="13.5" thickBot="1">
      <c r="A183" s="562" t="s">
        <v>652</v>
      </c>
      <c r="B183" s="563"/>
      <c r="C183" s="379"/>
      <c r="D183" s="204">
        <v>3927</v>
      </c>
      <c r="E183" s="205"/>
      <c r="F183" s="1251"/>
      <c r="G183" s="1392"/>
      <c r="H183" s="1393"/>
      <c r="I183" s="30"/>
      <c r="J183" s="584"/>
      <c r="K183" s="204"/>
      <c r="L183" s="205"/>
      <c r="M183"/>
      <c r="N183"/>
    </row>
    <row r="184" spans="1:14" ht="13.5" thickBot="1">
      <c r="A184" s="441" t="s">
        <v>86</v>
      </c>
      <c r="B184" s="875">
        <f>+B157+B160-B171</f>
        <v>102591.59700000001</v>
      </c>
      <c r="C184" s="876">
        <f>+C157+C160-C171</f>
        <v>69198.72050000001</v>
      </c>
      <c r="D184" s="876">
        <f>+D157+D160-D171</f>
        <v>79065.708</v>
      </c>
      <c r="E184" s="48">
        <f>+E157+E160-E171</f>
        <v>74956.708</v>
      </c>
      <c r="F184" s="1414" t="s">
        <v>86</v>
      </c>
      <c r="G184" s="1432"/>
      <c r="H184" s="1432"/>
      <c r="I184" s="875">
        <f>+I157+I160-I170</f>
        <v>1484</v>
      </c>
      <c r="J184" s="875">
        <v>1193</v>
      </c>
      <c r="K184" s="876">
        <v>1625</v>
      </c>
      <c r="L184" s="48">
        <f>+L157+L160-L171</f>
        <v>1625</v>
      </c>
      <c r="M184"/>
      <c r="N184"/>
    </row>
    <row r="185" spans="1:12" ht="9" customHeight="1">
      <c r="A185" s="216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34" ht="15" customHeight="1" thickBot="1">
      <c r="A186" s="102" t="s">
        <v>306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162"/>
      <c r="N186" s="16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</row>
    <row r="187" spans="1:14" ht="12.75">
      <c r="A187" s="1622" t="s">
        <v>305</v>
      </c>
      <c r="B187" s="1260" t="s">
        <v>4</v>
      </c>
      <c r="C187" s="1260" t="s">
        <v>186</v>
      </c>
      <c r="D187" s="1262"/>
      <c r="E187" s="1262"/>
      <c r="F187" s="1262"/>
      <c r="G187" s="1262"/>
      <c r="H187" s="1263"/>
      <c r="I187" s="38"/>
      <c r="J187" s="162"/>
      <c r="K187" s="162"/>
      <c r="L187" s="162"/>
      <c r="M187" s="142"/>
      <c r="N187" s="142"/>
    </row>
    <row r="188" spans="1:14" ht="13.5" thickBot="1">
      <c r="A188" s="1690"/>
      <c r="B188" s="1261"/>
      <c r="C188" s="64" t="s">
        <v>87</v>
      </c>
      <c r="D188" s="65" t="s">
        <v>88</v>
      </c>
      <c r="E188" s="65" t="s">
        <v>89</v>
      </c>
      <c r="F188" s="65" t="s">
        <v>90</v>
      </c>
      <c r="G188" s="472" t="s">
        <v>91</v>
      </c>
      <c r="H188" s="473" t="s">
        <v>45</v>
      </c>
      <c r="I188" s="38"/>
      <c r="J188" s="162"/>
      <c r="K188" s="162"/>
      <c r="L188" s="162"/>
      <c r="M188" s="142"/>
      <c r="N188" s="142"/>
    </row>
    <row r="189" spans="1:9" s="194" customFormat="1" ht="11.25">
      <c r="A189" s="414" t="s">
        <v>92</v>
      </c>
      <c r="B189" s="474">
        <v>62295</v>
      </c>
      <c r="C189" s="475">
        <v>-748</v>
      </c>
      <c r="D189" s="475">
        <v>518</v>
      </c>
      <c r="E189" s="475">
        <v>-14</v>
      </c>
      <c r="F189" s="475">
        <v>67</v>
      </c>
      <c r="G189" s="475">
        <v>683</v>
      </c>
      <c r="H189" s="415">
        <f>SUM(C189:G189)</f>
        <v>506</v>
      </c>
      <c r="I189" s="38"/>
    </row>
    <row r="190" spans="1:9" s="194" customFormat="1" ht="12" thickBot="1">
      <c r="A190" s="416" t="s">
        <v>137</v>
      </c>
      <c r="B190" s="476">
        <v>28903</v>
      </c>
      <c r="C190" s="886">
        <v>287</v>
      </c>
      <c r="D190" s="886">
        <v>21</v>
      </c>
      <c r="E190" s="886"/>
      <c r="F190" s="886"/>
      <c r="G190" s="886">
        <v>-3</v>
      </c>
      <c r="H190" s="110">
        <f>SUM(C190:G190)</f>
        <v>305</v>
      </c>
      <c r="I190" s="38"/>
    </row>
    <row r="191" spans="1:14" ht="4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ht="3" customHeight="1"/>
    <row r="193" spans="1:12" ht="16.5" thickBot="1">
      <c r="A193" s="369" t="s">
        <v>278</v>
      </c>
      <c r="B193" s="300"/>
      <c r="C193" s="300"/>
      <c r="D193" s="300"/>
      <c r="E193" s="300"/>
      <c r="F193" s="300"/>
      <c r="G193" s="300"/>
      <c r="H193" s="300"/>
      <c r="I193" s="300"/>
      <c r="J193"/>
      <c r="K193"/>
      <c r="L193"/>
    </row>
    <row r="194" spans="1:14" ht="13.5" thickBot="1">
      <c r="A194" s="1268" t="s">
        <v>93</v>
      </c>
      <c r="B194" s="1430" t="s">
        <v>94</v>
      </c>
      <c r="C194" s="1339"/>
      <c r="D194" s="1339"/>
      <c r="E194" s="1339"/>
      <c r="F194" s="1340"/>
      <c r="G194" s="1430" t="s">
        <v>95</v>
      </c>
      <c r="H194" s="1339"/>
      <c r="I194" s="1339"/>
      <c r="J194" s="1339"/>
      <c r="K194" s="1340"/>
      <c r="N194"/>
    </row>
    <row r="195" spans="1:14" ht="13.5" thickBot="1">
      <c r="A195" s="1269"/>
      <c r="B195" s="541">
        <v>2003</v>
      </c>
      <c r="C195" s="25">
        <v>2004</v>
      </c>
      <c r="D195" s="25">
        <v>2005</v>
      </c>
      <c r="E195" s="25">
        <v>2006</v>
      </c>
      <c r="F195" s="40" t="s">
        <v>7</v>
      </c>
      <c r="G195" s="111">
        <v>2003</v>
      </c>
      <c r="H195" s="25">
        <v>2004</v>
      </c>
      <c r="I195" s="56">
        <v>2005</v>
      </c>
      <c r="J195" s="56">
        <v>2006</v>
      </c>
      <c r="K195" s="564" t="s">
        <v>7</v>
      </c>
      <c r="N195"/>
    </row>
    <row r="196" spans="1:14" ht="12.75">
      <c r="A196" s="746" t="s">
        <v>96</v>
      </c>
      <c r="B196" s="565">
        <v>122</v>
      </c>
      <c r="C196" s="221">
        <v>122</v>
      </c>
      <c r="D196" s="362">
        <v>122</v>
      </c>
      <c r="E196" s="362">
        <v>122</v>
      </c>
      <c r="F196" s="362">
        <f aca="true" t="shared" si="12" ref="F196:F214">+E196-D196</f>
        <v>0</v>
      </c>
      <c r="G196" s="323">
        <v>74</v>
      </c>
      <c r="H196" s="363">
        <f>31920/44652*100</f>
        <v>71.48615963450685</v>
      </c>
      <c r="I196" s="567">
        <v>72.2</v>
      </c>
      <c r="J196" s="567">
        <v>67.55</v>
      </c>
      <c r="K196" s="881">
        <f aca="true" t="shared" si="13" ref="K196:K214">+J196-I196</f>
        <v>-4.650000000000006</v>
      </c>
      <c r="N196"/>
    </row>
    <row r="197" spans="1:14" ht="12.75">
      <c r="A197" s="745" t="s">
        <v>97</v>
      </c>
      <c r="B197" s="568">
        <v>22</v>
      </c>
      <c r="C197" s="223">
        <v>22</v>
      </c>
      <c r="D197" s="364">
        <v>22</v>
      </c>
      <c r="E197" s="364">
        <v>22</v>
      </c>
      <c r="F197" s="364">
        <f t="shared" si="12"/>
        <v>0</v>
      </c>
      <c r="G197" s="324">
        <v>57</v>
      </c>
      <c r="H197" s="365">
        <f>0.495156482861401*100</f>
        <v>49.51564828614009</v>
      </c>
      <c r="I197" s="570">
        <v>52.4</v>
      </c>
      <c r="J197" s="570">
        <v>56.51</v>
      </c>
      <c r="K197" s="882">
        <f t="shared" si="13"/>
        <v>4.109999999999999</v>
      </c>
      <c r="N197"/>
    </row>
    <row r="198" spans="1:14" ht="12.75">
      <c r="A198" s="745" t="s">
        <v>98</v>
      </c>
      <c r="B198" s="568"/>
      <c r="C198" s="223"/>
      <c r="D198" s="364"/>
      <c r="E198" s="364"/>
      <c r="F198" s="364">
        <f t="shared" si="12"/>
        <v>0</v>
      </c>
      <c r="G198" s="324"/>
      <c r="H198" s="365"/>
      <c r="I198" s="570"/>
      <c r="J198" s="570"/>
      <c r="K198" s="882">
        <f t="shared" si="13"/>
        <v>0</v>
      </c>
      <c r="N198"/>
    </row>
    <row r="199" spans="1:14" ht="12.75">
      <c r="A199" s="745" t="s">
        <v>99</v>
      </c>
      <c r="B199" s="568">
        <v>44</v>
      </c>
      <c r="C199" s="223">
        <v>44</v>
      </c>
      <c r="D199" s="364">
        <v>44</v>
      </c>
      <c r="E199" s="364">
        <v>37</v>
      </c>
      <c r="F199" s="364">
        <f t="shared" si="12"/>
        <v>-7</v>
      </c>
      <c r="G199" s="324">
        <v>66.2</v>
      </c>
      <c r="H199" s="365">
        <f>0.618293591654247*100</f>
        <v>61.829359165424734</v>
      </c>
      <c r="I199" s="570">
        <v>65.4</v>
      </c>
      <c r="J199" s="570">
        <v>59.7</v>
      </c>
      <c r="K199" s="882">
        <f t="shared" si="13"/>
        <v>-5.700000000000003</v>
      </c>
      <c r="N199"/>
    </row>
    <row r="200" spans="1:14" ht="12.75">
      <c r="A200" s="745" t="s">
        <v>100</v>
      </c>
      <c r="B200" s="568"/>
      <c r="C200" s="223"/>
      <c r="D200" s="364"/>
      <c r="E200" s="364"/>
      <c r="F200" s="364">
        <f t="shared" si="12"/>
        <v>0</v>
      </c>
      <c r="G200" s="324"/>
      <c r="H200" s="365"/>
      <c r="I200" s="570"/>
      <c r="J200" s="570"/>
      <c r="K200" s="882">
        <f t="shared" si="13"/>
        <v>0</v>
      </c>
      <c r="N200"/>
    </row>
    <row r="201" spans="1:14" ht="12.75">
      <c r="A201" s="745" t="s">
        <v>101</v>
      </c>
      <c r="B201" s="568">
        <v>50</v>
      </c>
      <c r="C201" s="223">
        <v>50</v>
      </c>
      <c r="D201" s="364">
        <v>50</v>
      </c>
      <c r="E201" s="364">
        <v>53</v>
      </c>
      <c r="F201" s="364">
        <f t="shared" si="12"/>
        <v>3</v>
      </c>
      <c r="G201" s="324">
        <v>75.8</v>
      </c>
      <c r="H201" s="365">
        <f>0.680655737704918*100</f>
        <v>68.06557377049181</v>
      </c>
      <c r="I201" s="570">
        <v>62</v>
      </c>
      <c r="J201" s="570">
        <v>61.02</v>
      </c>
      <c r="K201" s="882">
        <f t="shared" si="13"/>
        <v>-0.9799999999999969</v>
      </c>
      <c r="N201"/>
    </row>
    <row r="202" spans="1:14" ht="12.75">
      <c r="A202" s="745" t="s">
        <v>102</v>
      </c>
      <c r="B202" s="568">
        <v>59</v>
      </c>
      <c r="C202" s="223">
        <v>59</v>
      </c>
      <c r="D202" s="364">
        <v>59</v>
      </c>
      <c r="E202" s="364">
        <v>54</v>
      </c>
      <c r="F202" s="364">
        <f t="shared" si="12"/>
        <v>-5</v>
      </c>
      <c r="G202" s="324">
        <v>70.8</v>
      </c>
      <c r="H202" s="365">
        <f>0.670649254422525*100</f>
        <v>67.06492544225247</v>
      </c>
      <c r="I202" s="570">
        <v>61.8</v>
      </c>
      <c r="J202" s="570">
        <v>63.71</v>
      </c>
      <c r="K202" s="882">
        <f t="shared" si="13"/>
        <v>1.9100000000000037</v>
      </c>
      <c r="N202"/>
    </row>
    <row r="203" spans="1:14" ht="12.75">
      <c r="A203" s="745" t="s">
        <v>103</v>
      </c>
      <c r="B203" s="568">
        <v>82</v>
      </c>
      <c r="C203" s="223">
        <v>82</v>
      </c>
      <c r="D203" s="364">
        <v>82</v>
      </c>
      <c r="E203" s="364">
        <v>82</v>
      </c>
      <c r="F203" s="364">
        <f t="shared" si="12"/>
        <v>0</v>
      </c>
      <c r="G203" s="324">
        <v>82.4</v>
      </c>
      <c r="H203" s="365">
        <f>0.77995468479275*100</f>
        <v>77.99546847927495</v>
      </c>
      <c r="I203" s="570">
        <v>77.5</v>
      </c>
      <c r="J203" s="570">
        <v>76.61</v>
      </c>
      <c r="K203" s="882">
        <f t="shared" si="13"/>
        <v>-0.8900000000000006</v>
      </c>
      <c r="N203"/>
    </row>
    <row r="204" spans="1:14" ht="12.75">
      <c r="A204" s="745" t="s">
        <v>104</v>
      </c>
      <c r="B204" s="568">
        <v>6</v>
      </c>
      <c r="C204" s="223">
        <v>6</v>
      </c>
      <c r="D204" s="364">
        <v>6</v>
      </c>
      <c r="E204" s="364">
        <v>6</v>
      </c>
      <c r="F204" s="364">
        <f t="shared" si="12"/>
        <v>0</v>
      </c>
      <c r="G204" s="324">
        <v>77.8</v>
      </c>
      <c r="H204" s="365">
        <f>0.748178506375228*100</f>
        <v>74.81785063752277</v>
      </c>
      <c r="I204" s="570">
        <v>74.2</v>
      </c>
      <c r="J204" s="570">
        <v>75.02</v>
      </c>
      <c r="K204" s="882">
        <f t="shared" si="13"/>
        <v>0.8199999999999932</v>
      </c>
      <c r="N204"/>
    </row>
    <row r="205" spans="1:14" ht="12.75">
      <c r="A205" s="745" t="s">
        <v>105</v>
      </c>
      <c r="B205" s="568">
        <v>27</v>
      </c>
      <c r="C205" s="223">
        <v>30</v>
      </c>
      <c r="D205" s="364">
        <v>30</v>
      </c>
      <c r="E205" s="364">
        <v>30</v>
      </c>
      <c r="F205" s="364">
        <f t="shared" si="12"/>
        <v>0</v>
      </c>
      <c r="G205" s="324">
        <v>80.9</v>
      </c>
      <c r="H205" s="365">
        <f>0.792261494535788*100</f>
        <v>79.22614945357881</v>
      </c>
      <c r="I205" s="570">
        <v>74.9</v>
      </c>
      <c r="J205" s="570">
        <v>73.12</v>
      </c>
      <c r="K205" s="882">
        <f t="shared" si="13"/>
        <v>-1.7800000000000011</v>
      </c>
      <c r="N205"/>
    </row>
    <row r="206" spans="1:14" ht="12.75">
      <c r="A206" s="745" t="s">
        <v>106</v>
      </c>
      <c r="B206" s="568">
        <v>21</v>
      </c>
      <c r="C206" s="223">
        <v>21</v>
      </c>
      <c r="D206" s="364">
        <v>21</v>
      </c>
      <c r="E206" s="364">
        <v>21</v>
      </c>
      <c r="F206" s="364">
        <f t="shared" si="12"/>
        <v>0</v>
      </c>
      <c r="G206" s="324">
        <v>76.7</v>
      </c>
      <c r="H206" s="365">
        <f>0.727816809784023*100</f>
        <v>72.78168097840229</v>
      </c>
      <c r="I206" s="570">
        <v>68.8</v>
      </c>
      <c r="J206" s="570">
        <v>71.77</v>
      </c>
      <c r="K206" s="882">
        <f t="shared" si="13"/>
        <v>2.969999999999999</v>
      </c>
      <c r="N206"/>
    </row>
    <row r="207" spans="1:14" ht="12.75">
      <c r="A207" s="745" t="s">
        <v>107</v>
      </c>
      <c r="B207" s="568">
        <v>20</v>
      </c>
      <c r="C207" s="223">
        <v>11</v>
      </c>
      <c r="D207" s="364">
        <v>11</v>
      </c>
      <c r="E207" s="364">
        <v>11</v>
      </c>
      <c r="F207" s="364">
        <f t="shared" si="12"/>
        <v>0</v>
      </c>
      <c r="G207" s="324">
        <v>69.8</v>
      </c>
      <c r="H207" s="365">
        <f>0.689665793931927*100</f>
        <v>68.96657939319267</v>
      </c>
      <c r="I207" s="570">
        <v>106</v>
      </c>
      <c r="J207" s="570">
        <v>108.49</v>
      </c>
      <c r="K207" s="882">
        <f t="shared" si="13"/>
        <v>2.489999999999995</v>
      </c>
      <c r="N207"/>
    </row>
    <row r="208" spans="1:14" ht="12.75">
      <c r="A208" s="745" t="s">
        <v>108</v>
      </c>
      <c r="B208" s="568">
        <v>12</v>
      </c>
      <c r="C208" s="223">
        <v>11</v>
      </c>
      <c r="D208" s="364">
        <v>11</v>
      </c>
      <c r="E208" s="364">
        <v>11</v>
      </c>
      <c r="F208" s="364">
        <f t="shared" si="12"/>
        <v>0</v>
      </c>
      <c r="G208" s="324">
        <v>76.3</v>
      </c>
      <c r="H208" s="365">
        <f>0.70906976744186*100</f>
        <v>70.90697674418604</v>
      </c>
      <c r="I208" s="570">
        <v>74.5</v>
      </c>
      <c r="J208" s="570">
        <v>62.07</v>
      </c>
      <c r="K208" s="882">
        <f t="shared" si="13"/>
        <v>-12.43</v>
      </c>
      <c r="N208"/>
    </row>
    <row r="209" spans="1:14" ht="12.75">
      <c r="A209" s="745" t="s">
        <v>109</v>
      </c>
      <c r="B209" s="568">
        <v>20</v>
      </c>
      <c r="C209" s="223">
        <v>20</v>
      </c>
      <c r="D209" s="364">
        <v>20</v>
      </c>
      <c r="E209" s="364">
        <v>20</v>
      </c>
      <c r="F209" s="364">
        <f t="shared" si="12"/>
        <v>0</v>
      </c>
      <c r="G209" s="324">
        <v>70.9</v>
      </c>
      <c r="H209" s="365">
        <f>0.659836065573771*100</f>
        <v>65.98360655737704</v>
      </c>
      <c r="I209" s="570">
        <v>69.8</v>
      </c>
      <c r="J209" s="570">
        <v>72.38</v>
      </c>
      <c r="K209" s="882">
        <f t="shared" si="13"/>
        <v>2.5799999999999983</v>
      </c>
      <c r="N209"/>
    </row>
    <row r="210" spans="1:14" ht="12.75">
      <c r="A210" s="745" t="s">
        <v>110</v>
      </c>
      <c r="B210" s="568"/>
      <c r="C210" s="223"/>
      <c r="D210" s="364"/>
      <c r="E210" s="364"/>
      <c r="F210" s="364">
        <f t="shared" si="12"/>
        <v>0</v>
      </c>
      <c r="G210" s="324"/>
      <c r="H210" s="365"/>
      <c r="I210" s="570"/>
      <c r="J210" s="570"/>
      <c r="K210" s="882">
        <f t="shared" si="13"/>
        <v>0</v>
      </c>
      <c r="N210"/>
    </row>
    <row r="211" spans="1:14" ht="12.75">
      <c r="A211" s="745" t="s">
        <v>111</v>
      </c>
      <c r="B211" s="568"/>
      <c r="C211" s="223"/>
      <c r="D211" s="364"/>
      <c r="E211" s="364"/>
      <c r="F211" s="364">
        <f t="shared" si="12"/>
        <v>0</v>
      </c>
      <c r="G211" s="324"/>
      <c r="H211" s="365"/>
      <c r="I211" s="570"/>
      <c r="J211" s="570"/>
      <c r="K211" s="882">
        <f t="shared" si="13"/>
        <v>0</v>
      </c>
      <c r="N211"/>
    </row>
    <row r="212" spans="1:14" ht="12.75">
      <c r="A212" s="754" t="s">
        <v>282</v>
      </c>
      <c r="B212" s="571">
        <v>62</v>
      </c>
      <c r="C212" s="572">
        <v>62</v>
      </c>
      <c r="D212" s="572">
        <v>62</v>
      </c>
      <c r="E212" s="572">
        <v>61</v>
      </c>
      <c r="F212" s="572">
        <f t="shared" si="12"/>
        <v>-1</v>
      </c>
      <c r="G212" s="573">
        <v>78.4</v>
      </c>
      <c r="H212" s="574">
        <v>84.5</v>
      </c>
      <c r="I212" s="575">
        <v>86</v>
      </c>
      <c r="J212" s="575">
        <v>85.78</v>
      </c>
      <c r="K212" s="883">
        <f t="shared" si="13"/>
        <v>-0.21999999999999886</v>
      </c>
      <c r="N212"/>
    </row>
    <row r="213" spans="1:14" ht="13.5" thickBot="1">
      <c r="A213" s="755" t="s">
        <v>283</v>
      </c>
      <c r="B213" s="576">
        <v>100</v>
      </c>
      <c r="C213" s="577">
        <v>100</v>
      </c>
      <c r="D213" s="577">
        <v>100</v>
      </c>
      <c r="E213" s="577">
        <v>100</v>
      </c>
      <c r="F213" s="577">
        <f t="shared" si="12"/>
        <v>0</v>
      </c>
      <c r="G213" s="578">
        <v>92.4</v>
      </c>
      <c r="H213" s="579">
        <v>86.3</v>
      </c>
      <c r="I213" s="580">
        <v>84.5</v>
      </c>
      <c r="J213" s="580">
        <v>78.12</v>
      </c>
      <c r="K213" s="884">
        <f t="shared" si="13"/>
        <v>-6.3799999999999955</v>
      </c>
      <c r="N213"/>
    </row>
    <row r="214" spans="1:14" ht="13.5" thickBot="1">
      <c r="A214" s="744" t="s">
        <v>4</v>
      </c>
      <c r="B214" s="553">
        <f>SUM(B196:B213)</f>
        <v>647</v>
      </c>
      <c r="C214" s="41">
        <f>SUM(C196:C213)</f>
        <v>640</v>
      </c>
      <c r="D214" s="41">
        <f>SUM(D196:D213)</f>
        <v>640</v>
      </c>
      <c r="E214" s="41">
        <f>SUM(E196:E213)</f>
        <v>630</v>
      </c>
      <c r="F214" s="41">
        <f t="shared" si="12"/>
        <v>-10</v>
      </c>
      <c r="G214" s="452">
        <v>74.1</v>
      </c>
      <c r="H214" s="581">
        <f>123851/176866*100</f>
        <v>70.02532991077992</v>
      </c>
      <c r="I214" s="583">
        <v>73.8</v>
      </c>
      <c r="J214" s="583">
        <v>71.67</v>
      </c>
      <c r="K214" s="885">
        <f t="shared" si="13"/>
        <v>-2.1299999999999955</v>
      </c>
      <c r="N214"/>
    </row>
    <row r="215" ht="6.75" customHeight="1" thickBot="1"/>
    <row r="216" spans="1:14" ht="12.75" customHeight="1">
      <c r="A216" s="1270" t="s">
        <v>114</v>
      </c>
      <c r="B216" s="1271"/>
      <c r="C216" s="1386" t="s">
        <v>115</v>
      </c>
      <c r="D216" s="1384"/>
      <c r="E216" s="1385"/>
      <c r="F216" s="1384" t="s">
        <v>159</v>
      </c>
      <c r="G216" s="1384"/>
      <c r="H216" s="1385"/>
      <c r="I216" s="1384" t="s">
        <v>300</v>
      </c>
      <c r="J216" s="1384"/>
      <c r="K216" s="1385"/>
      <c r="L216"/>
      <c r="M216"/>
      <c r="N216"/>
    </row>
    <row r="217" spans="1:14" ht="27.75" thickBot="1">
      <c r="A217" s="1272"/>
      <c r="B217" s="1273"/>
      <c r="C217" s="42" t="s">
        <v>116</v>
      </c>
      <c r="D217" s="43" t="s">
        <v>117</v>
      </c>
      <c r="E217" s="29" t="s">
        <v>118</v>
      </c>
      <c r="F217" s="43" t="s">
        <v>116</v>
      </c>
      <c r="G217" s="43" t="s">
        <v>117</v>
      </c>
      <c r="H217" s="29" t="s">
        <v>118</v>
      </c>
      <c r="I217" s="43" t="s">
        <v>116</v>
      </c>
      <c r="J217" s="43" t="s">
        <v>117</v>
      </c>
      <c r="K217" s="29" t="s">
        <v>118</v>
      </c>
      <c r="L217"/>
      <c r="M217"/>
      <c r="N217"/>
    </row>
    <row r="218" spans="1:14" ht="19.5" customHeight="1">
      <c r="A218" s="1256" t="s">
        <v>119</v>
      </c>
      <c r="B218" s="1257"/>
      <c r="C218" s="719">
        <v>124.07</v>
      </c>
      <c r="D218" s="328">
        <v>54139056</v>
      </c>
      <c r="E218" s="256">
        <f aca="true" t="shared" si="14" ref="E218:E228">+IF(C218&gt;0,D218/C218/12,"")</f>
        <v>36363.24655436447</v>
      </c>
      <c r="F218" s="371">
        <v>124.87</v>
      </c>
      <c r="G218" s="328">
        <v>58005724</v>
      </c>
      <c r="H218" s="256">
        <f aca="true" t="shared" si="15" ref="H218:H228">+IF(F218&gt;0,G218/F218/12,"")</f>
        <v>38710.74183817837</v>
      </c>
      <c r="I218" s="371">
        <v>124.84</v>
      </c>
      <c r="J218" s="328">
        <v>61130093</v>
      </c>
      <c r="K218" s="256">
        <f aca="true" t="shared" si="16" ref="K218:K228">+IF(I218&gt;0,J218/I218/12,"")</f>
        <v>40805.626535298514</v>
      </c>
      <c r="L218"/>
      <c r="M218"/>
      <c r="N218"/>
    </row>
    <row r="219" spans="1:14" ht="19.5" customHeight="1">
      <c r="A219" s="1256" t="s">
        <v>120</v>
      </c>
      <c r="B219" s="1257"/>
      <c r="C219" s="720">
        <v>4</v>
      </c>
      <c r="D219" s="327">
        <v>1298831</v>
      </c>
      <c r="E219" s="254">
        <f t="shared" si="14"/>
        <v>27058.979166666668</v>
      </c>
      <c r="F219" s="372">
        <v>4</v>
      </c>
      <c r="G219" s="327">
        <v>1387466</v>
      </c>
      <c r="H219" s="254">
        <f t="shared" si="15"/>
        <v>28905.541666666668</v>
      </c>
      <c r="I219" s="372">
        <v>4.87</v>
      </c>
      <c r="J219" s="327">
        <v>1750064</v>
      </c>
      <c r="K219" s="254">
        <f t="shared" si="16"/>
        <v>29946.338124572212</v>
      </c>
      <c r="L219"/>
      <c r="M219"/>
      <c r="N219"/>
    </row>
    <row r="220" spans="1:14" ht="19.5" customHeight="1">
      <c r="A220" s="1256" t="s">
        <v>121</v>
      </c>
      <c r="B220" s="1257"/>
      <c r="C220" s="720">
        <v>403.1</v>
      </c>
      <c r="D220" s="327">
        <v>80148124</v>
      </c>
      <c r="E220" s="254">
        <f t="shared" si="14"/>
        <v>16569.115190606135</v>
      </c>
      <c r="F220" s="372">
        <v>401.52</v>
      </c>
      <c r="G220" s="327">
        <v>84936668</v>
      </c>
      <c r="H220" s="254">
        <f t="shared" si="15"/>
        <v>17628.152188350934</v>
      </c>
      <c r="I220" s="372">
        <v>397.55</v>
      </c>
      <c r="J220" s="327">
        <v>93180267</v>
      </c>
      <c r="K220" s="254">
        <f t="shared" si="16"/>
        <v>19532.190290529492</v>
      </c>
      <c r="L220"/>
      <c r="M220"/>
      <c r="N220"/>
    </row>
    <row r="221" spans="1:14" ht="19.5" customHeight="1">
      <c r="A221" s="1256" t="s">
        <v>122</v>
      </c>
      <c r="B221" s="1257"/>
      <c r="C221" s="720">
        <v>68.57</v>
      </c>
      <c r="D221" s="327">
        <v>14472306</v>
      </c>
      <c r="E221" s="254">
        <f t="shared" si="14"/>
        <v>17588.23829663118</v>
      </c>
      <c r="F221" s="372">
        <v>65.28</v>
      </c>
      <c r="G221" s="327">
        <v>14997426</v>
      </c>
      <c r="H221" s="254">
        <f t="shared" si="15"/>
        <v>19144.998468137255</v>
      </c>
      <c r="I221" s="372">
        <v>63.66</v>
      </c>
      <c r="J221" s="327">
        <v>16249869</v>
      </c>
      <c r="K221" s="254">
        <f t="shared" si="16"/>
        <v>21271.68944392083</v>
      </c>
      <c r="L221"/>
      <c r="M221"/>
      <c r="N221"/>
    </row>
    <row r="222" spans="1:14" ht="19.5" customHeight="1">
      <c r="A222" s="1256" t="s">
        <v>123</v>
      </c>
      <c r="B222" s="1257"/>
      <c r="C222" s="720">
        <v>14.47</v>
      </c>
      <c r="D222" s="327">
        <v>2499355</v>
      </c>
      <c r="E222" s="254">
        <f t="shared" si="14"/>
        <v>14393.889656761115</v>
      </c>
      <c r="F222" s="372">
        <v>19.05</v>
      </c>
      <c r="G222" s="327">
        <v>4077718</v>
      </c>
      <c r="H222" s="254">
        <f t="shared" si="15"/>
        <v>17837.786526684165</v>
      </c>
      <c r="I222" s="372">
        <v>19.62</v>
      </c>
      <c r="J222" s="327">
        <v>4960387</v>
      </c>
      <c r="K222" s="254">
        <f t="shared" si="16"/>
        <v>21068.582229018008</v>
      </c>
      <c r="L222"/>
      <c r="M222"/>
      <c r="N222"/>
    </row>
    <row r="223" spans="1:14" ht="19.5" customHeight="1">
      <c r="A223" s="1256" t="s">
        <v>124</v>
      </c>
      <c r="B223" s="1257"/>
      <c r="C223" s="720">
        <v>86.54</v>
      </c>
      <c r="D223" s="327">
        <v>11215137</v>
      </c>
      <c r="E223" s="254">
        <f t="shared" si="14"/>
        <v>10799.569563207764</v>
      </c>
      <c r="F223" s="372">
        <v>95.73</v>
      </c>
      <c r="G223" s="327">
        <v>13514637</v>
      </c>
      <c r="H223" s="254">
        <f t="shared" si="15"/>
        <v>11764.543507782304</v>
      </c>
      <c r="I223" s="372">
        <v>94.05</v>
      </c>
      <c r="J223" s="327">
        <v>14213737</v>
      </c>
      <c r="K223" s="254">
        <f t="shared" si="16"/>
        <v>12594.13166755272</v>
      </c>
      <c r="L223"/>
      <c r="M223"/>
      <c r="N223"/>
    </row>
    <row r="224" spans="1:14" ht="19.5" customHeight="1">
      <c r="A224" s="1256" t="s">
        <v>125</v>
      </c>
      <c r="B224" s="1257"/>
      <c r="C224" s="720">
        <v>7.11</v>
      </c>
      <c r="D224" s="327">
        <v>1915073</v>
      </c>
      <c r="E224" s="254">
        <f t="shared" si="14"/>
        <v>22445.76887013596</v>
      </c>
      <c r="F224" s="372">
        <v>2.39</v>
      </c>
      <c r="G224" s="327">
        <v>614782</v>
      </c>
      <c r="H224" s="254">
        <f t="shared" si="15"/>
        <v>21435.91352859135</v>
      </c>
      <c r="I224" s="372"/>
      <c r="J224" s="327">
        <v>0</v>
      </c>
      <c r="K224" s="254">
        <f t="shared" si="16"/>
      </c>
      <c r="L224"/>
      <c r="M224"/>
      <c r="N224"/>
    </row>
    <row r="225" spans="1:14" ht="19.5" customHeight="1">
      <c r="A225" s="1256" t="s">
        <v>126</v>
      </c>
      <c r="B225" s="1257"/>
      <c r="C225" s="720"/>
      <c r="D225" s="327"/>
      <c r="E225" s="254">
        <f t="shared" si="14"/>
      </c>
      <c r="F225" s="372"/>
      <c r="G225" s="327"/>
      <c r="H225" s="254">
        <f t="shared" si="15"/>
      </c>
      <c r="I225" s="372"/>
      <c r="J225" s="327">
        <v>0</v>
      </c>
      <c r="K225" s="254">
        <f t="shared" si="16"/>
      </c>
      <c r="L225"/>
      <c r="M225"/>
      <c r="N225"/>
    </row>
    <row r="226" spans="1:14" ht="15" customHeight="1">
      <c r="A226" s="1256" t="s">
        <v>127</v>
      </c>
      <c r="B226" s="1257"/>
      <c r="C226" s="257">
        <v>60.42</v>
      </c>
      <c r="D226" s="253">
        <v>10358807</v>
      </c>
      <c r="E226" s="254">
        <f t="shared" si="14"/>
        <v>14287.221394681672</v>
      </c>
      <c r="F226" s="373">
        <v>61.15</v>
      </c>
      <c r="G226" s="253">
        <v>11552525</v>
      </c>
      <c r="H226" s="254">
        <f t="shared" si="15"/>
        <v>15743.424638866176</v>
      </c>
      <c r="I226" s="373">
        <v>61.04</v>
      </c>
      <c r="J226" s="253">
        <v>11673137</v>
      </c>
      <c r="K226" s="254">
        <f t="shared" si="16"/>
        <v>15936.458333333334</v>
      </c>
      <c r="L226"/>
      <c r="M226"/>
      <c r="N226"/>
    </row>
    <row r="227" spans="1:14" ht="19.5" customHeight="1" thickBot="1">
      <c r="A227" s="1371" t="s">
        <v>128</v>
      </c>
      <c r="B227" s="1372"/>
      <c r="C227" s="719">
        <v>160.03</v>
      </c>
      <c r="D227" s="328">
        <v>17706729</v>
      </c>
      <c r="E227" s="256">
        <f t="shared" si="14"/>
        <v>9220.525838905205</v>
      </c>
      <c r="F227" s="371">
        <v>156.14</v>
      </c>
      <c r="G227" s="328">
        <v>18621006</v>
      </c>
      <c r="H227" s="254">
        <f t="shared" si="15"/>
        <v>9938.19969258358</v>
      </c>
      <c r="I227" s="371">
        <v>156.18</v>
      </c>
      <c r="J227" s="328">
        <v>18422794</v>
      </c>
      <c r="K227" s="254">
        <f t="shared" si="16"/>
        <v>9829.893925812097</v>
      </c>
      <c r="L227"/>
      <c r="M227"/>
      <c r="N227"/>
    </row>
    <row r="228" spans="1:14" ht="19.5" customHeight="1" thickBot="1">
      <c r="A228" s="1288" t="s">
        <v>4</v>
      </c>
      <c r="B228" s="1383"/>
      <c r="C228" s="119">
        <f>SUM(C218:C227)</f>
        <v>928.31</v>
      </c>
      <c r="D228" s="115">
        <f>SUM(D218:D227)</f>
        <v>193753418</v>
      </c>
      <c r="E228" s="116">
        <f t="shared" si="14"/>
        <v>17393.024061646076</v>
      </c>
      <c r="F228" s="374">
        <f>SUM(F218:F227)</f>
        <v>930.1299999999999</v>
      </c>
      <c r="G228" s="115">
        <f>SUM(G218:G227)</f>
        <v>207707952</v>
      </c>
      <c r="H228" s="116">
        <f t="shared" si="15"/>
        <v>18609.22236676594</v>
      </c>
      <c r="I228" s="374">
        <f>SUM(I218:I227)</f>
        <v>921.81</v>
      </c>
      <c r="J228" s="115">
        <v>221580348</v>
      </c>
      <c r="K228" s="116">
        <f t="shared" si="16"/>
        <v>20031.274340699278</v>
      </c>
      <c r="L228"/>
      <c r="M228"/>
      <c r="N228"/>
    </row>
  </sheetData>
  <mergeCells count="428">
    <mergeCell ref="B83:C83"/>
    <mergeCell ref="D83:E83"/>
    <mergeCell ref="F83:G83"/>
    <mergeCell ref="H83:I83"/>
    <mergeCell ref="F165:H165"/>
    <mergeCell ref="F173:H173"/>
    <mergeCell ref="F176:H176"/>
    <mergeCell ref="F178:H178"/>
    <mergeCell ref="F167:H167"/>
    <mergeCell ref="F168:H168"/>
    <mergeCell ref="F175:H175"/>
    <mergeCell ref="F177:H177"/>
    <mergeCell ref="C130:E130"/>
    <mergeCell ref="C131:E131"/>
    <mergeCell ref="C132:E132"/>
    <mergeCell ref="C133:E133"/>
    <mergeCell ref="L75:M75"/>
    <mergeCell ref="J76:K76"/>
    <mergeCell ref="L76:M76"/>
    <mergeCell ref="J77:K77"/>
    <mergeCell ref="L77:M77"/>
    <mergeCell ref="D73:E73"/>
    <mergeCell ref="F73:G73"/>
    <mergeCell ref="H73:I73"/>
    <mergeCell ref="J75:K75"/>
    <mergeCell ref="B78:C78"/>
    <mergeCell ref="D78:E78"/>
    <mergeCell ref="F78:G78"/>
    <mergeCell ref="H78:I78"/>
    <mergeCell ref="B74:C74"/>
    <mergeCell ref="D74:E74"/>
    <mergeCell ref="F74:G74"/>
    <mergeCell ref="H74:I74"/>
    <mergeCell ref="B82:C82"/>
    <mergeCell ref="H120:I120"/>
    <mergeCell ref="J120:K120"/>
    <mergeCell ref="B72:C72"/>
    <mergeCell ref="D72:E72"/>
    <mergeCell ref="F72:G72"/>
    <mergeCell ref="H72:I72"/>
    <mergeCell ref="J72:K72"/>
    <mergeCell ref="B73:C73"/>
    <mergeCell ref="J73:K73"/>
    <mergeCell ref="B84:C84"/>
    <mergeCell ref="D84:E84"/>
    <mergeCell ref="F84:G84"/>
    <mergeCell ref="H84:I84"/>
    <mergeCell ref="A65:B65"/>
    <mergeCell ref="A66:B66"/>
    <mergeCell ref="B59:C59"/>
    <mergeCell ref="D59:E59"/>
    <mergeCell ref="B58:C58"/>
    <mergeCell ref="D58:E58"/>
    <mergeCell ref="A42:K42"/>
    <mergeCell ref="A64:B64"/>
    <mergeCell ref="F59:G59"/>
    <mergeCell ref="B43:F43"/>
    <mergeCell ref="G43:K43"/>
    <mergeCell ref="B57:C57"/>
    <mergeCell ref="D56:E56"/>
    <mergeCell ref="F56:G56"/>
    <mergeCell ref="D57:E57"/>
    <mergeCell ref="F57:G57"/>
    <mergeCell ref="H147:H148"/>
    <mergeCell ref="C147:F147"/>
    <mergeCell ref="G147:G148"/>
    <mergeCell ref="C142:C143"/>
    <mergeCell ref="C138:E138"/>
    <mergeCell ref="C134:E134"/>
    <mergeCell ref="C135:E135"/>
    <mergeCell ref="C136:E136"/>
    <mergeCell ref="C126:E126"/>
    <mergeCell ref="C127:E127"/>
    <mergeCell ref="C128:E128"/>
    <mergeCell ref="C129:E129"/>
    <mergeCell ref="D70:E70"/>
    <mergeCell ref="F70:I70"/>
    <mergeCell ref="I147:L147"/>
    <mergeCell ref="A147:A148"/>
    <mergeCell ref="B147:B148"/>
    <mergeCell ref="J70:K70"/>
    <mergeCell ref="B71:C71"/>
    <mergeCell ref="D71:E71"/>
    <mergeCell ref="F71:G71"/>
    <mergeCell ref="H71:I71"/>
    <mergeCell ref="A141:A143"/>
    <mergeCell ref="B141:B143"/>
    <mergeCell ref="A43:A44"/>
    <mergeCell ref="A55:A56"/>
    <mergeCell ref="B118:C118"/>
    <mergeCell ref="C141:H141"/>
    <mergeCell ref="D142:H142"/>
    <mergeCell ref="H95:I95"/>
    <mergeCell ref="A70:A71"/>
    <mergeCell ref="B70:C70"/>
    <mergeCell ref="A3:A6"/>
    <mergeCell ref="B3:M3"/>
    <mergeCell ref="B4:B6"/>
    <mergeCell ref="C4:C6"/>
    <mergeCell ref="D4:F4"/>
    <mergeCell ref="I4:K4"/>
    <mergeCell ref="L4:M4"/>
    <mergeCell ref="G4:H4"/>
    <mergeCell ref="J80:K80"/>
    <mergeCell ref="L70:M70"/>
    <mergeCell ref="J71:K71"/>
    <mergeCell ref="J84:K84"/>
    <mergeCell ref="L72:M72"/>
    <mergeCell ref="L73:M73"/>
    <mergeCell ref="J74:K74"/>
    <mergeCell ref="L74:M74"/>
    <mergeCell ref="J78:K78"/>
    <mergeCell ref="L78:M78"/>
    <mergeCell ref="F120:G120"/>
    <mergeCell ref="F121:G121"/>
    <mergeCell ref="F89:G89"/>
    <mergeCell ref="D86:E86"/>
    <mergeCell ref="F119:G119"/>
    <mergeCell ref="F95:G95"/>
    <mergeCell ref="F102:G102"/>
    <mergeCell ref="F106:G106"/>
    <mergeCell ref="F110:G110"/>
    <mergeCell ref="F115:G115"/>
    <mergeCell ref="F82:G82"/>
    <mergeCell ref="D95:E95"/>
    <mergeCell ref="D118:E118"/>
    <mergeCell ref="F118:G118"/>
    <mergeCell ref="F86:G86"/>
    <mergeCell ref="F96:G96"/>
    <mergeCell ref="D97:E97"/>
    <mergeCell ref="F97:G97"/>
    <mergeCell ref="F93:G93"/>
    <mergeCell ref="F99:G99"/>
    <mergeCell ref="I141:I143"/>
    <mergeCell ref="J81:K81"/>
    <mergeCell ref="J95:K95"/>
    <mergeCell ref="L95:M95"/>
    <mergeCell ref="L118:M118"/>
    <mergeCell ref="H119:I119"/>
    <mergeCell ref="J119:K119"/>
    <mergeCell ref="L82:M82"/>
    <mergeCell ref="L84:M84"/>
    <mergeCell ref="H82:I82"/>
    <mergeCell ref="L83:M83"/>
    <mergeCell ref="L120:M120"/>
    <mergeCell ref="H121:I121"/>
    <mergeCell ref="J121:K121"/>
    <mergeCell ref="L121:M121"/>
    <mergeCell ref="H118:I118"/>
    <mergeCell ref="J118:K118"/>
    <mergeCell ref="J90:K90"/>
    <mergeCell ref="H89:I89"/>
    <mergeCell ref="J89:K89"/>
    <mergeCell ref="J83:K83"/>
    <mergeCell ref="L119:M119"/>
    <mergeCell ref="A80:A81"/>
    <mergeCell ref="B80:C80"/>
    <mergeCell ref="D80:E80"/>
    <mergeCell ref="F80:I80"/>
    <mergeCell ref="B81:C81"/>
    <mergeCell ref="D81:E81"/>
    <mergeCell ref="F81:G81"/>
    <mergeCell ref="H81:I81"/>
    <mergeCell ref="J82:K82"/>
    <mergeCell ref="B121:C121"/>
    <mergeCell ref="D121:E121"/>
    <mergeCell ref="B90:C90"/>
    <mergeCell ref="B89:C89"/>
    <mergeCell ref="D89:E89"/>
    <mergeCell ref="B95:C95"/>
    <mergeCell ref="B119:C119"/>
    <mergeCell ref="B120:C120"/>
    <mergeCell ref="D120:E120"/>
    <mergeCell ref="B97:C97"/>
    <mergeCell ref="L124:M124"/>
    <mergeCell ref="J122:K122"/>
    <mergeCell ref="L122:M122"/>
    <mergeCell ref="B124:C124"/>
    <mergeCell ref="D124:E124"/>
    <mergeCell ref="F124:G124"/>
    <mergeCell ref="H124:I124"/>
    <mergeCell ref="B122:C122"/>
    <mergeCell ref="D122:E122"/>
    <mergeCell ref="F160:H160"/>
    <mergeCell ref="F171:H171"/>
    <mergeCell ref="F172:H172"/>
    <mergeCell ref="F174:H174"/>
    <mergeCell ref="F162:H162"/>
    <mergeCell ref="F163:H163"/>
    <mergeCell ref="F164:H164"/>
    <mergeCell ref="F166:H166"/>
    <mergeCell ref="F169:H169"/>
    <mergeCell ref="F170:H170"/>
    <mergeCell ref="F156:H156"/>
    <mergeCell ref="F157:H157"/>
    <mergeCell ref="F158:H158"/>
    <mergeCell ref="F159:H159"/>
    <mergeCell ref="A194:A195"/>
    <mergeCell ref="I216:K216"/>
    <mergeCell ref="A187:A188"/>
    <mergeCell ref="B187:B188"/>
    <mergeCell ref="C187:H187"/>
    <mergeCell ref="C216:E216"/>
    <mergeCell ref="F216:H216"/>
    <mergeCell ref="B194:F194"/>
    <mergeCell ref="G194:K194"/>
    <mergeCell ref="F179:H179"/>
    <mergeCell ref="F180:H180"/>
    <mergeCell ref="F182:H182"/>
    <mergeCell ref="F184:H184"/>
    <mergeCell ref="F181:H181"/>
    <mergeCell ref="F183:H183"/>
    <mergeCell ref="A218:B218"/>
    <mergeCell ref="A219:B219"/>
    <mergeCell ref="A216:B217"/>
    <mergeCell ref="A220:B220"/>
    <mergeCell ref="A221:B221"/>
    <mergeCell ref="A222:B222"/>
    <mergeCell ref="A223:B223"/>
    <mergeCell ref="A228:B228"/>
    <mergeCell ref="A224:B224"/>
    <mergeCell ref="A225:B225"/>
    <mergeCell ref="A226:B226"/>
    <mergeCell ref="A227:B227"/>
    <mergeCell ref="I36:K36"/>
    <mergeCell ref="K5:K6"/>
    <mergeCell ref="B60:C60"/>
    <mergeCell ref="D60:E60"/>
    <mergeCell ref="F60:G60"/>
    <mergeCell ref="B55:G55"/>
    <mergeCell ref="F5:F6"/>
    <mergeCell ref="F58:G58"/>
    <mergeCell ref="H55:K55"/>
    <mergeCell ref="B56:C56"/>
    <mergeCell ref="L71:M71"/>
    <mergeCell ref="L80:M80"/>
    <mergeCell ref="L81:M81"/>
    <mergeCell ref="C137:E137"/>
    <mergeCell ref="D90:E90"/>
    <mergeCell ref="D119:E119"/>
    <mergeCell ref="D82:E82"/>
    <mergeCell ref="F122:G122"/>
    <mergeCell ref="H122:I122"/>
    <mergeCell ref="J124:K124"/>
    <mergeCell ref="B75:C75"/>
    <mergeCell ref="D75:E75"/>
    <mergeCell ref="F75:G75"/>
    <mergeCell ref="H75:I75"/>
    <mergeCell ref="B76:C76"/>
    <mergeCell ref="D76:E76"/>
    <mergeCell ref="F76:G76"/>
    <mergeCell ref="H76:I76"/>
    <mergeCell ref="J85:K85"/>
    <mergeCell ref="L85:M85"/>
    <mergeCell ref="B77:C77"/>
    <mergeCell ref="D77:E77"/>
    <mergeCell ref="F77:G77"/>
    <mergeCell ref="B85:C85"/>
    <mergeCell ref="D85:E85"/>
    <mergeCell ref="F85:G85"/>
    <mergeCell ref="H85:I85"/>
    <mergeCell ref="H77:I77"/>
    <mergeCell ref="H86:I86"/>
    <mergeCell ref="J86:K86"/>
    <mergeCell ref="L86:M86"/>
    <mergeCell ref="B87:C87"/>
    <mergeCell ref="D87:E87"/>
    <mergeCell ref="F87:G87"/>
    <mergeCell ref="H87:I87"/>
    <mergeCell ref="B86:C86"/>
    <mergeCell ref="J87:K87"/>
    <mergeCell ref="L87:M87"/>
    <mergeCell ref="J91:K91"/>
    <mergeCell ref="L91:M91"/>
    <mergeCell ref="B88:C88"/>
    <mergeCell ref="D88:E88"/>
    <mergeCell ref="F88:G88"/>
    <mergeCell ref="H88:I88"/>
    <mergeCell ref="L89:M89"/>
    <mergeCell ref="L90:M90"/>
    <mergeCell ref="F90:G90"/>
    <mergeCell ref="H90:I90"/>
    <mergeCell ref="J88:K88"/>
    <mergeCell ref="L88:M88"/>
    <mergeCell ref="H97:I97"/>
    <mergeCell ref="J97:K97"/>
    <mergeCell ref="L97:M97"/>
    <mergeCell ref="L96:M96"/>
    <mergeCell ref="J92:K92"/>
    <mergeCell ref="L92:M92"/>
    <mergeCell ref="J93:K93"/>
    <mergeCell ref="L93:M93"/>
    <mergeCell ref="B96:C96"/>
    <mergeCell ref="D96:E96"/>
    <mergeCell ref="H96:I96"/>
    <mergeCell ref="J96:K96"/>
    <mergeCell ref="B98:C98"/>
    <mergeCell ref="D98:E98"/>
    <mergeCell ref="F98:G98"/>
    <mergeCell ref="H98:I98"/>
    <mergeCell ref="J98:K98"/>
    <mergeCell ref="L98:M98"/>
    <mergeCell ref="B113:C113"/>
    <mergeCell ref="D113:E113"/>
    <mergeCell ref="F113:G113"/>
    <mergeCell ref="H113:I113"/>
    <mergeCell ref="J113:K113"/>
    <mergeCell ref="L113:M113"/>
    <mergeCell ref="B99:C99"/>
    <mergeCell ref="D99:E99"/>
    <mergeCell ref="B91:C91"/>
    <mergeCell ref="D91:E91"/>
    <mergeCell ref="F91:G91"/>
    <mergeCell ref="H91:I91"/>
    <mergeCell ref="B92:C92"/>
    <mergeCell ref="D92:E92"/>
    <mergeCell ref="F92:G92"/>
    <mergeCell ref="H92:I92"/>
    <mergeCell ref="J94:K94"/>
    <mergeCell ref="L94:M94"/>
    <mergeCell ref="B93:C93"/>
    <mergeCell ref="D93:E93"/>
    <mergeCell ref="B94:C94"/>
    <mergeCell ref="D94:E94"/>
    <mergeCell ref="F94:G94"/>
    <mergeCell ref="H94:I94"/>
    <mergeCell ref="H93:I93"/>
    <mergeCell ref="H99:I99"/>
    <mergeCell ref="J99:K99"/>
    <mergeCell ref="L99:M99"/>
    <mergeCell ref="B100:C100"/>
    <mergeCell ref="D100:E100"/>
    <mergeCell ref="F100:G100"/>
    <mergeCell ref="H100:I100"/>
    <mergeCell ref="J100:K100"/>
    <mergeCell ref="L100:M100"/>
    <mergeCell ref="L102:M102"/>
    <mergeCell ref="B101:C101"/>
    <mergeCell ref="D101:E101"/>
    <mergeCell ref="F101:G101"/>
    <mergeCell ref="H101:I101"/>
    <mergeCell ref="J101:K101"/>
    <mergeCell ref="L101:M101"/>
    <mergeCell ref="J103:K103"/>
    <mergeCell ref="L103:M103"/>
    <mergeCell ref="B102:C102"/>
    <mergeCell ref="D102:E102"/>
    <mergeCell ref="B103:C103"/>
    <mergeCell ref="D103:E103"/>
    <mergeCell ref="F103:G103"/>
    <mergeCell ref="H103:I103"/>
    <mergeCell ref="H102:I102"/>
    <mergeCell ref="J102:K102"/>
    <mergeCell ref="B104:C104"/>
    <mergeCell ref="D104:E104"/>
    <mergeCell ref="F104:G104"/>
    <mergeCell ref="H104:I104"/>
    <mergeCell ref="L106:M106"/>
    <mergeCell ref="B105:C105"/>
    <mergeCell ref="D105:E105"/>
    <mergeCell ref="F105:G105"/>
    <mergeCell ref="H105:I105"/>
    <mergeCell ref="J104:K104"/>
    <mergeCell ref="L104:M104"/>
    <mergeCell ref="J105:K105"/>
    <mergeCell ref="L105:M105"/>
    <mergeCell ref="J107:K107"/>
    <mergeCell ref="L107:M107"/>
    <mergeCell ref="B106:C106"/>
    <mergeCell ref="D106:E106"/>
    <mergeCell ref="B107:C107"/>
    <mergeCell ref="D107:E107"/>
    <mergeCell ref="F107:G107"/>
    <mergeCell ref="H107:I107"/>
    <mergeCell ref="H106:I106"/>
    <mergeCell ref="J106:K106"/>
    <mergeCell ref="B108:C108"/>
    <mergeCell ref="D108:E108"/>
    <mergeCell ref="F108:G108"/>
    <mergeCell ref="H108:I108"/>
    <mergeCell ref="L110:M110"/>
    <mergeCell ref="B109:C109"/>
    <mergeCell ref="D109:E109"/>
    <mergeCell ref="F109:G109"/>
    <mergeCell ref="H109:I109"/>
    <mergeCell ref="J108:K108"/>
    <mergeCell ref="L108:M108"/>
    <mergeCell ref="J109:K109"/>
    <mergeCell ref="L109:M109"/>
    <mergeCell ref="J111:K111"/>
    <mergeCell ref="L111:M111"/>
    <mergeCell ref="B110:C110"/>
    <mergeCell ref="D110:E110"/>
    <mergeCell ref="B111:C111"/>
    <mergeCell ref="D111:E111"/>
    <mergeCell ref="F111:G111"/>
    <mergeCell ref="H111:I111"/>
    <mergeCell ref="H110:I110"/>
    <mergeCell ref="J110:K110"/>
    <mergeCell ref="B112:C112"/>
    <mergeCell ref="D112:E112"/>
    <mergeCell ref="F112:G112"/>
    <mergeCell ref="H112:I112"/>
    <mergeCell ref="L115:M115"/>
    <mergeCell ref="B114:C114"/>
    <mergeCell ref="D114:E114"/>
    <mergeCell ref="F114:G114"/>
    <mergeCell ref="H114:I114"/>
    <mergeCell ref="J112:K112"/>
    <mergeCell ref="L112:M112"/>
    <mergeCell ref="J114:K114"/>
    <mergeCell ref="L114:M114"/>
    <mergeCell ref="J116:K116"/>
    <mergeCell ref="L116:M116"/>
    <mergeCell ref="B115:C115"/>
    <mergeCell ref="D115:E115"/>
    <mergeCell ref="B116:C116"/>
    <mergeCell ref="D116:E116"/>
    <mergeCell ref="F116:G116"/>
    <mergeCell ref="H116:I116"/>
    <mergeCell ref="H115:I115"/>
    <mergeCell ref="J115:K115"/>
    <mergeCell ref="J117:K117"/>
    <mergeCell ref="L117:M117"/>
    <mergeCell ref="B117:C117"/>
    <mergeCell ref="D117:E117"/>
    <mergeCell ref="F117:G117"/>
    <mergeCell ref="H117:I117"/>
  </mergeCells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2007-04-11T20:19:56Z</cp:lastPrinted>
  <dcterms:created xsi:type="dcterms:W3CDTF">2005-04-12T20:05:51Z</dcterms:created>
  <dcterms:modified xsi:type="dcterms:W3CDTF">2007-04-12T09:40:38Z</dcterms:modified>
  <cp:category/>
  <cp:version/>
  <cp:contentType/>
  <cp:contentStatus/>
</cp:coreProperties>
</file>