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25" windowWidth="11115" windowHeight="6540" activeTab="0"/>
  </bookViews>
  <sheets>
    <sheet name="V+N 2006" sheetId="1" r:id="rId1"/>
    <sheet name="pohl.+záv. 2006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Fašina Aleš DiS.</author>
  </authors>
  <commentList>
    <comment ref="A14" authorId="0">
      <text>
        <r>
          <rPr>
            <sz val="8"/>
            <rFont val="Tahoma"/>
            <family val="2"/>
          </rPr>
          <t>účty 71 až 77</t>
        </r>
      </text>
    </comment>
    <comment ref="E9" authorId="0">
      <text>
        <r>
          <rPr>
            <b/>
            <sz val="8"/>
            <rFont val="Tahoma"/>
            <family val="0"/>
          </rPr>
          <t>Fašina Aleš DiS.:</t>
        </r>
        <r>
          <rPr>
            <sz val="8"/>
            <rFont val="Tahoma"/>
            <family val="0"/>
          </rPr>
          <t xml:space="preserve">
Jde o variantu fin. plánu č. 11</t>
        </r>
      </text>
    </comment>
    <comment ref="P9" authorId="0">
      <text>
        <r>
          <rPr>
            <b/>
            <sz val="8"/>
            <rFont val="Tahoma"/>
            <family val="0"/>
          </rPr>
          <t>Fašina Aleš DiS.:</t>
        </r>
        <r>
          <rPr>
            <sz val="8"/>
            <rFont val="Tahoma"/>
            <family val="0"/>
          </rPr>
          <t xml:space="preserve">
Jde o variantu fin. plánu č. 11</t>
        </r>
      </text>
    </comment>
    <comment ref="E53" authorId="0">
      <text>
        <r>
          <rPr>
            <b/>
            <sz val="8"/>
            <rFont val="Tahoma"/>
            <family val="0"/>
          </rPr>
          <t>Fašina Aleš DiS.:</t>
        </r>
        <r>
          <rPr>
            <sz val="8"/>
            <rFont val="Tahoma"/>
            <family val="0"/>
          </rPr>
          <t xml:space="preserve">
Jde o variantu fin. plánu č. 11</t>
        </r>
      </text>
    </comment>
    <comment ref="P53" authorId="0">
      <text>
        <r>
          <rPr>
            <b/>
            <sz val="8"/>
            <rFont val="Tahoma"/>
            <family val="0"/>
          </rPr>
          <t>Fašina Aleš DiS.:</t>
        </r>
        <r>
          <rPr>
            <sz val="8"/>
            <rFont val="Tahoma"/>
            <family val="0"/>
          </rPr>
          <t xml:space="preserve">
Jde o variantu fin. plánu č. 11</t>
        </r>
      </text>
    </comment>
  </commentList>
</comments>
</file>

<file path=xl/sharedStrings.xml><?xml version="1.0" encoding="utf-8"?>
<sst xmlns="http://schemas.openxmlformats.org/spreadsheetml/2006/main" count="381" uniqueCount="181">
  <si>
    <r>
      <t>Organizace</t>
    </r>
    <r>
      <rPr>
        <b/>
        <sz val="10"/>
        <rFont val="Arial CE"/>
        <family val="2"/>
      </rPr>
      <t xml:space="preserve">: </t>
    </r>
  </si>
  <si>
    <t>I. Výnosové ukazatele</t>
  </si>
  <si>
    <t>/v tis. Kč/</t>
  </si>
  <si>
    <t>Hlavní činnost</t>
  </si>
  <si>
    <t>Doplňková činnost</t>
  </si>
  <si>
    <t>Činnosti celkem</t>
  </si>
  <si>
    <t>Celkem</t>
  </si>
  <si>
    <t>Ukazatel</t>
  </si>
  <si>
    <t>Rok 2002</t>
  </si>
  <si>
    <t>Skutečnost</t>
  </si>
  <si>
    <t>%</t>
  </si>
  <si>
    <t>plán</t>
  </si>
  <si>
    <t>Index</t>
  </si>
  <si>
    <t>Rozdíl</t>
  </si>
  <si>
    <t>skut.</t>
  </si>
  <si>
    <t>k 31.12.</t>
  </si>
  <si>
    <t>plnění</t>
  </si>
  <si>
    <t>"+  -"</t>
  </si>
  <si>
    <t>3=2/1*100</t>
  </si>
  <si>
    <t>6=5/4*100</t>
  </si>
  <si>
    <t>7=5/2*100</t>
  </si>
  <si>
    <t>8=5-2</t>
  </si>
  <si>
    <t>11=10-9</t>
  </si>
  <si>
    <t>14=13/12*100</t>
  </si>
  <si>
    <t>17=16/15*100</t>
  </si>
  <si>
    <t>18=16/13*100</t>
  </si>
  <si>
    <t>19=16-13</t>
  </si>
  <si>
    <t>Tržby z prodeje služeb /úč.602/</t>
  </si>
  <si>
    <t>- tržby od zdrav.pojišťoven</t>
  </si>
  <si>
    <t>- tržby mimo zdrav. pojištění</t>
  </si>
  <si>
    <t>Tržby za prodané zboží /úč.604/</t>
  </si>
  <si>
    <t>- tržby za prodej v lékárnách</t>
  </si>
  <si>
    <t>Ostatní výnosy /sesk. 64/</t>
  </si>
  <si>
    <t>- zúčtování fondů</t>
  </si>
  <si>
    <t>Ostatní výnosy /sesk. 65/</t>
  </si>
  <si>
    <t>Provozní dotace /úč.691/</t>
  </si>
  <si>
    <t>VÝNOSY celkem</t>
  </si>
  <si>
    <t>Výsledky hospodaření za období 01 - 02/2003</t>
  </si>
  <si>
    <t>II. Náklady a hospodářský výsledek</t>
  </si>
  <si>
    <t>Spotřeba materiálu /úč.501/</t>
  </si>
  <si>
    <t>- krev a krevní výrobky</t>
  </si>
  <si>
    <t>- spec.zdravotnický materiál</t>
  </si>
  <si>
    <t>- potraviny</t>
  </si>
  <si>
    <t>- PHM</t>
  </si>
  <si>
    <t>- DDH majetek</t>
  </si>
  <si>
    <t>Spotřeba energie /úč.502 a 503/</t>
  </si>
  <si>
    <t>Prodané zboží /úč.504/</t>
  </si>
  <si>
    <t>Opravy a údržba /úč. 511/</t>
  </si>
  <si>
    <t>Cestovné /512/</t>
  </si>
  <si>
    <t>Náklady reprezentace /513/</t>
  </si>
  <si>
    <t>Ostatní služby /518/</t>
  </si>
  <si>
    <t>- služby spojů</t>
  </si>
  <si>
    <t xml:space="preserve">- dopravné </t>
  </si>
  <si>
    <t>- nájemné</t>
  </si>
  <si>
    <t>- úklid (dodavatelsky)</t>
  </si>
  <si>
    <t>- ostatní služby</t>
  </si>
  <si>
    <t>Osobní náklady /sesk. 52/</t>
  </si>
  <si>
    <t>- mzdové náklady /521/</t>
  </si>
  <si>
    <t>- OON</t>
  </si>
  <si>
    <t>- civilní služba</t>
  </si>
  <si>
    <t>Ostatní sociální pojištění /525/</t>
  </si>
  <si>
    <t>Zákonné sociální náklady /527/</t>
  </si>
  <si>
    <t>Ostatní sociální náklady /528/</t>
  </si>
  <si>
    <t>Daně a poplatky /sesk. 53/</t>
  </si>
  <si>
    <t>- ostatní pokuty a penále /542/</t>
  </si>
  <si>
    <t>Odpisy /551/</t>
  </si>
  <si>
    <t>- odpisy dl. majetku /551/</t>
  </si>
  <si>
    <t>Daň z příjmů /sesk. 59/</t>
  </si>
  <si>
    <t>- daň z příjmů /591/</t>
  </si>
  <si>
    <t>NÁKLADY celkem</t>
  </si>
  <si>
    <t>HOSPODÁŘSKÝ VÝSLEDEK</t>
  </si>
  <si>
    <t>Druh pohledávky</t>
  </si>
  <si>
    <t xml:space="preserve">Stav k </t>
  </si>
  <si>
    <t>Poskytnuté provozní zálohy</t>
  </si>
  <si>
    <t>Pohledávky celkem</t>
  </si>
  <si>
    <t>II. Pohledávky z obchodních vztahů po lhůtě splatnosti</t>
  </si>
  <si>
    <t>Období</t>
  </si>
  <si>
    <t>do 30 dnů</t>
  </si>
  <si>
    <t>31 - 90 dnů</t>
  </si>
  <si>
    <t xml:space="preserve">91 - 180 dnů </t>
  </si>
  <si>
    <t xml:space="preserve">181-360 dnů </t>
  </si>
  <si>
    <t>nad 360 dnů</t>
  </si>
  <si>
    <t>Druh závazku</t>
  </si>
  <si>
    <t>Závazky celkem</t>
  </si>
  <si>
    <t>k 31.12.2003</t>
  </si>
  <si>
    <t>5=4-3</t>
  </si>
  <si>
    <t xml:space="preserve">  </t>
  </si>
  <si>
    <t>k 31.12.2004</t>
  </si>
  <si>
    <t>Skut</t>
  </si>
  <si>
    <t>roční</t>
  </si>
  <si>
    <t>Meziroční vývoj</t>
  </si>
  <si>
    <t>Skut.</t>
  </si>
  <si>
    <t>Aktivace /sesk.62/</t>
  </si>
  <si>
    <t>Reprezentace /513/</t>
  </si>
  <si>
    <t>Daně /sesk.53/</t>
  </si>
  <si>
    <t>Tel.:</t>
  </si>
  <si>
    <t>I. Pohledávky z obchodního styku</t>
  </si>
  <si>
    <t>Odběratelé (311)</t>
  </si>
  <si>
    <t>Ostatní pohledávky (316)</t>
  </si>
  <si>
    <t>Jiné pohledávky (378)</t>
  </si>
  <si>
    <t>1=2+6</t>
  </si>
  <si>
    <t>celkem</t>
  </si>
  <si>
    <t>III. Závazky z obchodního styku</t>
  </si>
  <si>
    <t>Dodavatelé (321)</t>
  </si>
  <si>
    <t>Přijaté zálohy (324)</t>
  </si>
  <si>
    <t>Ostatní závazky (325)</t>
  </si>
  <si>
    <t>Jiné závazky (379)</t>
  </si>
  <si>
    <t>Ost.dlouhodobé závazky (959)</t>
  </si>
  <si>
    <t>Krát.bankovní úvěry (281)</t>
  </si>
  <si>
    <t>Pohledávky z obchodního styku po lhůtě splatnosti:</t>
  </si>
  <si>
    <t>IV. Závazky z obchodních styku po lhůtě splatnosti</t>
  </si>
  <si>
    <r>
      <t xml:space="preserve">Dlouh.bankovní úvěry </t>
    </r>
    <r>
      <rPr>
        <sz val="9"/>
        <rFont val="Arial CE"/>
        <family val="2"/>
      </rPr>
      <t>(951)</t>
    </r>
  </si>
  <si>
    <t>1. Roční údaje</t>
  </si>
  <si>
    <t>Kategorie pracovníků</t>
  </si>
  <si>
    <t>Počet</t>
  </si>
  <si>
    <t>pracovníků</t>
  </si>
  <si>
    <t>ř. 38 výkazu</t>
  </si>
  <si>
    <t>E(MZ)2-04</t>
  </si>
  <si>
    <t>Průměrná</t>
  </si>
  <si>
    <t>mzda</t>
  </si>
  <si>
    <t xml:space="preserve">platy z </t>
  </si>
  <si>
    <t>výkazu</t>
  </si>
  <si>
    <t>Náklady na</t>
  </si>
  <si>
    <t>v Kč</t>
  </si>
  <si>
    <t>Pracovníci</t>
  </si>
  <si>
    <t>Meziroční</t>
  </si>
  <si>
    <t>indexový</t>
  </si>
  <si>
    <t xml:space="preserve">vývoj </t>
  </si>
  <si>
    <t>průměrné</t>
  </si>
  <si>
    <t>mzdy</t>
  </si>
  <si>
    <t xml:space="preserve">platy v tis. Kč </t>
  </si>
  <si>
    <t>6=5/4/12*1000</t>
  </si>
  <si>
    <t>3=2/1/12*1000</t>
  </si>
  <si>
    <t>7=4-1</t>
  </si>
  <si>
    <t>8=6-3</t>
  </si>
  <si>
    <t>9=6/3*100</t>
  </si>
  <si>
    <t>12=11/10/12*1</t>
  </si>
  <si>
    <t>13=10-4</t>
  </si>
  <si>
    <t>14=12-6</t>
  </si>
  <si>
    <t>15=12/6*100</t>
  </si>
  <si>
    <t>Lékaři</t>
  </si>
  <si>
    <t>Všeobecné sestry</t>
  </si>
  <si>
    <t>THP</t>
  </si>
  <si>
    <t>Dělnicí a provozní prac.</t>
  </si>
  <si>
    <t>Nemocnice celkem</t>
  </si>
  <si>
    <t>Skutečnost za rok 2003</t>
  </si>
  <si>
    <t>Skutečnost za rok 2004</t>
  </si>
  <si>
    <t>2. Čtvrtletní údaje</t>
  </si>
  <si>
    <t xml:space="preserve">III. Vývoj pracovníků a průměrných mezd  </t>
  </si>
  <si>
    <t>9=8/7/9*1000</t>
  </si>
  <si>
    <t>3=2/1/3*1000</t>
  </si>
  <si>
    <t>6=5/4/6*1000</t>
  </si>
  <si>
    <t>ř. 21 výkazu</t>
  </si>
  <si>
    <r>
      <t>Organizace</t>
    </r>
    <r>
      <rPr>
        <b/>
        <sz val="10"/>
        <rFont val="Arial CE"/>
        <family val="2"/>
      </rPr>
      <t xml:space="preserve">:  </t>
    </r>
    <r>
      <rPr>
        <b/>
        <sz val="10"/>
        <color indexed="12"/>
        <rFont val="Arial CE"/>
        <family val="0"/>
      </rPr>
      <t>Nemocnice Třebíč</t>
    </r>
  </si>
  <si>
    <t>Tržby za vlastní výrobky /úč.601/</t>
  </si>
  <si>
    <r>
      <t>Organizace</t>
    </r>
    <r>
      <rPr>
        <b/>
        <sz val="10"/>
        <rFont val="Arial CE"/>
        <family val="2"/>
      </rPr>
      <t xml:space="preserve">: </t>
    </r>
    <r>
      <rPr>
        <b/>
        <sz val="10"/>
        <color indexed="12"/>
        <rFont val="Arial CE"/>
        <family val="0"/>
      </rPr>
      <t>Nemocnice Třebíč</t>
    </r>
  </si>
  <si>
    <t>- materiál všeobecný + údržba</t>
  </si>
  <si>
    <t>- spotřeba léků + reagencií</t>
  </si>
  <si>
    <t>Krátkodobé závazky z obchodního styku po lhůtě splatnoszi</t>
  </si>
  <si>
    <t>1=2 až 6</t>
  </si>
  <si>
    <t>Dlouhodobé závazky z obchodního styku po lhůtě splatnoszi</t>
  </si>
  <si>
    <t>Oostatní účty tř. 55</t>
  </si>
  <si>
    <t xml:space="preserve">Z podkladů zpracoval: </t>
  </si>
  <si>
    <t>Aleš Fašina, DiS.</t>
  </si>
  <si>
    <t>Z podkladů zpracoval:</t>
  </si>
  <si>
    <t>k 31.12.2005</t>
  </si>
  <si>
    <t>Rok 2006</t>
  </si>
  <si>
    <t>Skutečnost za 1.čtvrtrletí 2006</t>
  </si>
  <si>
    <t>Skutečnost za 1.pololetí 2006</t>
  </si>
  <si>
    <t>Skutečnost k 30.9.2006</t>
  </si>
  <si>
    <t>Skutečnost za rok 2005</t>
  </si>
  <si>
    <t>Seskupení 54 (pokuty a penále)</t>
  </si>
  <si>
    <t>Změna stavu zásob výrobků /613/</t>
  </si>
  <si>
    <t>2006/2005</t>
  </si>
  <si>
    <t>k 30.11.</t>
  </si>
  <si>
    <t>Výsledky hospodaření k 30.11.2006</t>
  </si>
  <si>
    <t>Vývoj pohledávek a závazků k 30.11.2006</t>
  </si>
  <si>
    <t>k 30.11.2006</t>
  </si>
  <si>
    <t>Vývoj za 01 až 11/2006</t>
  </si>
  <si>
    <t>Počet stran: 3</t>
  </si>
  <si>
    <t>RK-03-2007-38,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</si>
</sst>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0"/>
    </font>
    <font>
      <sz val="8"/>
      <name val="Tahoma"/>
      <family val="2"/>
    </font>
    <font>
      <i/>
      <sz val="10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b/>
      <sz val="8"/>
      <name val="Tahoma"/>
      <family val="0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" fontId="3" fillId="0" borderId="3" xfId="0" applyNumberFormat="1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" fontId="7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49" fontId="9" fillId="2" borderId="13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3" fontId="9" fillId="2" borderId="15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9" fillId="2" borderId="8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9" fillId="2" borderId="11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49" fontId="9" fillId="2" borderId="20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9" fillId="2" borderId="21" xfId="0" applyNumberFormat="1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2" fillId="0" borderId="24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10" fillId="2" borderId="6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9" fontId="2" fillId="2" borderId="29" xfId="0" applyNumberFormat="1" applyFont="1" applyFill="1" applyBorder="1" applyAlignment="1">
      <alignment/>
    </xf>
    <xf numFmtId="49" fontId="4" fillId="2" borderId="7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0" fontId="3" fillId="2" borderId="30" xfId="0" applyFont="1" applyFill="1" applyBorder="1" applyAlignment="1">
      <alignment horizontal="centerContinuous"/>
    </xf>
    <xf numFmtId="0" fontId="0" fillId="2" borderId="31" xfId="0" applyFill="1" applyBorder="1" applyAlignment="1">
      <alignment/>
    </xf>
    <xf numFmtId="1" fontId="3" fillId="2" borderId="32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" fontId="8" fillId="0" borderId="36" xfId="0" applyNumberFormat="1" applyFont="1" applyBorder="1" applyAlignment="1">
      <alignment/>
    </xf>
    <xf numFmtId="3" fontId="9" fillId="2" borderId="25" xfId="0" applyNumberFormat="1" applyFont="1" applyFill="1" applyBorder="1" applyAlignment="1">
      <alignment/>
    </xf>
    <xf numFmtId="0" fontId="3" fillId="2" borderId="31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3" fontId="9" fillId="2" borderId="37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8" fillId="0" borderId="37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9" fillId="2" borderId="38" xfId="0" applyNumberFormat="1" applyFont="1" applyFill="1" applyBorder="1" applyAlignment="1">
      <alignment/>
    </xf>
    <xf numFmtId="1" fontId="3" fillId="2" borderId="32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8" fillId="0" borderId="40" xfId="0" applyNumberFormat="1" applyFont="1" applyBorder="1" applyAlignment="1">
      <alignment/>
    </xf>
    <xf numFmtId="3" fontId="9" fillId="2" borderId="39" xfId="0" applyNumberFormat="1" applyFont="1" applyFill="1" applyBorder="1" applyAlignment="1">
      <alignment/>
    </xf>
    <xf numFmtId="0" fontId="3" fillId="2" borderId="41" xfId="0" applyFont="1" applyFill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Continuous"/>
    </xf>
    <xf numFmtId="0" fontId="3" fillId="2" borderId="42" xfId="0" applyFont="1" applyFill="1" applyBorder="1" applyAlignment="1">
      <alignment horizontal="centerContinuous"/>
    </xf>
    <xf numFmtId="0" fontId="3" fillId="2" borderId="43" xfId="0" applyFont="1" applyFill="1" applyBorder="1" applyAlignment="1">
      <alignment horizontal="left"/>
    </xf>
    <xf numFmtId="0" fontId="0" fillId="2" borderId="44" xfId="0" applyFill="1" applyBorder="1" applyAlignment="1">
      <alignment/>
    </xf>
    <xf numFmtId="0" fontId="3" fillId="2" borderId="43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2" borderId="44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0" fillId="2" borderId="30" xfId="0" applyFill="1" applyBorder="1" applyAlignment="1">
      <alignment/>
    </xf>
    <xf numFmtId="3" fontId="8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6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15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 horizontal="center"/>
    </xf>
    <xf numFmtId="3" fontId="0" fillId="0" borderId="42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3" fillId="2" borderId="46" xfId="0" applyFont="1" applyFill="1" applyBorder="1" applyAlignment="1">
      <alignment/>
    </xf>
    <xf numFmtId="0" fontId="3" fillId="2" borderId="47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14" fontId="3" fillId="2" borderId="6" xfId="0" applyNumberFormat="1" applyFont="1" applyFill="1" applyBorder="1" applyAlignment="1">
      <alignment horizontal="center"/>
    </xf>
    <xf numFmtId="14" fontId="3" fillId="2" borderId="25" xfId="0" applyNumberFormat="1" applyFont="1" applyFill="1" applyBorder="1" applyAlignment="1">
      <alignment horizontal="center"/>
    </xf>
    <xf numFmtId="14" fontId="3" fillId="2" borderId="14" xfId="0" applyNumberFormat="1" applyFont="1" applyFill="1" applyBorder="1" applyAlignment="1">
      <alignment horizontal="center"/>
    </xf>
    <xf numFmtId="14" fontId="3" fillId="2" borderId="48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3" fontId="12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3" fontId="10" fillId="2" borderId="49" xfId="0" applyNumberFormat="1" applyFont="1" applyFill="1" applyBorder="1" applyAlignment="1">
      <alignment/>
    </xf>
    <xf numFmtId="3" fontId="10" fillId="2" borderId="50" xfId="0" applyNumberFormat="1" applyFont="1" applyFill="1" applyBorder="1" applyAlignment="1">
      <alignment/>
    </xf>
    <xf numFmtId="3" fontId="10" fillId="2" borderId="48" xfId="0" applyNumberFormat="1" applyFont="1" applyFill="1" applyBorder="1" applyAlignment="1">
      <alignment/>
    </xf>
    <xf numFmtId="0" fontId="10" fillId="2" borderId="5" xfId="0" applyFont="1" applyFill="1" applyBorder="1" applyAlignment="1">
      <alignment/>
    </xf>
    <xf numFmtId="3" fontId="10" fillId="2" borderId="51" xfId="0" applyNumberFormat="1" applyFont="1" applyFill="1" applyBorder="1" applyAlignment="1">
      <alignment/>
    </xf>
    <xf numFmtId="14" fontId="3" fillId="2" borderId="52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6" fillId="0" borderId="55" xfId="0" applyFont="1" applyBorder="1" applyAlignment="1">
      <alignment horizontal="center"/>
    </xf>
    <xf numFmtId="3" fontId="0" fillId="0" borderId="36" xfId="0" applyNumberForma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164" fontId="13" fillId="0" borderId="24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5" fillId="0" borderId="13" xfId="0" applyFont="1" applyBorder="1" applyAlignment="1">
      <alignment/>
    </xf>
    <xf numFmtId="3" fontId="13" fillId="0" borderId="24" xfId="0" applyNumberFormat="1" applyFont="1" applyBorder="1" applyAlignment="1">
      <alignment/>
    </xf>
    <xf numFmtId="4" fontId="13" fillId="0" borderId="24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164" fontId="11" fillId="0" borderId="26" xfId="0" applyNumberFormat="1" applyFont="1" applyBorder="1" applyAlignment="1">
      <alignment/>
    </xf>
    <xf numFmtId="0" fontId="3" fillId="0" borderId="0" xfId="0" applyFont="1" applyAlignment="1">
      <alignment/>
    </xf>
    <xf numFmtId="0" fontId="13" fillId="0" borderId="36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1" fillId="0" borderId="56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13" fillId="0" borderId="40" xfId="0" applyFont="1" applyBorder="1" applyAlignment="1">
      <alignment/>
    </xf>
    <xf numFmtId="0" fontId="11" fillId="0" borderId="39" xfId="0" applyFont="1" applyBorder="1" applyAlignment="1">
      <alignment/>
    </xf>
    <xf numFmtId="0" fontId="0" fillId="2" borderId="29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47" xfId="0" applyFill="1" applyBorder="1" applyAlignment="1">
      <alignment/>
    </xf>
    <xf numFmtId="0" fontId="2" fillId="2" borderId="29" xfId="0" applyFont="1" applyFill="1" applyBorder="1" applyAlignment="1">
      <alignment horizontal="center"/>
    </xf>
    <xf numFmtId="0" fontId="2" fillId="2" borderId="58" xfId="0" applyFont="1" applyFill="1" applyBorder="1" applyAlignment="1">
      <alignment/>
    </xf>
    <xf numFmtId="0" fontId="3" fillId="2" borderId="58" xfId="0" applyFont="1" applyFill="1" applyBorder="1" applyAlignment="1">
      <alignment/>
    </xf>
    <xf numFmtId="0" fontId="2" fillId="2" borderId="4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39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7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3" fillId="0" borderId="48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" fontId="3" fillId="3" borderId="4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" fontId="7" fillId="0" borderId="40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9" fillId="2" borderId="62" xfId="0" applyNumberFormat="1" applyFont="1" applyFill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3" fontId="2" fillId="0" borderId="36" xfId="0" applyNumberFormat="1" applyFon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9" fillId="3" borderId="64" xfId="0" applyNumberFormat="1" applyFont="1" applyFill="1" applyBorder="1" applyAlignment="1">
      <alignment/>
    </xf>
    <xf numFmtId="3" fontId="9" fillId="3" borderId="56" xfId="0" applyNumberFormat="1" applyFont="1" applyFill="1" applyBorder="1" applyAlignment="1">
      <alignment/>
    </xf>
    <xf numFmtId="3" fontId="9" fillId="4" borderId="49" xfId="0" applyNumberFormat="1" applyFont="1" applyFill="1" applyBorder="1" applyAlignment="1">
      <alignment/>
    </xf>
    <xf numFmtId="3" fontId="9" fillId="4" borderId="36" xfId="0" applyNumberFormat="1" applyFont="1" applyFill="1" applyBorder="1" applyAlignment="1">
      <alignment/>
    </xf>
    <xf numFmtId="3" fontId="9" fillId="3" borderId="9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" fontId="5" fillId="0" borderId="57" xfId="0" applyNumberFormat="1" applyFont="1" applyBorder="1" applyAlignment="1">
      <alignment/>
    </xf>
    <xf numFmtId="0" fontId="6" fillId="0" borderId="65" xfId="0" applyFont="1" applyBorder="1" applyAlignment="1">
      <alignment/>
    </xf>
    <xf numFmtId="2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14" fontId="3" fillId="2" borderId="4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9" fillId="2" borderId="26" xfId="0" applyNumberFormat="1" applyFont="1" applyFill="1" applyBorder="1" applyAlignment="1">
      <alignment/>
    </xf>
    <xf numFmtId="3" fontId="9" fillId="2" borderId="52" xfId="0" applyNumberFormat="1" applyFont="1" applyFill="1" applyBorder="1" applyAlignment="1">
      <alignment/>
    </xf>
    <xf numFmtId="3" fontId="9" fillId="2" borderId="53" xfId="0" applyNumberFormat="1" applyFont="1" applyFill="1" applyBorder="1" applyAlignment="1">
      <alignment horizontal="right"/>
    </xf>
    <xf numFmtId="3" fontId="9" fillId="2" borderId="56" xfId="0" applyNumberFormat="1" applyFont="1" applyFill="1" applyBorder="1" applyAlignment="1">
      <alignment/>
    </xf>
    <xf numFmtId="3" fontId="9" fillId="2" borderId="24" xfId="0" applyNumberFormat="1" applyFont="1" applyFill="1" applyBorder="1" applyAlignment="1">
      <alignment/>
    </xf>
    <xf numFmtId="3" fontId="9" fillId="2" borderId="36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8" fillId="0" borderId="59" xfId="0" applyNumberFormat="1" applyFont="1" applyBorder="1" applyAlignment="1">
      <alignment/>
    </xf>
    <xf numFmtId="3" fontId="9" fillId="2" borderId="66" xfId="0" applyNumberFormat="1" applyFont="1" applyFill="1" applyBorder="1" applyAlignment="1">
      <alignment/>
    </xf>
    <xf numFmtId="3" fontId="9" fillId="2" borderId="64" xfId="0" applyNumberFormat="1" applyFont="1" applyFill="1" applyBorder="1" applyAlignment="1">
      <alignment/>
    </xf>
    <xf numFmtId="4" fontId="7" fillId="0" borderId="36" xfId="0" applyNumberFormat="1" applyFont="1" applyBorder="1" applyAlignment="1">
      <alignment/>
    </xf>
    <xf numFmtId="4" fontId="5" fillId="0" borderId="56" xfId="0" applyNumberFormat="1" applyFont="1" applyBorder="1" applyAlignment="1">
      <alignment/>
    </xf>
    <xf numFmtId="0" fontId="19" fillId="0" borderId="0" xfId="0" applyFont="1" applyAlignment="1">
      <alignment/>
    </xf>
    <xf numFmtId="0" fontId="2" fillId="0" borderId="8" xfId="0" applyFont="1" applyBorder="1" applyAlignment="1">
      <alignment/>
    </xf>
    <xf numFmtId="0" fontId="10" fillId="2" borderId="13" xfId="0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14" fontId="3" fillId="2" borderId="5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3" fillId="2" borderId="46" xfId="0" applyFont="1" applyFill="1" applyBorder="1" applyAlignment="1">
      <alignment horizontal="left"/>
    </xf>
    <xf numFmtId="0" fontId="3" fillId="2" borderId="58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showGridLines="0" tabSelected="1" workbookViewId="0" topLeftCell="A1">
      <selection activeCell="S1" sqref="S1:S2"/>
    </sheetView>
  </sheetViews>
  <sheetFormatPr defaultColWidth="9.00390625" defaultRowHeight="12.75"/>
  <cols>
    <col min="1" max="1" width="24.75390625" style="0" customWidth="1"/>
    <col min="2" max="2" width="2.00390625" style="0" hidden="1" customWidth="1"/>
    <col min="3" max="3" width="9.625" style="0" bestFit="1" customWidth="1"/>
    <col min="4" max="4" width="8.00390625" style="0" hidden="1" customWidth="1"/>
    <col min="5" max="5" width="11.125" style="0" customWidth="1"/>
    <col min="8" max="8" width="10.125" style="0" customWidth="1"/>
    <col min="9" max="9" width="8.875" style="0" customWidth="1"/>
    <col min="10" max="10" width="8.375" style="0" customWidth="1"/>
    <col min="11" max="11" width="9.625" style="0" customWidth="1"/>
    <col min="12" max="12" width="8.00390625" style="0" customWidth="1"/>
    <col min="13" max="13" width="0.12890625" style="0" customWidth="1"/>
    <col min="15" max="15" width="7.125" style="0" hidden="1" customWidth="1"/>
    <col min="16" max="16" width="9.875" style="0" bestFit="1" customWidth="1"/>
    <col min="18" max="18" width="0.12890625" style="0" customWidth="1"/>
    <col min="20" max="20" width="8.75390625" style="0" customWidth="1"/>
  </cols>
  <sheetData>
    <row r="1" spans="1:19" s="2" customFormat="1" ht="18">
      <c r="A1" s="1" t="s">
        <v>175</v>
      </c>
      <c r="S1" s="314" t="s">
        <v>180</v>
      </c>
    </row>
    <row r="2" spans="1:19" ht="13.5" customHeight="1">
      <c r="A2" s="3"/>
      <c r="S2" s="314" t="s">
        <v>179</v>
      </c>
    </row>
    <row r="3" ht="12.75">
      <c r="A3" s="3" t="s">
        <v>155</v>
      </c>
    </row>
    <row r="4" ht="1.5" customHeight="1">
      <c r="A4" s="3"/>
    </row>
    <row r="5" spans="1:6" ht="16.5" thickBot="1">
      <c r="A5" s="261" t="s">
        <v>1</v>
      </c>
      <c r="F5" s="32"/>
    </row>
    <row r="6" spans="1:21" ht="13.5" thickBot="1">
      <c r="A6" s="78"/>
      <c r="B6" s="5"/>
      <c r="C6" s="82" t="s">
        <v>3</v>
      </c>
      <c r="D6" s="82"/>
      <c r="E6" s="82"/>
      <c r="F6" s="82"/>
      <c r="G6" s="82"/>
      <c r="H6" s="82"/>
      <c r="I6" s="106"/>
      <c r="J6" s="318" t="s">
        <v>4</v>
      </c>
      <c r="K6" s="319"/>
      <c r="L6" s="320"/>
      <c r="M6" s="134" t="s">
        <v>5</v>
      </c>
      <c r="N6" s="82" t="s">
        <v>6</v>
      </c>
      <c r="O6" s="82"/>
      <c r="P6" s="82"/>
      <c r="Q6" s="82"/>
      <c r="R6" s="82"/>
      <c r="S6" s="82"/>
      <c r="T6" s="135"/>
      <c r="U6" s="83"/>
    </row>
    <row r="7" spans="1:21" ht="12.75">
      <c r="A7" s="79" t="s">
        <v>7</v>
      </c>
      <c r="B7" s="6" t="s">
        <v>8</v>
      </c>
      <c r="C7" s="125" t="s">
        <v>88</v>
      </c>
      <c r="D7" s="126"/>
      <c r="E7" s="315" t="s">
        <v>166</v>
      </c>
      <c r="F7" s="316"/>
      <c r="G7" s="317"/>
      <c r="H7" s="127" t="s">
        <v>90</v>
      </c>
      <c r="I7" s="128"/>
      <c r="J7" s="129"/>
      <c r="K7" s="130" t="s">
        <v>9</v>
      </c>
      <c r="L7" s="131"/>
      <c r="M7" s="132"/>
      <c r="N7" s="125" t="s">
        <v>91</v>
      </c>
      <c r="O7" s="133"/>
      <c r="P7" s="315" t="s">
        <v>166</v>
      </c>
      <c r="Q7" s="316"/>
      <c r="R7" s="316"/>
      <c r="S7" s="317"/>
      <c r="T7" s="127" t="s">
        <v>90</v>
      </c>
      <c r="U7" s="128"/>
    </row>
    <row r="8" spans="1:21" ht="12.75">
      <c r="A8" s="80"/>
      <c r="B8" s="8"/>
      <c r="C8" s="84" t="s">
        <v>174</v>
      </c>
      <c r="D8" s="85" t="s">
        <v>10</v>
      </c>
      <c r="E8" s="259" t="s">
        <v>89</v>
      </c>
      <c r="F8" s="86" t="s">
        <v>14</v>
      </c>
      <c r="G8" s="87" t="s">
        <v>10</v>
      </c>
      <c r="H8" s="85" t="s">
        <v>12</v>
      </c>
      <c r="I8" s="88" t="s">
        <v>13</v>
      </c>
      <c r="J8" s="107" t="s">
        <v>174</v>
      </c>
      <c r="K8" s="108" t="s">
        <v>174</v>
      </c>
      <c r="L8" s="109" t="s">
        <v>13</v>
      </c>
      <c r="M8" s="9" t="s">
        <v>14</v>
      </c>
      <c r="N8" s="118" t="s">
        <v>174</v>
      </c>
      <c r="O8" s="85" t="s">
        <v>10</v>
      </c>
      <c r="P8" s="257" t="s">
        <v>89</v>
      </c>
      <c r="Q8" s="86" t="s">
        <v>14</v>
      </c>
      <c r="R8" s="85" t="s">
        <v>10</v>
      </c>
      <c r="S8" s="123" t="s">
        <v>10</v>
      </c>
      <c r="T8" s="85" t="s">
        <v>12</v>
      </c>
      <c r="U8" s="88" t="s">
        <v>13</v>
      </c>
    </row>
    <row r="9" spans="1:21" ht="13.5" thickBot="1">
      <c r="A9" s="81"/>
      <c r="B9" s="11" t="s">
        <v>15</v>
      </c>
      <c r="C9" s="89">
        <v>2005</v>
      </c>
      <c r="D9" s="90" t="s">
        <v>16</v>
      </c>
      <c r="E9" s="260" t="s">
        <v>11</v>
      </c>
      <c r="F9" s="89" t="s">
        <v>174</v>
      </c>
      <c r="G9" s="92" t="s">
        <v>16</v>
      </c>
      <c r="H9" s="93" t="s">
        <v>173</v>
      </c>
      <c r="I9" s="94" t="s">
        <v>17</v>
      </c>
      <c r="J9" s="91">
        <v>2005</v>
      </c>
      <c r="K9" s="89">
        <v>2006</v>
      </c>
      <c r="L9" s="110" t="s">
        <v>17</v>
      </c>
      <c r="M9" s="12" t="s">
        <v>15</v>
      </c>
      <c r="N9" s="119">
        <v>2005</v>
      </c>
      <c r="O9" s="90" t="s">
        <v>16</v>
      </c>
      <c r="P9" s="258" t="s">
        <v>11</v>
      </c>
      <c r="Q9" s="89" t="s">
        <v>174</v>
      </c>
      <c r="R9" s="90" t="s">
        <v>16</v>
      </c>
      <c r="S9" s="92" t="s">
        <v>16</v>
      </c>
      <c r="T9" s="93" t="s">
        <v>173</v>
      </c>
      <c r="U9" s="94" t="s">
        <v>17</v>
      </c>
    </row>
    <row r="10" spans="1:21" s="100" customFormat="1" ht="9.75">
      <c r="A10" s="95"/>
      <c r="B10" s="96">
        <v>1</v>
      </c>
      <c r="C10" s="264">
        <v>2</v>
      </c>
      <c r="D10" s="16" t="s">
        <v>18</v>
      </c>
      <c r="E10" s="96">
        <v>4</v>
      </c>
      <c r="F10" s="97">
        <v>5</v>
      </c>
      <c r="G10" s="98" t="s">
        <v>19</v>
      </c>
      <c r="H10" s="16" t="s">
        <v>20</v>
      </c>
      <c r="I10" s="99" t="s">
        <v>21</v>
      </c>
      <c r="J10" s="96">
        <v>9</v>
      </c>
      <c r="K10" s="97">
        <v>10</v>
      </c>
      <c r="L10" s="16" t="s">
        <v>22</v>
      </c>
      <c r="M10" s="96">
        <v>12</v>
      </c>
      <c r="N10" s="120">
        <v>13</v>
      </c>
      <c r="O10" s="16" t="s">
        <v>23</v>
      </c>
      <c r="P10" s="267">
        <v>15</v>
      </c>
      <c r="Q10" s="268">
        <v>16</v>
      </c>
      <c r="R10" s="269" t="s">
        <v>24</v>
      </c>
      <c r="S10" s="270" t="s">
        <v>24</v>
      </c>
      <c r="T10" s="102" t="s">
        <v>25</v>
      </c>
      <c r="U10" s="103" t="s">
        <v>26</v>
      </c>
    </row>
    <row r="11" spans="1:21" ht="12.75">
      <c r="A11" s="18" t="s">
        <v>154</v>
      </c>
      <c r="B11" s="20"/>
      <c r="C11" s="265">
        <v>790.458</v>
      </c>
      <c r="D11" s="22"/>
      <c r="E11" s="21">
        <v>830</v>
      </c>
      <c r="F11" s="21">
        <v>755.471</v>
      </c>
      <c r="G11" s="76">
        <f aca="true" t="shared" si="0" ref="G11:G22">F11/E11*100</f>
        <v>91.02060240963856</v>
      </c>
      <c r="H11" s="77">
        <f aca="true" t="shared" si="1" ref="H11:H22">F11/C11*100</f>
        <v>95.57383187974567</v>
      </c>
      <c r="I11" s="24">
        <f aca="true" t="shared" si="2" ref="I11:I23">F11-C11</f>
        <v>-34.986999999999966</v>
      </c>
      <c r="J11" s="23">
        <v>0</v>
      </c>
      <c r="K11" s="21">
        <v>0</v>
      </c>
      <c r="L11" s="22">
        <f aca="true" t="shared" si="3" ref="L11:L23">K11-J11</f>
        <v>0</v>
      </c>
      <c r="M11" s="23"/>
      <c r="N11" s="121">
        <f>SUM(C11+J11)</f>
        <v>790.458</v>
      </c>
      <c r="O11" s="22" t="e">
        <f aca="true" t="shared" si="4" ref="O11:O22">N11/M11*100</f>
        <v>#DIV/0!</v>
      </c>
      <c r="P11" s="23">
        <v>830</v>
      </c>
      <c r="Q11" s="25">
        <f>SUM(F11+K11)</f>
        <v>755.471</v>
      </c>
      <c r="R11" s="101">
        <f aca="true" t="shared" si="5" ref="R11:R17">Q11/P11*100</f>
        <v>91.02060240963856</v>
      </c>
      <c r="S11" s="124">
        <f>SUM(Q11/P11*100)</f>
        <v>91.02060240963856</v>
      </c>
      <c r="T11" s="104">
        <f>SUM(Q11/N11*100)</f>
        <v>95.57383187974567</v>
      </c>
      <c r="U11" s="24">
        <f>SUM(Q11-N11)</f>
        <v>-34.986999999999966</v>
      </c>
    </row>
    <row r="12" spans="1:21" ht="12.75">
      <c r="A12" s="18" t="s">
        <v>27</v>
      </c>
      <c r="B12" s="20"/>
      <c r="C12" s="265">
        <v>436735.956</v>
      </c>
      <c r="D12" s="22"/>
      <c r="E12" s="21">
        <f>500713.07+8441</f>
        <v>509154.07</v>
      </c>
      <c r="F12" s="21">
        <v>475160.306</v>
      </c>
      <c r="G12" s="76">
        <f>F12/E12*100</f>
        <v>93.32348182938026</v>
      </c>
      <c r="H12" s="77">
        <f>F12/C12*100</f>
        <v>108.79807340616581</v>
      </c>
      <c r="I12" s="24">
        <f>F12-C12</f>
        <v>38424.34999999998</v>
      </c>
      <c r="J12" s="23">
        <v>843.148</v>
      </c>
      <c r="K12" s="21">
        <v>1169.827</v>
      </c>
      <c r="L12" s="22">
        <f>K12-J12</f>
        <v>326.679</v>
      </c>
      <c r="M12" s="23"/>
      <c r="N12" s="121">
        <f>SUM(C12+J12)</f>
        <v>437579.104</v>
      </c>
      <c r="O12" s="22" t="e">
        <f>N12/M12*100</f>
        <v>#DIV/0!</v>
      </c>
      <c r="P12" s="23">
        <v>510209.7</v>
      </c>
      <c r="Q12" s="25">
        <f>SUM(F12+K12)</f>
        <v>476330.133</v>
      </c>
      <c r="R12" s="101">
        <f>Q12/P12*100</f>
        <v>93.35967799122595</v>
      </c>
      <c r="S12" s="124">
        <f>SUM(Q12/P12*100)</f>
        <v>93.35967799122595</v>
      </c>
      <c r="T12" s="104">
        <f>SUM(Q12/N12*100)</f>
        <v>108.85577685172096</v>
      </c>
      <c r="U12" s="24">
        <f>SUM(Q12-N12)</f>
        <v>38751.02899999998</v>
      </c>
    </row>
    <row r="13" spans="1:21" ht="12.75">
      <c r="A13" s="18" t="s">
        <v>28</v>
      </c>
      <c r="B13" s="20"/>
      <c r="C13" s="265">
        <v>428741.28</v>
      </c>
      <c r="D13" s="22"/>
      <c r="E13" s="21">
        <v>500713.07</v>
      </c>
      <c r="F13" s="21">
        <v>466713.344</v>
      </c>
      <c r="G13" s="76">
        <f t="shared" si="0"/>
        <v>93.20973866330272</v>
      </c>
      <c r="H13" s="77">
        <f t="shared" si="1"/>
        <v>108.85663820381373</v>
      </c>
      <c r="I13" s="24">
        <f t="shared" si="2"/>
        <v>37972.063999999955</v>
      </c>
      <c r="J13" s="23">
        <v>0</v>
      </c>
      <c r="K13" s="21">
        <v>0</v>
      </c>
      <c r="L13" s="22">
        <f t="shared" si="3"/>
        <v>0</v>
      </c>
      <c r="M13" s="23"/>
      <c r="N13" s="121">
        <f aca="true" t="shared" si="6" ref="N13:N22">SUM(C13+J13)</f>
        <v>428741.28</v>
      </c>
      <c r="O13" s="22" t="e">
        <f t="shared" si="4"/>
        <v>#DIV/0!</v>
      </c>
      <c r="P13" s="23">
        <v>500713.07</v>
      </c>
      <c r="Q13" s="25">
        <f aca="true" t="shared" si="7" ref="Q13:Q22">SUM(F13+K13)</f>
        <v>466713.344</v>
      </c>
      <c r="R13" s="101">
        <f t="shared" si="5"/>
        <v>93.20973866330272</v>
      </c>
      <c r="S13" s="124">
        <f aca="true" t="shared" si="8" ref="S13:S23">SUM(Q13/P13*100)</f>
        <v>93.20973866330272</v>
      </c>
      <c r="T13" s="104">
        <f aca="true" t="shared" si="9" ref="T13:T23">SUM(Q13/N13*100)</f>
        <v>108.85663820381373</v>
      </c>
      <c r="U13" s="24">
        <f aca="true" t="shared" si="10" ref="U13:U23">SUM(Q13-N13)</f>
        <v>37972.063999999955</v>
      </c>
    </row>
    <row r="14" spans="1:21" ht="12.75">
      <c r="A14" s="18" t="s">
        <v>29</v>
      </c>
      <c r="B14" s="20"/>
      <c r="C14" s="265">
        <f>5120.696+266.247+19.905+20.423+420.457+467.518+132.223</f>
        <v>6447.469</v>
      </c>
      <c r="D14" s="22"/>
      <c r="E14" s="21">
        <v>8271</v>
      </c>
      <c r="F14" s="21">
        <f>5177.441+225.618+22.052+20.663+31.927+449.307+119.372</f>
        <v>6046.379999999999</v>
      </c>
      <c r="G14" s="76">
        <f t="shared" si="0"/>
        <v>73.10337323177366</v>
      </c>
      <c r="H14" s="77">
        <f t="shared" si="1"/>
        <v>93.77912480075513</v>
      </c>
      <c r="I14" s="24">
        <f t="shared" si="2"/>
        <v>-401.08900000000085</v>
      </c>
      <c r="J14" s="23">
        <f>6.794+19.07</f>
        <v>25.864</v>
      </c>
      <c r="K14" s="21">
        <f>7.276+261.927</f>
        <v>269.20300000000003</v>
      </c>
      <c r="L14" s="22">
        <f t="shared" si="3"/>
        <v>243.33900000000003</v>
      </c>
      <c r="M14" s="23"/>
      <c r="N14" s="121">
        <f t="shared" si="6"/>
        <v>6473.333</v>
      </c>
      <c r="O14" s="22" t="e">
        <f t="shared" si="4"/>
        <v>#DIV/0!</v>
      </c>
      <c r="P14" s="271">
        <v>8500</v>
      </c>
      <c r="Q14" s="25">
        <f t="shared" si="7"/>
        <v>6315.583</v>
      </c>
      <c r="R14" s="101">
        <f t="shared" si="5"/>
        <v>74.30097647058822</v>
      </c>
      <c r="S14" s="124">
        <f t="shared" si="8"/>
        <v>74.30097647058822</v>
      </c>
      <c r="T14" s="104">
        <f t="shared" si="9"/>
        <v>97.56307917420594</v>
      </c>
      <c r="U14" s="24">
        <f t="shared" si="10"/>
        <v>-157.75</v>
      </c>
    </row>
    <row r="15" spans="1:21" ht="12.75">
      <c r="A15" s="18" t="s">
        <v>30</v>
      </c>
      <c r="B15" s="20"/>
      <c r="C15" s="265">
        <v>35332.394</v>
      </c>
      <c r="D15" s="22"/>
      <c r="E15" s="21">
        <v>41021</v>
      </c>
      <c r="F15" s="21">
        <v>37123.473</v>
      </c>
      <c r="G15" s="76">
        <f t="shared" si="0"/>
        <v>90.49870310328856</v>
      </c>
      <c r="H15" s="77">
        <f t="shared" si="1"/>
        <v>105.06922627433623</v>
      </c>
      <c r="I15" s="24">
        <f t="shared" si="2"/>
        <v>1791.078999999998</v>
      </c>
      <c r="J15" s="23">
        <v>39.536</v>
      </c>
      <c r="K15" s="21">
        <v>1598.246</v>
      </c>
      <c r="L15" s="22">
        <f t="shared" si="3"/>
        <v>1558.71</v>
      </c>
      <c r="M15" s="23"/>
      <c r="N15" s="121">
        <f t="shared" si="6"/>
        <v>35371.93</v>
      </c>
      <c r="O15" s="22" t="e">
        <f t="shared" si="4"/>
        <v>#DIV/0!</v>
      </c>
      <c r="P15" s="23">
        <v>42559.9</v>
      </c>
      <c r="Q15" s="25">
        <f t="shared" si="7"/>
        <v>38721.719</v>
      </c>
      <c r="R15" s="101">
        <f t="shared" si="5"/>
        <v>90.9816963855648</v>
      </c>
      <c r="S15" s="124">
        <f t="shared" si="8"/>
        <v>90.9816963855648</v>
      </c>
      <c r="T15" s="104">
        <f t="shared" si="9"/>
        <v>109.47019006313764</v>
      </c>
      <c r="U15" s="24">
        <f t="shared" si="10"/>
        <v>3349.788999999997</v>
      </c>
    </row>
    <row r="16" spans="1:21" ht="12.75">
      <c r="A16" s="18" t="s">
        <v>31</v>
      </c>
      <c r="B16" s="20"/>
      <c r="C16" s="265">
        <v>35332.394</v>
      </c>
      <c r="D16" s="22"/>
      <c r="E16" s="21">
        <v>41021</v>
      </c>
      <c r="F16" s="21">
        <v>37123.473</v>
      </c>
      <c r="G16" s="76">
        <f t="shared" si="0"/>
        <v>90.49870310328856</v>
      </c>
      <c r="H16" s="77">
        <f t="shared" si="1"/>
        <v>105.06922627433623</v>
      </c>
      <c r="I16" s="24">
        <f t="shared" si="2"/>
        <v>1791.078999999998</v>
      </c>
      <c r="J16" s="23">
        <v>0</v>
      </c>
      <c r="K16" s="21">
        <v>0</v>
      </c>
      <c r="L16" s="22">
        <f t="shared" si="3"/>
        <v>0</v>
      </c>
      <c r="M16" s="23"/>
      <c r="N16" s="121">
        <f t="shared" si="6"/>
        <v>35332.394</v>
      </c>
      <c r="O16" s="22" t="e">
        <f t="shared" si="4"/>
        <v>#DIV/0!</v>
      </c>
      <c r="P16" s="23">
        <v>41021</v>
      </c>
      <c r="Q16" s="25">
        <f t="shared" si="7"/>
        <v>37123.473</v>
      </c>
      <c r="R16" s="101">
        <f t="shared" si="5"/>
        <v>90.49870310328856</v>
      </c>
      <c r="S16" s="124">
        <f t="shared" si="8"/>
        <v>90.49870310328856</v>
      </c>
      <c r="T16" s="104">
        <f t="shared" si="9"/>
        <v>105.06922627433623</v>
      </c>
      <c r="U16" s="24">
        <f t="shared" si="10"/>
        <v>1791.078999999998</v>
      </c>
    </row>
    <row r="17" spans="1:21" ht="13.5" customHeight="1">
      <c r="A17" s="18" t="s">
        <v>172</v>
      </c>
      <c r="B17" s="20"/>
      <c r="C17" s="265">
        <v>0</v>
      </c>
      <c r="D17" s="22"/>
      <c r="E17" s="21">
        <v>0</v>
      </c>
      <c r="F17" s="21">
        <v>0</v>
      </c>
      <c r="G17" s="76" t="e">
        <f t="shared" si="0"/>
        <v>#DIV/0!</v>
      </c>
      <c r="H17" s="77" t="e">
        <f t="shared" si="1"/>
        <v>#DIV/0!</v>
      </c>
      <c r="I17" s="24">
        <f t="shared" si="2"/>
        <v>0</v>
      </c>
      <c r="J17" s="23">
        <v>0</v>
      </c>
      <c r="K17" s="21">
        <v>0</v>
      </c>
      <c r="L17" s="22">
        <f t="shared" si="3"/>
        <v>0</v>
      </c>
      <c r="M17" s="23"/>
      <c r="N17" s="121">
        <f t="shared" si="6"/>
        <v>0</v>
      </c>
      <c r="O17" s="22" t="e">
        <f t="shared" si="4"/>
        <v>#DIV/0!</v>
      </c>
      <c r="P17" s="23">
        <v>0</v>
      </c>
      <c r="Q17" s="25">
        <f t="shared" si="7"/>
        <v>0</v>
      </c>
      <c r="R17" s="101" t="e">
        <f t="shared" si="5"/>
        <v>#DIV/0!</v>
      </c>
      <c r="S17" s="124" t="e">
        <f t="shared" si="8"/>
        <v>#DIV/0!</v>
      </c>
      <c r="T17" s="104" t="e">
        <f t="shared" si="9"/>
        <v>#DIV/0!</v>
      </c>
      <c r="U17" s="24">
        <f t="shared" si="10"/>
        <v>0</v>
      </c>
    </row>
    <row r="18" spans="1:21" ht="12.75">
      <c r="A18" s="18" t="s">
        <v>92</v>
      </c>
      <c r="B18" s="20"/>
      <c r="C18" s="265">
        <v>129.939</v>
      </c>
      <c r="D18" s="22"/>
      <c r="E18" s="21">
        <v>355</v>
      </c>
      <c r="F18" s="21">
        <v>326.793</v>
      </c>
      <c r="G18" s="76">
        <f t="shared" si="0"/>
        <v>92.0543661971831</v>
      </c>
      <c r="H18" s="77">
        <f t="shared" si="1"/>
        <v>251.49724101309076</v>
      </c>
      <c r="I18" s="24">
        <f t="shared" si="2"/>
        <v>196.854</v>
      </c>
      <c r="J18" s="23">
        <v>6.995</v>
      </c>
      <c r="K18" s="21">
        <v>89.908</v>
      </c>
      <c r="L18" s="22">
        <f t="shared" si="3"/>
        <v>82.913</v>
      </c>
      <c r="M18" s="23"/>
      <c r="N18" s="121">
        <f t="shared" si="6"/>
        <v>136.934</v>
      </c>
      <c r="O18" s="22"/>
      <c r="P18" s="23">
        <v>444</v>
      </c>
      <c r="Q18" s="25">
        <f t="shared" si="7"/>
        <v>416.701</v>
      </c>
      <c r="R18" s="101"/>
      <c r="S18" s="124">
        <f t="shared" si="8"/>
        <v>93.85157657657658</v>
      </c>
      <c r="T18" s="104">
        <f t="shared" si="9"/>
        <v>304.3079147618561</v>
      </c>
      <c r="U18" s="24">
        <f t="shared" si="10"/>
        <v>279.76700000000005</v>
      </c>
    </row>
    <row r="19" spans="1:21" ht="12.75">
      <c r="A19" s="18" t="s">
        <v>32</v>
      </c>
      <c r="B19" s="20"/>
      <c r="C19" s="265">
        <f>1827.879+169.177+362.338+562.885</f>
        <v>2922.2789999999995</v>
      </c>
      <c r="D19" s="22"/>
      <c r="E19" s="21">
        <v>3783</v>
      </c>
      <c r="F19" s="21">
        <f>1137.719+176.145+822.752+486.908</f>
        <v>2623.524</v>
      </c>
      <c r="G19" s="76">
        <f t="shared" si="0"/>
        <v>69.35035685963521</v>
      </c>
      <c r="H19" s="77">
        <f t="shared" si="1"/>
        <v>89.7766435032384</v>
      </c>
      <c r="I19" s="24">
        <f t="shared" si="2"/>
        <v>-298.75499999999965</v>
      </c>
      <c r="J19" s="23">
        <v>0</v>
      </c>
      <c r="K19" s="21">
        <v>13.04</v>
      </c>
      <c r="L19" s="22">
        <f t="shared" si="3"/>
        <v>13.04</v>
      </c>
      <c r="M19" s="23"/>
      <c r="N19" s="121">
        <f t="shared" si="6"/>
        <v>2922.2789999999995</v>
      </c>
      <c r="O19" s="22" t="e">
        <f t="shared" si="4"/>
        <v>#DIV/0!</v>
      </c>
      <c r="P19" s="23">
        <v>3790</v>
      </c>
      <c r="Q19" s="25">
        <f t="shared" si="7"/>
        <v>2636.564</v>
      </c>
      <c r="R19" s="101">
        <f>Q19/P19*100</f>
        <v>69.56633245382585</v>
      </c>
      <c r="S19" s="124">
        <f t="shared" si="8"/>
        <v>69.56633245382585</v>
      </c>
      <c r="T19" s="104">
        <f t="shared" si="9"/>
        <v>90.22287057464398</v>
      </c>
      <c r="U19" s="24">
        <f t="shared" si="10"/>
        <v>-285.7149999999997</v>
      </c>
    </row>
    <row r="20" spans="1:21" ht="12.75">
      <c r="A20" s="18" t="s">
        <v>33</v>
      </c>
      <c r="B20" s="20"/>
      <c r="C20" s="265">
        <v>362.338</v>
      </c>
      <c r="D20" s="22"/>
      <c r="E20" s="21">
        <v>1236</v>
      </c>
      <c r="F20" s="21">
        <v>822.752</v>
      </c>
      <c r="G20" s="76">
        <f t="shared" si="0"/>
        <v>66.56569579288025</v>
      </c>
      <c r="H20" s="77">
        <f t="shared" si="1"/>
        <v>227.06754466823793</v>
      </c>
      <c r="I20" s="24">
        <f t="shared" si="2"/>
        <v>460.41399999999993</v>
      </c>
      <c r="J20" s="23">
        <v>0</v>
      </c>
      <c r="K20" s="21">
        <v>0</v>
      </c>
      <c r="L20" s="22">
        <f t="shared" si="3"/>
        <v>0</v>
      </c>
      <c r="M20" s="23"/>
      <c r="N20" s="121">
        <f t="shared" si="6"/>
        <v>362.338</v>
      </c>
      <c r="O20" s="22" t="e">
        <f t="shared" si="4"/>
        <v>#DIV/0!</v>
      </c>
      <c r="P20" s="23">
        <v>1236</v>
      </c>
      <c r="Q20" s="25">
        <f t="shared" si="7"/>
        <v>822.752</v>
      </c>
      <c r="R20" s="101">
        <f>Q20/P20*100</f>
        <v>66.56569579288025</v>
      </c>
      <c r="S20" s="124">
        <f t="shared" si="8"/>
        <v>66.56569579288025</v>
      </c>
      <c r="T20" s="104">
        <f t="shared" si="9"/>
        <v>227.06754466823793</v>
      </c>
      <c r="U20" s="24">
        <f t="shared" si="10"/>
        <v>460.41399999999993</v>
      </c>
    </row>
    <row r="21" spans="1:21" ht="12.75">
      <c r="A21" s="18" t="s">
        <v>34</v>
      </c>
      <c r="B21" s="20"/>
      <c r="C21" s="265">
        <v>0</v>
      </c>
      <c r="D21" s="22"/>
      <c r="E21" s="21">
        <v>0</v>
      </c>
      <c r="F21" s="21">
        <v>0</v>
      </c>
      <c r="G21" s="76" t="e">
        <f t="shared" si="0"/>
        <v>#DIV/0!</v>
      </c>
      <c r="H21" s="77" t="e">
        <f t="shared" si="1"/>
        <v>#DIV/0!</v>
      </c>
      <c r="I21" s="24">
        <f t="shared" si="2"/>
        <v>0</v>
      </c>
      <c r="J21" s="23">
        <v>0</v>
      </c>
      <c r="K21" s="21">
        <v>0</v>
      </c>
      <c r="L21" s="22">
        <f t="shared" si="3"/>
        <v>0</v>
      </c>
      <c r="M21" s="23"/>
      <c r="N21" s="121">
        <f t="shared" si="6"/>
        <v>0</v>
      </c>
      <c r="O21" s="22" t="e">
        <f t="shared" si="4"/>
        <v>#DIV/0!</v>
      </c>
      <c r="P21" s="23">
        <v>0</v>
      </c>
      <c r="Q21" s="25">
        <f t="shared" si="7"/>
        <v>0</v>
      </c>
      <c r="R21" s="101" t="e">
        <f>Q21/P21*100</f>
        <v>#DIV/0!</v>
      </c>
      <c r="S21" s="124" t="e">
        <f t="shared" si="8"/>
        <v>#DIV/0!</v>
      </c>
      <c r="T21" s="104" t="e">
        <f t="shared" si="9"/>
        <v>#DIV/0!</v>
      </c>
      <c r="U21" s="24">
        <f t="shared" si="10"/>
        <v>0</v>
      </c>
    </row>
    <row r="22" spans="1:21" ht="12.75">
      <c r="A22" s="18" t="s">
        <v>35</v>
      </c>
      <c r="B22" s="20"/>
      <c r="C22" s="265">
        <v>1596.857</v>
      </c>
      <c r="D22" s="22"/>
      <c r="E22" s="21">
        <v>1981.7</v>
      </c>
      <c r="F22" s="21">
        <v>1431</v>
      </c>
      <c r="G22" s="76">
        <f t="shared" si="0"/>
        <v>72.2107281626886</v>
      </c>
      <c r="H22" s="77">
        <f t="shared" si="1"/>
        <v>89.61353458700435</v>
      </c>
      <c r="I22" s="24">
        <f t="shared" si="2"/>
        <v>-165.85699999999997</v>
      </c>
      <c r="J22" s="23">
        <v>0</v>
      </c>
      <c r="K22" s="21">
        <v>0</v>
      </c>
      <c r="L22" s="22">
        <f t="shared" si="3"/>
        <v>0</v>
      </c>
      <c r="M22" s="23"/>
      <c r="N22" s="121">
        <f t="shared" si="6"/>
        <v>1596.857</v>
      </c>
      <c r="O22" s="22" t="e">
        <f t="shared" si="4"/>
        <v>#DIV/0!</v>
      </c>
      <c r="P22" s="23">
        <v>1981.7</v>
      </c>
      <c r="Q22" s="25">
        <f t="shared" si="7"/>
        <v>1431</v>
      </c>
      <c r="R22" s="101">
        <f>Q22/P22*100</f>
        <v>72.2107281626886</v>
      </c>
      <c r="S22" s="124">
        <f t="shared" si="8"/>
        <v>72.2107281626886</v>
      </c>
      <c r="T22" s="104">
        <f t="shared" si="9"/>
        <v>89.61353458700435</v>
      </c>
      <c r="U22" s="24">
        <f t="shared" si="10"/>
        <v>-165.85699999999997</v>
      </c>
    </row>
    <row r="23" spans="1:21" s="31" customFormat="1" ht="12.75" customHeight="1" thickBot="1">
      <c r="A23" s="26" t="s">
        <v>36</v>
      </c>
      <c r="B23" s="27"/>
      <c r="C23" s="311">
        <f>C11+C12+C15+C17+C18+C19+C21+C22</f>
        <v>477507.883</v>
      </c>
      <c r="D23" s="28">
        <f>D11+D15+D18+D19+D21+D22</f>
        <v>0</v>
      </c>
      <c r="E23" s="275">
        <f>E11+E12+E15+E17+E18+E19+E21+E22</f>
        <v>557124.77</v>
      </c>
      <c r="F23" s="105">
        <f>F11+F12+F15+F17+F18+F19+F21+F22</f>
        <v>517420.567</v>
      </c>
      <c r="G23" s="295">
        <f>F23/E23*100</f>
        <v>92.8733732302012</v>
      </c>
      <c r="H23" s="28">
        <f>F23/C23*100</f>
        <v>108.3585392871933</v>
      </c>
      <c r="I23" s="29">
        <f t="shared" si="2"/>
        <v>39912.68400000001</v>
      </c>
      <c r="J23" s="105">
        <f>J11+J12+J15+J17+J18+J19+J21+J22</f>
        <v>889.679</v>
      </c>
      <c r="K23" s="105">
        <f>K11+K12+K15+K17+K18+K19+K21+K22</f>
        <v>2871.021</v>
      </c>
      <c r="L23" s="28">
        <f t="shared" si="3"/>
        <v>1981.342</v>
      </c>
      <c r="M23" s="30"/>
      <c r="N23" s="122">
        <f>N11+N12+N15+N17+N18+N19+N21+N22</f>
        <v>478397.562</v>
      </c>
      <c r="O23" s="266">
        <f>SUM(D23+I23)</f>
        <v>39912.68400000001</v>
      </c>
      <c r="P23" s="274">
        <f>P11+P12+P15+P17+P18+P19+P21+P22</f>
        <v>559815.2999999999</v>
      </c>
      <c r="Q23" s="105">
        <f>Q11+Q12+Q15+Q17+Q18+Q19+Q21+Q22</f>
        <v>520291.588</v>
      </c>
      <c r="R23" s="296">
        <f>Q23/P23*100</f>
        <v>92.93986570213427</v>
      </c>
      <c r="S23" s="297">
        <f t="shared" si="8"/>
        <v>92.93986570213427</v>
      </c>
      <c r="T23" s="298">
        <f t="shared" si="9"/>
        <v>108.75715708601375</v>
      </c>
      <c r="U23" s="29">
        <f t="shared" si="10"/>
        <v>41894.02600000001</v>
      </c>
    </row>
    <row r="24" spans="1:16" ht="12.75">
      <c r="A24" s="3"/>
      <c r="B24" s="32"/>
      <c r="C24" s="32"/>
      <c r="D24" s="32">
        <f>SUM(D56:D62)</f>
        <v>0</v>
      </c>
      <c r="E24" s="32"/>
      <c r="F24" s="32"/>
      <c r="G24" s="32"/>
      <c r="H24" s="32"/>
      <c r="I24" s="32"/>
      <c r="J24" s="32"/>
      <c r="K24" s="32"/>
      <c r="P24" s="32"/>
    </row>
    <row r="25" spans="1:9" ht="12.75" hidden="1">
      <c r="A25" s="3"/>
      <c r="B25" s="32"/>
      <c r="C25" s="32"/>
      <c r="D25" s="33"/>
      <c r="E25" s="32"/>
      <c r="F25" s="32"/>
      <c r="G25" s="34"/>
      <c r="H25" s="33"/>
      <c r="I25" s="32"/>
    </row>
    <row r="26" spans="1:9" ht="12.75" hidden="1">
      <c r="A26" s="3"/>
      <c r="B26" s="32"/>
      <c r="C26" s="32"/>
      <c r="D26" s="33"/>
      <c r="E26" s="32"/>
      <c r="F26" s="32"/>
      <c r="G26" s="34"/>
      <c r="H26" s="33"/>
      <c r="I26" s="32"/>
    </row>
    <row r="27" spans="1:9" ht="12.75" hidden="1">
      <c r="A27" s="3"/>
      <c r="B27" s="32"/>
      <c r="C27" s="32"/>
      <c r="D27" s="33"/>
      <c r="E27" s="32"/>
      <c r="F27" s="32"/>
      <c r="G27" s="34"/>
      <c r="H27" s="33"/>
      <c r="I27" s="32"/>
    </row>
    <row r="28" spans="1:9" ht="12.75" hidden="1">
      <c r="A28" s="3"/>
      <c r="B28" s="32"/>
      <c r="C28" s="32"/>
      <c r="D28" s="33"/>
      <c r="E28" s="32"/>
      <c r="F28" s="32"/>
      <c r="G28" s="34"/>
      <c r="H28" s="33"/>
      <c r="I28" s="32"/>
    </row>
    <row r="29" spans="1:9" ht="12.75" hidden="1">
      <c r="A29" s="3"/>
      <c r="B29" s="32"/>
      <c r="C29" s="32"/>
      <c r="D29" s="33"/>
      <c r="E29" s="32"/>
      <c r="F29" s="32"/>
      <c r="G29" s="34"/>
      <c r="H29" s="33"/>
      <c r="I29" s="32"/>
    </row>
    <row r="30" spans="1:9" ht="12.75" hidden="1">
      <c r="A30" s="3"/>
      <c r="B30" s="32"/>
      <c r="C30" s="32"/>
      <c r="D30" s="33"/>
      <c r="E30" s="32"/>
      <c r="F30" s="32"/>
      <c r="G30" s="34"/>
      <c r="H30" s="33"/>
      <c r="I30" s="32"/>
    </row>
    <row r="31" spans="1:9" ht="12.75" hidden="1">
      <c r="A31" s="3"/>
      <c r="B31" s="32"/>
      <c r="C31" s="32"/>
      <c r="D31" s="33"/>
      <c r="E31" s="32"/>
      <c r="F31" s="32"/>
      <c r="G31" s="34"/>
      <c r="H31" s="33"/>
      <c r="I31" s="32"/>
    </row>
    <row r="32" spans="1:9" ht="12.75" hidden="1">
      <c r="A32" s="3"/>
      <c r="B32" s="32"/>
      <c r="C32" s="32"/>
      <c r="D32" s="33"/>
      <c r="E32" s="32"/>
      <c r="F32" s="32"/>
      <c r="G32" s="34"/>
      <c r="H32" s="33"/>
      <c r="I32" s="32"/>
    </row>
    <row r="33" spans="1:9" ht="12.75" hidden="1">
      <c r="A33" s="3"/>
      <c r="B33" s="32"/>
      <c r="C33" s="32"/>
      <c r="D33" s="33"/>
      <c r="E33" s="32"/>
      <c r="F33" s="32"/>
      <c r="G33" s="34"/>
      <c r="H33" s="33"/>
      <c r="I33" s="32"/>
    </row>
    <row r="34" spans="1:9" ht="12.75" hidden="1">
      <c r="A34" s="3"/>
      <c r="B34" s="32"/>
      <c r="C34" s="32"/>
      <c r="D34" s="33"/>
      <c r="E34" s="32"/>
      <c r="F34" s="32"/>
      <c r="G34" s="34"/>
      <c r="H34" s="33"/>
      <c r="I34" s="32"/>
    </row>
    <row r="35" spans="1:9" ht="12.75" hidden="1">
      <c r="A35" s="3"/>
      <c r="B35" s="32"/>
      <c r="C35" s="32"/>
      <c r="D35" s="33"/>
      <c r="E35" s="32"/>
      <c r="F35" s="32"/>
      <c r="G35" s="34"/>
      <c r="H35" s="33"/>
      <c r="I35" s="32"/>
    </row>
    <row r="36" spans="1:9" ht="12.75" hidden="1">
      <c r="A36" s="3"/>
      <c r="B36" s="32"/>
      <c r="C36" s="32"/>
      <c r="D36" s="33"/>
      <c r="E36" s="32"/>
      <c r="F36" s="32"/>
      <c r="G36" s="34"/>
      <c r="H36" s="33"/>
      <c r="I36" s="32"/>
    </row>
    <row r="37" spans="1:9" ht="12.75" hidden="1">
      <c r="A37" s="3"/>
      <c r="B37" s="32"/>
      <c r="C37" s="32"/>
      <c r="D37" s="33"/>
      <c r="E37" s="32"/>
      <c r="F37" s="32"/>
      <c r="G37" s="34"/>
      <c r="H37" s="33"/>
      <c r="I37" s="32"/>
    </row>
    <row r="38" spans="1:9" ht="12.75" hidden="1">
      <c r="A38" s="3"/>
      <c r="B38" s="32"/>
      <c r="C38" s="32"/>
      <c r="D38" s="33"/>
      <c r="E38" s="32"/>
      <c r="F38" s="32"/>
      <c r="G38" s="34"/>
      <c r="H38" s="33"/>
      <c r="I38" s="32"/>
    </row>
    <row r="39" spans="1:9" ht="12.75" hidden="1">
      <c r="A39" s="3"/>
      <c r="B39" s="32"/>
      <c r="C39" s="32"/>
      <c r="D39" s="33"/>
      <c r="E39" s="32"/>
      <c r="F39" s="32"/>
      <c r="G39" s="34"/>
      <c r="H39" s="33"/>
      <c r="I39" s="32"/>
    </row>
    <row r="40" spans="1:9" ht="12.75" hidden="1">
      <c r="A40" s="3"/>
      <c r="B40" s="32"/>
      <c r="C40" s="32"/>
      <c r="D40" s="33"/>
      <c r="E40" s="32"/>
      <c r="F40" s="32"/>
      <c r="G40" s="34"/>
      <c r="H40" s="33"/>
      <c r="I40" s="32"/>
    </row>
    <row r="41" spans="1:9" ht="12.75" hidden="1">
      <c r="A41" s="3"/>
      <c r="B41" s="32"/>
      <c r="C41" s="32"/>
      <c r="D41" s="33"/>
      <c r="E41" s="32"/>
      <c r="F41" s="32"/>
      <c r="G41" s="34"/>
      <c r="H41" s="33"/>
      <c r="I41" s="32"/>
    </row>
    <row r="42" spans="1:9" ht="12.75" hidden="1">
      <c r="A42" s="3"/>
      <c r="B42" s="32"/>
      <c r="C42" s="32"/>
      <c r="D42" s="33"/>
      <c r="E42" s="32"/>
      <c r="F42" s="32"/>
      <c r="G42" s="34"/>
      <c r="H42" s="33"/>
      <c r="I42" s="32"/>
    </row>
    <row r="43" spans="1:9" ht="12.75" hidden="1">
      <c r="A43" s="3"/>
      <c r="B43" s="32"/>
      <c r="C43" s="32"/>
      <c r="D43" s="33"/>
      <c r="E43" s="32"/>
      <c r="F43" s="32"/>
      <c r="G43" s="34"/>
      <c r="H43" s="33"/>
      <c r="I43" s="32"/>
    </row>
    <row r="44" spans="1:9" ht="12.75" hidden="1">
      <c r="A44" s="3"/>
      <c r="B44" s="32"/>
      <c r="C44" s="32"/>
      <c r="D44" s="33"/>
      <c r="E44" s="32"/>
      <c r="F44" s="32"/>
      <c r="G44" s="34"/>
      <c r="H44" s="33"/>
      <c r="I44" s="32"/>
    </row>
    <row r="45" s="2" customFormat="1" ht="18" hidden="1">
      <c r="A45" s="1" t="s">
        <v>37</v>
      </c>
    </row>
    <row r="46" ht="12.75" hidden="1">
      <c r="A46" s="3"/>
    </row>
    <row r="47" ht="12.75" hidden="1">
      <c r="A47" s="35" t="s">
        <v>0</v>
      </c>
    </row>
    <row r="48" ht="12.75" hidden="1">
      <c r="A48" s="3"/>
    </row>
    <row r="49" spans="1:16" ht="16.5" thickBot="1">
      <c r="A49" s="261" t="s">
        <v>38</v>
      </c>
      <c r="E49" s="32"/>
      <c r="F49" s="32"/>
      <c r="P49" s="32"/>
    </row>
    <row r="50" spans="1:21" ht="13.5" thickBot="1">
      <c r="A50" s="78"/>
      <c r="B50" s="5"/>
      <c r="C50" s="82" t="s">
        <v>3</v>
      </c>
      <c r="D50" s="82"/>
      <c r="E50" s="82"/>
      <c r="F50" s="82"/>
      <c r="G50" s="82"/>
      <c r="H50" s="82"/>
      <c r="I50" s="106"/>
      <c r="J50" s="318" t="s">
        <v>4</v>
      </c>
      <c r="K50" s="319"/>
      <c r="L50" s="320"/>
      <c r="M50" s="134" t="s">
        <v>5</v>
      </c>
      <c r="N50" s="82" t="s">
        <v>6</v>
      </c>
      <c r="O50" s="82"/>
      <c r="P50" s="82"/>
      <c r="Q50" s="82"/>
      <c r="R50" s="82"/>
      <c r="S50" s="82"/>
      <c r="T50" s="135"/>
      <c r="U50" s="83"/>
    </row>
    <row r="51" spans="1:21" ht="12.75">
      <c r="A51" s="79" t="s">
        <v>7</v>
      </c>
      <c r="B51" s="6" t="s">
        <v>8</v>
      </c>
      <c r="C51" s="125" t="s">
        <v>88</v>
      </c>
      <c r="D51" s="126"/>
      <c r="E51" s="315" t="s">
        <v>166</v>
      </c>
      <c r="F51" s="316"/>
      <c r="G51" s="317"/>
      <c r="H51" s="127" t="s">
        <v>90</v>
      </c>
      <c r="I51" s="128"/>
      <c r="J51" s="129"/>
      <c r="K51" s="130" t="s">
        <v>9</v>
      </c>
      <c r="L51" s="131"/>
      <c r="M51" s="132"/>
      <c r="N51" s="125" t="s">
        <v>91</v>
      </c>
      <c r="O51" s="133"/>
      <c r="P51" s="315" t="s">
        <v>166</v>
      </c>
      <c r="Q51" s="316"/>
      <c r="R51" s="316"/>
      <c r="S51" s="317"/>
      <c r="T51" s="127" t="s">
        <v>90</v>
      </c>
      <c r="U51" s="128"/>
    </row>
    <row r="52" spans="1:21" ht="12.75">
      <c r="A52" s="80"/>
      <c r="B52" s="8"/>
      <c r="C52" s="84" t="s">
        <v>174</v>
      </c>
      <c r="D52" s="85" t="s">
        <v>10</v>
      </c>
      <c r="E52" s="259" t="s">
        <v>89</v>
      </c>
      <c r="F52" s="86" t="s">
        <v>14</v>
      </c>
      <c r="G52" s="87" t="s">
        <v>10</v>
      </c>
      <c r="H52" s="85" t="s">
        <v>12</v>
      </c>
      <c r="I52" s="88" t="s">
        <v>13</v>
      </c>
      <c r="J52" s="107" t="s">
        <v>174</v>
      </c>
      <c r="K52" s="108" t="s">
        <v>174</v>
      </c>
      <c r="L52" s="109" t="s">
        <v>13</v>
      </c>
      <c r="M52" s="9" t="s">
        <v>14</v>
      </c>
      <c r="N52" s="118" t="s">
        <v>174</v>
      </c>
      <c r="O52" s="85" t="s">
        <v>10</v>
      </c>
      <c r="P52" s="257" t="s">
        <v>89</v>
      </c>
      <c r="Q52" s="86" t="s">
        <v>14</v>
      </c>
      <c r="R52" s="85" t="s">
        <v>10</v>
      </c>
      <c r="S52" s="123" t="s">
        <v>10</v>
      </c>
      <c r="T52" s="85" t="s">
        <v>12</v>
      </c>
      <c r="U52" s="88" t="s">
        <v>13</v>
      </c>
    </row>
    <row r="53" spans="1:21" ht="13.5" thickBot="1">
      <c r="A53" s="81"/>
      <c r="B53" s="11" t="s">
        <v>15</v>
      </c>
      <c r="C53" s="89">
        <v>2005</v>
      </c>
      <c r="D53" s="90" t="s">
        <v>16</v>
      </c>
      <c r="E53" s="260" t="s">
        <v>11</v>
      </c>
      <c r="F53" s="89" t="s">
        <v>174</v>
      </c>
      <c r="G53" s="92" t="s">
        <v>16</v>
      </c>
      <c r="H53" s="93" t="s">
        <v>173</v>
      </c>
      <c r="I53" s="94" t="s">
        <v>17</v>
      </c>
      <c r="J53" s="91">
        <v>2005</v>
      </c>
      <c r="K53" s="89">
        <v>2006</v>
      </c>
      <c r="L53" s="110" t="s">
        <v>17</v>
      </c>
      <c r="M53" s="12" t="s">
        <v>15</v>
      </c>
      <c r="N53" s="119">
        <v>2005</v>
      </c>
      <c r="O53" s="90" t="s">
        <v>16</v>
      </c>
      <c r="P53" s="258" t="s">
        <v>11</v>
      </c>
      <c r="Q53" s="89" t="s">
        <v>174</v>
      </c>
      <c r="R53" s="90" t="s">
        <v>16</v>
      </c>
      <c r="S53" s="92" t="s">
        <v>16</v>
      </c>
      <c r="T53" s="93" t="s">
        <v>173</v>
      </c>
      <c r="U53" s="94" t="s">
        <v>17</v>
      </c>
    </row>
    <row r="54" spans="1:21" s="17" customFormat="1" ht="12">
      <c r="A54" s="13"/>
      <c r="B54" s="14">
        <v>1</v>
      </c>
      <c r="C54" s="97">
        <v>2</v>
      </c>
      <c r="D54" s="16" t="s">
        <v>18</v>
      </c>
      <c r="E54" s="96">
        <v>4</v>
      </c>
      <c r="F54" s="97">
        <v>5</v>
      </c>
      <c r="G54" s="98" t="s">
        <v>19</v>
      </c>
      <c r="H54" s="16" t="s">
        <v>20</v>
      </c>
      <c r="I54" s="99" t="s">
        <v>21</v>
      </c>
      <c r="J54" s="96">
        <v>9</v>
      </c>
      <c r="K54" s="97">
        <v>10</v>
      </c>
      <c r="L54" s="97" t="s">
        <v>22</v>
      </c>
      <c r="M54" s="15">
        <v>12</v>
      </c>
      <c r="N54" s="97">
        <v>13</v>
      </c>
      <c r="O54" s="16" t="s">
        <v>23</v>
      </c>
      <c r="P54" s="96">
        <v>15</v>
      </c>
      <c r="Q54" s="97">
        <v>16</v>
      </c>
      <c r="R54" s="16" t="s">
        <v>24</v>
      </c>
      <c r="S54" s="116" t="s">
        <v>24</v>
      </c>
      <c r="T54" s="102" t="s">
        <v>25</v>
      </c>
      <c r="U54" s="103" t="s">
        <v>26</v>
      </c>
    </row>
    <row r="55" spans="1:21" ht="12.75">
      <c r="A55" s="18" t="s">
        <v>39</v>
      </c>
      <c r="B55" s="20"/>
      <c r="C55" s="21">
        <v>108923.08</v>
      </c>
      <c r="D55" s="22"/>
      <c r="E55" s="23">
        <v>115721.314</v>
      </c>
      <c r="F55" s="21">
        <v>110846.641</v>
      </c>
      <c r="G55" s="76">
        <f aca="true" t="shared" si="11" ref="G55:G69">F55/E55*100</f>
        <v>95.78757548501395</v>
      </c>
      <c r="H55" s="77">
        <f aca="true" t="shared" si="12" ref="H55:H69">F55/C55*100</f>
        <v>101.76598109418134</v>
      </c>
      <c r="I55" s="24">
        <f aca="true" t="shared" si="13" ref="I55:I92">F55-C55</f>
        <v>1923.5610000000015</v>
      </c>
      <c r="J55" s="23">
        <v>107.753</v>
      </c>
      <c r="K55" s="21">
        <v>261.201</v>
      </c>
      <c r="L55" s="25">
        <f aca="true" t="shared" si="14" ref="L55:L92">K55-J55</f>
        <v>153.44800000000004</v>
      </c>
      <c r="M55" s="112"/>
      <c r="N55" s="25">
        <f aca="true" t="shared" si="15" ref="N55:N92">SUM(C55+J55)</f>
        <v>109030.833</v>
      </c>
      <c r="O55" s="22" t="e">
        <f aca="true" t="shared" si="16" ref="O55:O63">N55/M55*100</f>
        <v>#DIV/0!</v>
      </c>
      <c r="P55" s="23">
        <v>116010.125</v>
      </c>
      <c r="Q55" s="25">
        <f>SUM(F55+K55)</f>
        <v>111107.842</v>
      </c>
      <c r="R55" s="115">
        <f aca="true" t="shared" si="17" ref="R55:R88">Q55/P55*100</f>
        <v>95.77426280680243</v>
      </c>
      <c r="S55" s="77">
        <f>Q55/P55*100</f>
        <v>95.77426280680243</v>
      </c>
      <c r="T55" s="104">
        <f>Q55/N55*100</f>
        <v>101.90497398107561</v>
      </c>
      <c r="U55" s="24">
        <f>Q55-N55</f>
        <v>2077.0090000000055</v>
      </c>
    </row>
    <row r="56" spans="1:21" ht="12.75">
      <c r="A56" s="18" t="s">
        <v>157</v>
      </c>
      <c r="B56" s="20"/>
      <c r="C56" s="21">
        <f>11544.911+27665.874</f>
        <v>39210.785</v>
      </c>
      <c r="D56" s="22"/>
      <c r="E56" s="23">
        <v>45834.695</v>
      </c>
      <c r="F56" s="21">
        <f>10733.514+32064.131</f>
        <v>42797.645000000004</v>
      </c>
      <c r="G56" s="76">
        <f t="shared" si="11"/>
        <v>93.37390594613973</v>
      </c>
      <c r="H56" s="77">
        <f t="shared" si="12"/>
        <v>109.14763629445316</v>
      </c>
      <c r="I56" s="24">
        <f t="shared" si="13"/>
        <v>3586.8600000000006</v>
      </c>
      <c r="J56" s="23">
        <v>0</v>
      </c>
      <c r="K56" s="21">
        <v>0</v>
      </c>
      <c r="L56" s="25">
        <f t="shared" si="14"/>
        <v>0</v>
      </c>
      <c r="M56" s="112"/>
      <c r="N56" s="25">
        <f t="shared" si="15"/>
        <v>39210.785</v>
      </c>
      <c r="O56" s="22" t="e">
        <f t="shared" si="16"/>
        <v>#DIV/0!</v>
      </c>
      <c r="P56" s="23">
        <v>45834.695</v>
      </c>
      <c r="Q56" s="25">
        <f aca="true" t="shared" si="18" ref="Q56:Q91">SUM(F56+K56)</f>
        <v>42797.645000000004</v>
      </c>
      <c r="R56" s="115">
        <f t="shared" si="17"/>
        <v>93.37390594613973</v>
      </c>
      <c r="S56" s="77">
        <f aca="true" t="shared" si="19" ref="S56:S94">Q56/P56*100</f>
        <v>93.37390594613973</v>
      </c>
      <c r="T56" s="104">
        <f aca="true" t="shared" si="20" ref="T56:T91">Q56/N56*100</f>
        <v>109.14763629445316</v>
      </c>
      <c r="U56" s="24">
        <f aca="true" t="shared" si="21" ref="U56:U94">Q56-N56</f>
        <v>3586.8600000000006</v>
      </c>
    </row>
    <row r="57" spans="1:21" ht="12.75">
      <c r="A57" s="18" t="s">
        <v>40</v>
      </c>
      <c r="B57" s="20"/>
      <c r="C57" s="21">
        <v>7997.697</v>
      </c>
      <c r="D57" s="22"/>
      <c r="E57" s="23">
        <v>7972.245</v>
      </c>
      <c r="F57" s="21">
        <v>8202.836</v>
      </c>
      <c r="G57" s="76">
        <f t="shared" si="11"/>
        <v>102.8924223979569</v>
      </c>
      <c r="H57" s="77">
        <f t="shared" si="12"/>
        <v>102.56497589243503</v>
      </c>
      <c r="I57" s="24">
        <f t="shared" si="13"/>
        <v>205.1389999999992</v>
      </c>
      <c r="J57" s="23">
        <v>0</v>
      </c>
      <c r="K57" s="21">
        <v>0</v>
      </c>
      <c r="L57" s="25">
        <f t="shared" si="14"/>
        <v>0</v>
      </c>
      <c r="M57" s="112"/>
      <c r="N57" s="25">
        <f t="shared" si="15"/>
        <v>7997.697</v>
      </c>
      <c r="O57" s="22" t="e">
        <f t="shared" si="16"/>
        <v>#DIV/0!</v>
      </c>
      <c r="P57" s="23">
        <v>7972.245</v>
      </c>
      <c r="Q57" s="25">
        <f t="shared" si="18"/>
        <v>8202.836</v>
      </c>
      <c r="R57" s="101">
        <f t="shared" si="17"/>
        <v>102.8924223979569</v>
      </c>
      <c r="S57" s="77">
        <f t="shared" si="19"/>
        <v>102.8924223979569</v>
      </c>
      <c r="T57" s="104">
        <f t="shared" si="20"/>
        <v>102.56497589243503</v>
      </c>
      <c r="U57" s="24">
        <f t="shared" si="21"/>
        <v>205.1389999999992</v>
      </c>
    </row>
    <row r="58" spans="1:21" ht="12.75">
      <c r="A58" s="18" t="s">
        <v>41</v>
      </c>
      <c r="B58" s="20"/>
      <c r="C58" s="21">
        <v>38127.898</v>
      </c>
      <c r="D58" s="22"/>
      <c r="E58" s="23">
        <v>39792.102</v>
      </c>
      <c r="F58" s="21">
        <v>39606.637</v>
      </c>
      <c r="G58" s="76">
        <f t="shared" si="11"/>
        <v>99.53391504675979</v>
      </c>
      <c r="H58" s="77">
        <f t="shared" si="12"/>
        <v>103.87836486553756</v>
      </c>
      <c r="I58" s="24">
        <f t="shared" si="13"/>
        <v>1478.7390000000014</v>
      </c>
      <c r="J58" s="23">
        <v>0</v>
      </c>
      <c r="K58" s="21">
        <v>0</v>
      </c>
      <c r="L58" s="25">
        <f t="shared" si="14"/>
        <v>0</v>
      </c>
      <c r="M58" s="112"/>
      <c r="N58" s="25">
        <f t="shared" si="15"/>
        <v>38127.898</v>
      </c>
      <c r="O58" s="22" t="e">
        <f t="shared" si="16"/>
        <v>#DIV/0!</v>
      </c>
      <c r="P58" s="23">
        <v>39792.102</v>
      </c>
      <c r="Q58" s="25">
        <f t="shared" si="18"/>
        <v>39606.637</v>
      </c>
      <c r="R58" s="101">
        <f t="shared" si="17"/>
        <v>99.53391504675979</v>
      </c>
      <c r="S58" s="77">
        <f t="shared" si="19"/>
        <v>99.53391504675979</v>
      </c>
      <c r="T58" s="104">
        <f t="shared" si="20"/>
        <v>103.87836486553756</v>
      </c>
      <c r="U58" s="24">
        <f t="shared" si="21"/>
        <v>1478.7390000000014</v>
      </c>
    </row>
    <row r="59" spans="1:21" ht="12.75">
      <c r="A59" s="18" t="s">
        <v>42</v>
      </c>
      <c r="B59" s="20"/>
      <c r="C59" s="21">
        <v>8841.015</v>
      </c>
      <c r="D59" s="22"/>
      <c r="E59" s="23">
        <v>11011.263</v>
      </c>
      <c r="F59" s="21">
        <f>9855.243+321.806</f>
        <v>10177.049</v>
      </c>
      <c r="G59" s="76">
        <f t="shared" si="11"/>
        <v>92.42399350555881</v>
      </c>
      <c r="H59" s="77">
        <f t="shared" si="12"/>
        <v>115.11177166875073</v>
      </c>
      <c r="I59" s="24">
        <f t="shared" si="13"/>
        <v>1336.0340000000015</v>
      </c>
      <c r="J59" s="23">
        <v>32.081</v>
      </c>
      <c r="K59" s="21">
        <f>132.583+1.582</f>
        <v>134.165</v>
      </c>
      <c r="L59" s="25">
        <f t="shared" si="14"/>
        <v>102.08399999999999</v>
      </c>
      <c r="M59" s="112"/>
      <c r="N59" s="25">
        <f t="shared" si="15"/>
        <v>8873.096</v>
      </c>
      <c r="O59" s="22" t="e">
        <f t="shared" si="16"/>
        <v>#DIV/0!</v>
      </c>
      <c r="P59" s="23">
        <v>11144.448</v>
      </c>
      <c r="Q59" s="25">
        <f t="shared" si="18"/>
        <v>10311.214000000002</v>
      </c>
      <c r="R59" s="101">
        <f t="shared" si="17"/>
        <v>92.52332641329566</v>
      </c>
      <c r="S59" s="77">
        <f t="shared" si="19"/>
        <v>92.52332641329566</v>
      </c>
      <c r="T59" s="104">
        <f t="shared" si="20"/>
        <v>116.20762358482317</v>
      </c>
      <c r="U59" s="24">
        <f t="shared" si="21"/>
        <v>1438.1180000000022</v>
      </c>
    </row>
    <row r="60" spans="1:21" ht="12.75">
      <c r="A60" s="18" t="s">
        <v>43</v>
      </c>
      <c r="B60" s="20"/>
      <c r="C60" s="21">
        <v>146.309</v>
      </c>
      <c r="D60" s="22"/>
      <c r="E60" s="23">
        <v>250</v>
      </c>
      <c r="F60" s="21">
        <v>169.626</v>
      </c>
      <c r="G60" s="76">
        <f t="shared" si="11"/>
        <v>67.8504</v>
      </c>
      <c r="H60" s="77">
        <f t="shared" si="12"/>
        <v>115.93681865093741</v>
      </c>
      <c r="I60" s="24">
        <f t="shared" si="13"/>
        <v>23.317000000000007</v>
      </c>
      <c r="J60" s="23">
        <v>34.02</v>
      </c>
      <c r="K60" s="21">
        <v>0</v>
      </c>
      <c r="L60" s="25">
        <f t="shared" si="14"/>
        <v>-34.02</v>
      </c>
      <c r="M60" s="112"/>
      <c r="N60" s="25">
        <f t="shared" si="15"/>
        <v>180.329</v>
      </c>
      <c r="O60" s="22" t="e">
        <f t="shared" si="16"/>
        <v>#DIV/0!</v>
      </c>
      <c r="P60" s="23">
        <v>250</v>
      </c>
      <c r="Q60" s="25">
        <f t="shared" si="18"/>
        <v>169.626</v>
      </c>
      <c r="R60" s="101">
        <f t="shared" si="17"/>
        <v>67.8504</v>
      </c>
      <c r="S60" s="77">
        <f t="shared" si="19"/>
        <v>67.8504</v>
      </c>
      <c r="T60" s="104">
        <f t="shared" si="20"/>
        <v>94.06473723028465</v>
      </c>
      <c r="U60" s="24">
        <f t="shared" si="21"/>
        <v>-10.703000000000003</v>
      </c>
    </row>
    <row r="61" spans="1:21" ht="12.75">
      <c r="A61" s="18" t="s">
        <v>44</v>
      </c>
      <c r="B61" s="20"/>
      <c r="C61" s="21">
        <f>1144.293+8.38+7346.984+68.68</f>
        <v>8568.337000000001</v>
      </c>
      <c r="D61" s="22"/>
      <c r="E61" s="23">
        <v>2721.286</v>
      </c>
      <c r="F61" s="21">
        <f>721.108+2095.963+48.23</f>
        <v>2865.301</v>
      </c>
      <c r="G61" s="76">
        <f t="shared" si="11"/>
        <v>105.29216701221407</v>
      </c>
      <c r="H61" s="77">
        <f t="shared" si="12"/>
        <v>33.44057312404962</v>
      </c>
      <c r="I61" s="24">
        <f t="shared" si="13"/>
        <v>-5703.036000000002</v>
      </c>
      <c r="J61" s="23">
        <f>35.9+1.5</f>
        <v>37.4</v>
      </c>
      <c r="K61" s="21">
        <f>90.483+24.419</f>
        <v>114.902</v>
      </c>
      <c r="L61" s="25">
        <f t="shared" si="14"/>
        <v>77.50200000000001</v>
      </c>
      <c r="M61" s="112"/>
      <c r="N61" s="25">
        <f t="shared" si="15"/>
        <v>8605.737000000001</v>
      </c>
      <c r="O61" s="22" t="e">
        <f t="shared" si="16"/>
        <v>#DIV/0!</v>
      </c>
      <c r="P61" s="23">
        <v>2861.728</v>
      </c>
      <c r="Q61" s="25">
        <f t="shared" si="18"/>
        <v>2980.203</v>
      </c>
      <c r="R61" s="101">
        <f t="shared" si="17"/>
        <v>104.13998115823726</v>
      </c>
      <c r="S61" s="77">
        <f t="shared" si="19"/>
        <v>104.13998115823726</v>
      </c>
      <c r="T61" s="104">
        <f t="shared" si="20"/>
        <v>34.63042154321007</v>
      </c>
      <c r="U61" s="24">
        <f t="shared" si="21"/>
        <v>-5625.5340000000015</v>
      </c>
    </row>
    <row r="62" spans="1:21" ht="12.75">
      <c r="A62" s="18" t="s">
        <v>156</v>
      </c>
      <c r="B62" s="20"/>
      <c r="C62" s="21">
        <f>3521.455+741.276</f>
        <v>4262.731</v>
      </c>
      <c r="D62" s="22"/>
      <c r="E62" s="23">
        <v>5548.11</v>
      </c>
      <c r="F62" s="21">
        <f>4062.258+952.234</f>
        <v>5014.492</v>
      </c>
      <c r="G62" s="76">
        <f t="shared" si="11"/>
        <v>90.38198593755352</v>
      </c>
      <c r="H62" s="77">
        <f t="shared" si="12"/>
        <v>117.63566596156313</v>
      </c>
      <c r="I62" s="24">
        <f t="shared" si="13"/>
        <v>751.7610000000004</v>
      </c>
      <c r="J62" s="23">
        <f>3.592+0.66</f>
        <v>4.252</v>
      </c>
      <c r="K62" s="21">
        <f>10.293+0.641</f>
        <v>10.934</v>
      </c>
      <c r="L62" s="25">
        <f t="shared" si="14"/>
        <v>6.6819999999999995</v>
      </c>
      <c r="M62" s="112"/>
      <c r="N62" s="25">
        <f t="shared" si="15"/>
        <v>4266.983</v>
      </c>
      <c r="O62" s="22" t="e">
        <f t="shared" si="16"/>
        <v>#DIV/0!</v>
      </c>
      <c r="P62" s="23">
        <v>5561.239</v>
      </c>
      <c r="Q62" s="25">
        <f t="shared" si="18"/>
        <v>5025.426</v>
      </c>
      <c r="R62" s="101">
        <f t="shared" si="17"/>
        <v>90.36522257000644</v>
      </c>
      <c r="S62" s="77">
        <f t="shared" si="19"/>
        <v>90.36522257000644</v>
      </c>
      <c r="T62" s="104">
        <f t="shared" si="20"/>
        <v>117.77468998587528</v>
      </c>
      <c r="U62" s="24">
        <f t="shared" si="21"/>
        <v>758.4430000000002</v>
      </c>
    </row>
    <row r="63" spans="1:21" ht="12.75">
      <c r="A63" s="18" t="s">
        <v>45</v>
      </c>
      <c r="B63" s="20"/>
      <c r="C63" s="21">
        <v>16470.495</v>
      </c>
      <c r="D63" s="22"/>
      <c r="E63" s="23">
        <v>25066.847</v>
      </c>
      <c r="F63" s="21">
        <v>21299.894</v>
      </c>
      <c r="G63" s="76">
        <f t="shared" si="11"/>
        <v>84.97237007909291</v>
      </c>
      <c r="H63" s="77">
        <f t="shared" si="12"/>
        <v>129.32151705215904</v>
      </c>
      <c r="I63" s="24">
        <f t="shared" si="13"/>
        <v>4829.399000000001</v>
      </c>
      <c r="J63" s="23">
        <v>64.025</v>
      </c>
      <c r="K63" s="21">
        <v>10.6</v>
      </c>
      <c r="L63" s="25">
        <f t="shared" si="14"/>
        <v>-53.425000000000004</v>
      </c>
      <c r="M63" s="112"/>
      <c r="N63" s="25">
        <f t="shared" si="15"/>
        <v>16534.52</v>
      </c>
      <c r="O63" s="22" t="e">
        <f t="shared" si="16"/>
        <v>#DIV/0!</v>
      </c>
      <c r="P63" s="23">
        <v>25081.847</v>
      </c>
      <c r="Q63" s="25">
        <f t="shared" si="18"/>
        <v>21310.494</v>
      </c>
      <c r="R63" s="101">
        <f t="shared" si="17"/>
        <v>84.96381466643983</v>
      </c>
      <c r="S63" s="77">
        <f t="shared" si="19"/>
        <v>84.96381466643983</v>
      </c>
      <c r="T63" s="104">
        <f t="shared" si="20"/>
        <v>128.88486632814255</v>
      </c>
      <c r="U63" s="24">
        <f t="shared" si="21"/>
        <v>4775.973999999998</v>
      </c>
    </row>
    <row r="64" spans="1:21" ht="12.75">
      <c r="A64" s="18" t="s">
        <v>46</v>
      </c>
      <c r="B64" s="20"/>
      <c r="C64" s="21">
        <v>29753.68</v>
      </c>
      <c r="D64" s="22"/>
      <c r="E64" s="23">
        <v>34065.259</v>
      </c>
      <c r="F64" s="21">
        <v>31402.437</v>
      </c>
      <c r="G64" s="76">
        <f t="shared" si="11"/>
        <v>92.18317406598906</v>
      </c>
      <c r="H64" s="77">
        <f t="shared" si="12"/>
        <v>105.54135488450504</v>
      </c>
      <c r="I64" s="24">
        <f t="shared" si="13"/>
        <v>1648.7570000000014</v>
      </c>
      <c r="J64" s="23">
        <v>37.104</v>
      </c>
      <c r="K64" s="21">
        <v>1342.65</v>
      </c>
      <c r="L64" s="25">
        <f t="shared" si="14"/>
        <v>1305.546</v>
      </c>
      <c r="M64" s="112"/>
      <c r="N64" s="25">
        <f t="shared" si="15"/>
        <v>29790.784</v>
      </c>
      <c r="O64" s="22"/>
      <c r="P64" s="23">
        <v>35352.097</v>
      </c>
      <c r="Q64" s="25">
        <f t="shared" si="18"/>
        <v>32745.087000000003</v>
      </c>
      <c r="R64" s="101">
        <f t="shared" si="17"/>
        <v>92.62558597301881</v>
      </c>
      <c r="S64" s="77">
        <f t="shared" si="19"/>
        <v>92.62558597301881</v>
      </c>
      <c r="T64" s="104">
        <f t="shared" si="20"/>
        <v>109.91683535418204</v>
      </c>
      <c r="U64" s="24">
        <f t="shared" si="21"/>
        <v>2954.3030000000035</v>
      </c>
    </row>
    <row r="65" spans="1:21" ht="12.75">
      <c r="A65" s="18" t="s">
        <v>47</v>
      </c>
      <c r="B65" s="20"/>
      <c r="C65" s="21">
        <v>10932.172</v>
      </c>
      <c r="D65" s="22"/>
      <c r="E65" s="23">
        <v>14840</v>
      </c>
      <c r="F65" s="21">
        <v>12406.883</v>
      </c>
      <c r="G65" s="76">
        <f t="shared" si="11"/>
        <v>83.60433288409703</v>
      </c>
      <c r="H65" s="77">
        <f t="shared" si="12"/>
        <v>113.48964322917713</v>
      </c>
      <c r="I65" s="24">
        <f t="shared" si="13"/>
        <v>1474.7109999999993</v>
      </c>
      <c r="J65" s="23">
        <v>11.564</v>
      </c>
      <c r="K65" s="21">
        <v>8.151</v>
      </c>
      <c r="L65" s="25">
        <f t="shared" si="14"/>
        <v>-3.4130000000000003</v>
      </c>
      <c r="M65" s="112"/>
      <c r="N65" s="25">
        <f t="shared" si="15"/>
        <v>10943.736</v>
      </c>
      <c r="O65" s="22"/>
      <c r="P65" s="23">
        <v>14849.475</v>
      </c>
      <c r="Q65" s="25">
        <f t="shared" si="18"/>
        <v>12415.034</v>
      </c>
      <c r="R65" s="101">
        <f t="shared" si="17"/>
        <v>83.60587832229758</v>
      </c>
      <c r="S65" s="77">
        <f t="shared" si="19"/>
        <v>83.60587832229758</v>
      </c>
      <c r="T65" s="104">
        <f t="shared" si="20"/>
        <v>113.44420223587264</v>
      </c>
      <c r="U65" s="24">
        <f t="shared" si="21"/>
        <v>1471.2979999999989</v>
      </c>
    </row>
    <row r="66" spans="1:21" ht="12.75" hidden="1">
      <c r="A66" s="18" t="s">
        <v>48</v>
      </c>
      <c r="B66" s="20"/>
      <c r="C66" s="21"/>
      <c r="D66" s="22"/>
      <c r="E66" s="23"/>
      <c r="F66" s="21"/>
      <c r="G66" s="76" t="e">
        <f t="shared" si="11"/>
        <v>#DIV/0!</v>
      </c>
      <c r="H66" s="77" t="e">
        <f t="shared" si="12"/>
        <v>#DIV/0!</v>
      </c>
      <c r="I66" s="24">
        <f t="shared" si="13"/>
        <v>0</v>
      </c>
      <c r="J66" s="23"/>
      <c r="K66" s="21"/>
      <c r="L66" s="25">
        <f t="shared" si="14"/>
        <v>0</v>
      </c>
      <c r="M66" s="112"/>
      <c r="N66" s="25">
        <f t="shared" si="15"/>
        <v>0</v>
      </c>
      <c r="O66" s="22"/>
      <c r="P66" s="23"/>
      <c r="Q66" s="25">
        <f t="shared" si="18"/>
        <v>0</v>
      </c>
      <c r="R66" s="101" t="e">
        <f t="shared" si="17"/>
        <v>#DIV/0!</v>
      </c>
      <c r="S66" s="77" t="e">
        <f t="shared" si="19"/>
        <v>#DIV/0!</v>
      </c>
      <c r="T66" s="104" t="e">
        <f t="shared" si="20"/>
        <v>#DIV/0!</v>
      </c>
      <c r="U66" s="24">
        <f t="shared" si="21"/>
        <v>0</v>
      </c>
    </row>
    <row r="67" spans="1:21" ht="12.75" hidden="1">
      <c r="A67" s="18" t="s">
        <v>49</v>
      </c>
      <c r="B67" s="20"/>
      <c r="C67" s="21"/>
      <c r="D67" s="22"/>
      <c r="E67" s="23"/>
      <c r="F67" s="21"/>
      <c r="G67" s="76" t="e">
        <f t="shared" si="11"/>
        <v>#DIV/0!</v>
      </c>
      <c r="H67" s="77" t="e">
        <f t="shared" si="12"/>
        <v>#DIV/0!</v>
      </c>
      <c r="I67" s="24">
        <f t="shared" si="13"/>
        <v>0</v>
      </c>
      <c r="J67" s="23"/>
      <c r="K67" s="21"/>
      <c r="L67" s="25">
        <f t="shared" si="14"/>
        <v>0</v>
      </c>
      <c r="M67" s="112"/>
      <c r="N67" s="25">
        <f t="shared" si="15"/>
        <v>0</v>
      </c>
      <c r="O67" s="22"/>
      <c r="P67" s="23"/>
      <c r="Q67" s="25">
        <f t="shared" si="18"/>
        <v>0</v>
      </c>
      <c r="R67" s="101" t="e">
        <f t="shared" si="17"/>
        <v>#DIV/0!</v>
      </c>
      <c r="S67" s="77" t="e">
        <f t="shared" si="19"/>
        <v>#DIV/0!</v>
      </c>
      <c r="T67" s="104" t="e">
        <f t="shared" si="20"/>
        <v>#DIV/0!</v>
      </c>
      <c r="U67" s="24">
        <f t="shared" si="21"/>
        <v>0</v>
      </c>
    </row>
    <row r="68" spans="1:21" ht="12.75">
      <c r="A68" s="18" t="s">
        <v>48</v>
      </c>
      <c r="B68" s="20"/>
      <c r="C68" s="21">
        <v>428.99</v>
      </c>
      <c r="D68" s="22"/>
      <c r="E68" s="23">
        <v>595.85</v>
      </c>
      <c r="F68" s="21">
        <v>502.57</v>
      </c>
      <c r="G68" s="76">
        <f t="shared" si="11"/>
        <v>84.34505328522278</v>
      </c>
      <c r="H68" s="77">
        <f t="shared" si="12"/>
        <v>117.15191496305275</v>
      </c>
      <c r="I68" s="24">
        <f t="shared" si="13"/>
        <v>73.57999999999998</v>
      </c>
      <c r="J68" s="23">
        <v>0</v>
      </c>
      <c r="K68" s="21">
        <v>0</v>
      </c>
      <c r="L68" s="25">
        <f t="shared" si="14"/>
        <v>0</v>
      </c>
      <c r="M68" s="112"/>
      <c r="N68" s="25">
        <f t="shared" si="15"/>
        <v>428.99</v>
      </c>
      <c r="O68" s="22"/>
      <c r="P68" s="23">
        <v>595.85</v>
      </c>
      <c r="Q68" s="25">
        <f t="shared" si="18"/>
        <v>502.57</v>
      </c>
      <c r="R68" s="101">
        <f t="shared" si="17"/>
        <v>84.34505328522278</v>
      </c>
      <c r="S68" s="77">
        <f t="shared" si="19"/>
        <v>84.34505328522278</v>
      </c>
      <c r="T68" s="104">
        <f t="shared" si="20"/>
        <v>117.15191496305275</v>
      </c>
      <c r="U68" s="24">
        <f t="shared" si="21"/>
        <v>73.57999999999998</v>
      </c>
    </row>
    <row r="69" spans="1:21" ht="12.75">
      <c r="A69" s="18" t="s">
        <v>93</v>
      </c>
      <c r="B69" s="20"/>
      <c r="C69" s="21">
        <v>29.325</v>
      </c>
      <c r="D69" s="22"/>
      <c r="E69" s="23">
        <v>33.157</v>
      </c>
      <c r="F69" s="21">
        <v>32.656</v>
      </c>
      <c r="G69" s="76">
        <f t="shared" si="11"/>
        <v>98.48900684621648</v>
      </c>
      <c r="H69" s="77">
        <f t="shared" si="12"/>
        <v>111.35890878090366</v>
      </c>
      <c r="I69" s="24">
        <f t="shared" si="13"/>
        <v>3.3309999999999995</v>
      </c>
      <c r="J69" s="23">
        <v>0</v>
      </c>
      <c r="K69" s="21">
        <v>0</v>
      </c>
      <c r="L69" s="25">
        <f t="shared" si="14"/>
        <v>0</v>
      </c>
      <c r="M69" s="112"/>
      <c r="N69" s="25">
        <f t="shared" si="15"/>
        <v>29.325</v>
      </c>
      <c r="O69" s="22"/>
      <c r="P69" s="23">
        <v>33.157</v>
      </c>
      <c r="Q69" s="25">
        <f t="shared" si="18"/>
        <v>32.656</v>
      </c>
      <c r="R69" s="101">
        <f t="shared" si="17"/>
        <v>98.48900684621648</v>
      </c>
      <c r="S69" s="77">
        <f t="shared" si="19"/>
        <v>98.48900684621648</v>
      </c>
      <c r="T69" s="104">
        <f t="shared" si="20"/>
        <v>111.35890878090366</v>
      </c>
      <c r="U69" s="24">
        <f t="shared" si="21"/>
        <v>3.3309999999999995</v>
      </c>
    </row>
    <row r="70" spans="1:21" ht="12.75">
      <c r="A70" s="18" t="s">
        <v>50</v>
      </c>
      <c r="B70" s="20"/>
      <c r="C70" s="21">
        <v>60890.988</v>
      </c>
      <c r="D70" s="22"/>
      <c r="E70" s="23">
        <v>65522.374</v>
      </c>
      <c r="F70" s="21">
        <v>57793.073</v>
      </c>
      <c r="G70" s="76">
        <f aca="true" t="shared" si="22" ref="G70:G84">F70/E70*100</f>
        <v>88.20356997443346</v>
      </c>
      <c r="H70" s="77">
        <f aca="true" t="shared" si="23" ref="H70:H84">F70/C70*100</f>
        <v>94.91235878780617</v>
      </c>
      <c r="I70" s="24">
        <f t="shared" si="13"/>
        <v>-3097.915000000001</v>
      </c>
      <c r="J70" s="23">
        <v>56.875</v>
      </c>
      <c r="K70" s="21">
        <v>89.89</v>
      </c>
      <c r="L70" s="25">
        <f t="shared" si="14"/>
        <v>33.015</v>
      </c>
      <c r="M70" s="112"/>
      <c r="N70" s="25">
        <f t="shared" si="15"/>
        <v>60947.863</v>
      </c>
      <c r="O70" s="22"/>
      <c r="P70" s="23">
        <f>65649.944-149*1.37</f>
        <v>65445.814000000006</v>
      </c>
      <c r="Q70" s="25">
        <f t="shared" si="18"/>
        <v>57882.962999999996</v>
      </c>
      <c r="R70" s="101">
        <f t="shared" si="17"/>
        <v>88.44410278096623</v>
      </c>
      <c r="S70" s="77">
        <f t="shared" si="19"/>
        <v>88.44410278096623</v>
      </c>
      <c r="T70" s="104">
        <f t="shared" si="20"/>
        <v>94.97127569509696</v>
      </c>
      <c r="U70" s="24">
        <f t="shared" si="21"/>
        <v>-3064.9000000000015</v>
      </c>
    </row>
    <row r="71" spans="1:21" ht="12.75">
      <c r="A71" s="18" t="s">
        <v>51</v>
      </c>
      <c r="B71" s="20"/>
      <c r="C71" s="21">
        <f>356.078+1013.323</f>
        <v>1369.4009999999998</v>
      </c>
      <c r="D71" s="22"/>
      <c r="E71" s="23">
        <v>1320.102</v>
      </c>
      <c r="F71" s="21">
        <f>293.136+931.125</f>
        <v>1224.261</v>
      </c>
      <c r="G71" s="76">
        <f t="shared" si="22"/>
        <v>92.7398791911534</v>
      </c>
      <c r="H71" s="77">
        <f t="shared" si="23"/>
        <v>89.40120534452656</v>
      </c>
      <c r="I71" s="24">
        <f t="shared" si="13"/>
        <v>-145.13999999999987</v>
      </c>
      <c r="J71" s="23">
        <v>1.603</v>
      </c>
      <c r="K71" s="21">
        <v>1.186</v>
      </c>
      <c r="L71" s="25">
        <f t="shared" si="14"/>
        <v>-0.41700000000000004</v>
      </c>
      <c r="M71" s="112"/>
      <c r="N71" s="25">
        <f t="shared" si="15"/>
        <v>1371.004</v>
      </c>
      <c r="O71" s="22"/>
      <c r="P71" s="23">
        <v>1321.202</v>
      </c>
      <c r="Q71" s="25">
        <f t="shared" si="18"/>
        <v>1225.447</v>
      </c>
      <c r="R71" s="101">
        <f t="shared" si="17"/>
        <v>92.75243301175746</v>
      </c>
      <c r="S71" s="77">
        <f t="shared" si="19"/>
        <v>92.75243301175746</v>
      </c>
      <c r="T71" s="104">
        <f t="shared" si="20"/>
        <v>89.3831819600818</v>
      </c>
      <c r="U71" s="24">
        <f t="shared" si="21"/>
        <v>-145.55700000000002</v>
      </c>
    </row>
    <row r="72" spans="1:21" ht="12.75">
      <c r="A72" s="18" t="s">
        <v>52</v>
      </c>
      <c r="B72" s="20"/>
      <c r="C72" s="21">
        <v>1491.246</v>
      </c>
      <c r="D72" s="22"/>
      <c r="E72" s="23">
        <v>1550</v>
      </c>
      <c r="F72" s="21">
        <v>1132.459</v>
      </c>
      <c r="G72" s="76">
        <f t="shared" si="22"/>
        <v>73.06187096774194</v>
      </c>
      <c r="H72" s="77">
        <f t="shared" si="23"/>
        <v>75.94045516299792</v>
      </c>
      <c r="I72" s="24">
        <f t="shared" si="13"/>
        <v>-358.78700000000003</v>
      </c>
      <c r="J72" s="23">
        <v>0</v>
      </c>
      <c r="K72" s="21">
        <v>0</v>
      </c>
      <c r="L72" s="25">
        <f t="shared" si="14"/>
        <v>0</v>
      </c>
      <c r="M72" s="112"/>
      <c r="N72" s="25">
        <f t="shared" si="15"/>
        <v>1491.246</v>
      </c>
      <c r="O72" s="22"/>
      <c r="P72" s="23">
        <v>1550</v>
      </c>
      <c r="Q72" s="25">
        <f t="shared" si="18"/>
        <v>1132.459</v>
      </c>
      <c r="R72" s="101">
        <f t="shared" si="17"/>
        <v>73.06187096774194</v>
      </c>
      <c r="S72" s="77">
        <f t="shared" si="19"/>
        <v>73.06187096774194</v>
      </c>
      <c r="T72" s="104">
        <f t="shared" si="20"/>
        <v>75.94045516299792</v>
      </c>
      <c r="U72" s="24">
        <f t="shared" si="21"/>
        <v>-358.78700000000003</v>
      </c>
    </row>
    <row r="73" spans="1:21" ht="12.75">
      <c r="A73" s="18" t="s">
        <v>53</v>
      </c>
      <c r="B73" s="20"/>
      <c r="C73" s="21">
        <f>1102.237+6783.334+15583.334</f>
        <v>23468.905</v>
      </c>
      <c r="D73" s="22"/>
      <c r="E73" s="23">
        <v>25858.058</v>
      </c>
      <c r="F73" s="21">
        <f>1313.975+6783.333+15583.333</f>
        <v>23680.641</v>
      </c>
      <c r="G73" s="76">
        <f t="shared" si="22"/>
        <v>91.57934830218109</v>
      </c>
      <c r="H73" s="77">
        <f t="shared" si="23"/>
        <v>100.90219803608223</v>
      </c>
      <c r="I73" s="24">
        <f t="shared" si="13"/>
        <v>211.7360000000008</v>
      </c>
      <c r="J73" s="23">
        <v>0</v>
      </c>
      <c r="K73" s="21">
        <v>0</v>
      </c>
      <c r="L73" s="25">
        <f t="shared" si="14"/>
        <v>0</v>
      </c>
      <c r="M73" s="112"/>
      <c r="N73" s="25">
        <f t="shared" si="15"/>
        <v>23468.905</v>
      </c>
      <c r="O73" s="22"/>
      <c r="P73" s="23">
        <v>25858.058</v>
      </c>
      <c r="Q73" s="25">
        <f t="shared" si="18"/>
        <v>23680.641</v>
      </c>
      <c r="R73" s="101">
        <f t="shared" si="17"/>
        <v>91.57934830218109</v>
      </c>
      <c r="S73" s="77">
        <f t="shared" si="19"/>
        <v>91.57934830218109</v>
      </c>
      <c r="T73" s="104">
        <f t="shared" si="20"/>
        <v>100.90219803608223</v>
      </c>
      <c r="U73" s="24">
        <f t="shared" si="21"/>
        <v>211.7360000000008</v>
      </c>
    </row>
    <row r="74" spans="1:21" ht="12.75" hidden="1">
      <c r="A74" s="18" t="s">
        <v>54</v>
      </c>
      <c r="B74" s="20"/>
      <c r="C74" s="21"/>
      <c r="D74" s="22"/>
      <c r="E74" s="23"/>
      <c r="F74" s="21"/>
      <c r="G74" s="76" t="e">
        <f t="shared" si="22"/>
        <v>#DIV/0!</v>
      </c>
      <c r="H74" s="77" t="e">
        <f t="shared" si="23"/>
        <v>#DIV/0!</v>
      </c>
      <c r="I74" s="24">
        <f t="shared" si="13"/>
        <v>0</v>
      </c>
      <c r="J74" s="23"/>
      <c r="K74" s="21"/>
      <c r="L74" s="25">
        <f t="shared" si="14"/>
        <v>0</v>
      </c>
      <c r="M74" s="112"/>
      <c r="N74" s="25">
        <f t="shared" si="15"/>
        <v>0</v>
      </c>
      <c r="O74" s="22"/>
      <c r="P74" s="23"/>
      <c r="Q74" s="25">
        <f t="shared" si="18"/>
        <v>0</v>
      </c>
      <c r="R74" s="101" t="e">
        <f t="shared" si="17"/>
        <v>#DIV/0!</v>
      </c>
      <c r="S74" s="77" t="e">
        <f t="shared" si="19"/>
        <v>#DIV/0!</v>
      </c>
      <c r="T74" s="104" t="e">
        <f t="shared" si="20"/>
        <v>#DIV/0!</v>
      </c>
      <c r="U74" s="24">
        <f t="shared" si="21"/>
        <v>0</v>
      </c>
    </row>
    <row r="75" spans="1:21" ht="12.75">
      <c r="A75" s="18" t="s">
        <v>55</v>
      </c>
      <c r="B75" s="20"/>
      <c r="C75" s="21">
        <f>C70-C71-C72-C73</f>
        <v>34561.436</v>
      </c>
      <c r="D75" s="22"/>
      <c r="E75" s="23">
        <f>E70-E71-E72-E73</f>
        <v>36794.21400000001</v>
      </c>
      <c r="F75" s="21">
        <f>F70-F71-F72-F73</f>
        <v>31755.711999999996</v>
      </c>
      <c r="G75" s="76">
        <f t="shared" si="22"/>
        <v>86.30626543619057</v>
      </c>
      <c r="H75" s="77">
        <f t="shared" si="23"/>
        <v>91.88192296176581</v>
      </c>
      <c r="I75" s="24">
        <f t="shared" si="13"/>
        <v>-2805.7240000000056</v>
      </c>
      <c r="J75" s="21">
        <f>J70-J71-J72-J73</f>
        <v>55.272</v>
      </c>
      <c r="K75" s="21">
        <f>K70-K71-K72-K73</f>
        <v>88.70400000000001</v>
      </c>
      <c r="L75" s="25">
        <f t="shared" si="14"/>
        <v>33.43200000000001</v>
      </c>
      <c r="M75" s="112"/>
      <c r="N75" s="25">
        <f t="shared" si="15"/>
        <v>34616.708</v>
      </c>
      <c r="O75" s="22"/>
      <c r="P75" s="23">
        <f>P70-P71-P72-P73</f>
        <v>36716.554000000004</v>
      </c>
      <c r="Q75" s="25">
        <f t="shared" si="18"/>
        <v>31844.415999999997</v>
      </c>
      <c r="R75" s="101">
        <f t="shared" si="17"/>
        <v>86.7304050374662</v>
      </c>
      <c r="S75" s="77">
        <f t="shared" si="19"/>
        <v>86.7304050374662</v>
      </c>
      <c r="T75" s="104">
        <f t="shared" si="20"/>
        <v>91.99146261972686</v>
      </c>
      <c r="U75" s="24">
        <f t="shared" si="21"/>
        <v>-2772.2920000000013</v>
      </c>
    </row>
    <row r="76" spans="1:21" ht="12.75">
      <c r="A76" s="18" t="s">
        <v>56</v>
      </c>
      <c r="B76" s="20"/>
      <c r="C76" s="21">
        <v>243468.286</v>
      </c>
      <c r="D76" s="22"/>
      <c r="E76" s="23">
        <v>302373</v>
      </c>
      <c r="F76" s="21">
        <v>275485.891</v>
      </c>
      <c r="G76" s="76">
        <f t="shared" si="22"/>
        <v>91.10796631974416</v>
      </c>
      <c r="H76" s="77">
        <f t="shared" si="23"/>
        <v>113.15062652554263</v>
      </c>
      <c r="I76" s="24">
        <f t="shared" si="13"/>
        <v>32017.60500000001</v>
      </c>
      <c r="J76" s="23">
        <v>126.1</v>
      </c>
      <c r="K76" s="21">
        <v>386.74</v>
      </c>
      <c r="L76" s="25">
        <f t="shared" si="14"/>
        <v>260.64</v>
      </c>
      <c r="M76" s="112"/>
      <c r="N76" s="25">
        <f t="shared" si="15"/>
        <v>243594.386</v>
      </c>
      <c r="O76" s="22"/>
      <c r="P76" s="23">
        <f>302306.56+149*1.37</f>
        <v>302510.69</v>
      </c>
      <c r="Q76" s="25">
        <f t="shared" si="18"/>
        <v>275872.631</v>
      </c>
      <c r="R76" s="101">
        <f t="shared" si="17"/>
        <v>91.19434126443598</v>
      </c>
      <c r="S76" s="77">
        <f t="shared" si="19"/>
        <v>91.19434126443598</v>
      </c>
      <c r="T76" s="104">
        <f t="shared" si="20"/>
        <v>113.2508164617554</v>
      </c>
      <c r="U76" s="24">
        <f t="shared" si="21"/>
        <v>32278.244999999995</v>
      </c>
    </row>
    <row r="77" spans="1:21" ht="12.75">
      <c r="A77" s="18" t="s">
        <v>57</v>
      </c>
      <c r="B77" s="20"/>
      <c r="C77" s="21">
        <v>176670.149</v>
      </c>
      <c r="D77" s="22"/>
      <c r="E77" s="23">
        <v>220073</v>
      </c>
      <c r="F77" s="21">
        <v>200231.97</v>
      </c>
      <c r="G77" s="76">
        <f t="shared" si="22"/>
        <v>90.98434155939165</v>
      </c>
      <c r="H77" s="77">
        <f t="shared" si="23"/>
        <v>113.33661692898669</v>
      </c>
      <c r="I77" s="24">
        <f t="shared" si="13"/>
        <v>23561.820999999996</v>
      </c>
      <c r="J77" s="23">
        <v>91.996</v>
      </c>
      <c r="K77" s="21">
        <v>280.312</v>
      </c>
      <c r="L77" s="25">
        <f t="shared" si="14"/>
        <v>188.31600000000003</v>
      </c>
      <c r="M77" s="112"/>
      <c r="N77" s="25">
        <f t="shared" si="15"/>
        <v>176762.14500000002</v>
      </c>
      <c r="O77" s="22"/>
      <c r="P77" s="23">
        <f>220024.02+149</f>
        <v>220173.02</v>
      </c>
      <c r="Q77" s="25">
        <f t="shared" si="18"/>
        <v>200512.282</v>
      </c>
      <c r="R77" s="101">
        <f t="shared" si="17"/>
        <v>91.07032369361151</v>
      </c>
      <c r="S77" s="77">
        <f t="shared" si="19"/>
        <v>91.07032369361151</v>
      </c>
      <c r="T77" s="104">
        <f t="shared" si="20"/>
        <v>113.43621226139793</v>
      </c>
      <c r="U77" s="24">
        <f t="shared" si="21"/>
        <v>23750.136999999988</v>
      </c>
    </row>
    <row r="78" spans="1:21" ht="12.75" hidden="1">
      <c r="A78" s="18" t="s">
        <v>58</v>
      </c>
      <c r="B78" s="20"/>
      <c r="C78" s="21"/>
      <c r="D78" s="22"/>
      <c r="E78" s="23"/>
      <c r="F78" s="21"/>
      <c r="G78" s="76" t="e">
        <f t="shared" si="22"/>
        <v>#DIV/0!</v>
      </c>
      <c r="H78" s="77" t="e">
        <f t="shared" si="23"/>
        <v>#DIV/0!</v>
      </c>
      <c r="I78" s="24">
        <f t="shared" si="13"/>
        <v>0</v>
      </c>
      <c r="J78" s="23"/>
      <c r="K78" s="21"/>
      <c r="L78" s="25">
        <f t="shared" si="14"/>
        <v>0</v>
      </c>
      <c r="M78" s="112"/>
      <c r="N78" s="25">
        <f t="shared" si="15"/>
        <v>0</v>
      </c>
      <c r="O78" s="22"/>
      <c r="P78" s="23"/>
      <c r="Q78" s="25">
        <f t="shared" si="18"/>
        <v>0</v>
      </c>
      <c r="R78" s="101" t="e">
        <f t="shared" si="17"/>
        <v>#DIV/0!</v>
      </c>
      <c r="S78" s="77" t="e">
        <f t="shared" si="19"/>
        <v>#DIV/0!</v>
      </c>
      <c r="T78" s="104" t="e">
        <f t="shared" si="20"/>
        <v>#DIV/0!</v>
      </c>
      <c r="U78" s="24">
        <f t="shared" si="21"/>
        <v>0</v>
      </c>
    </row>
    <row r="79" spans="1:21" ht="12.75" hidden="1">
      <c r="A79" s="18" t="s">
        <v>59</v>
      </c>
      <c r="B79" s="20"/>
      <c r="C79" s="21"/>
      <c r="D79" s="22"/>
      <c r="E79" s="23"/>
      <c r="F79" s="21"/>
      <c r="G79" s="76" t="e">
        <f t="shared" si="22"/>
        <v>#DIV/0!</v>
      </c>
      <c r="H79" s="77" t="e">
        <f t="shared" si="23"/>
        <v>#DIV/0!</v>
      </c>
      <c r="I79" s="24">
        <f t="shared" si="13"/>
        <v>0</v>
      </c>
      <c r="J79" s="23"/>
      <c r="K79" s="21"/>
      <c r="L79" s="25">
        <f t="shared" si="14"/>
        <v>0</v>
      </c>
      <c r="M79" s="112"/>
      <c r="N79" s="25">
        <f t="shared" si="15"/>
        <v>0</v>
      </c>
      <c r="O79" s="22"/>
      <c r="P79" s="23"/>
      <c r="Q79" s="25">
        <f t="shared" si="18"/>
        <v>0</v>
      </c>
      <c r="R79" s="101" t="e">
        <f t="shared" si="17"/>
        <v>#DIV/0!</v>
      </c>
      <c r="S79" s="77" t="e">
        <f t="shared" si="19"/>
        <v>#DIV/0!</v>
      </c>
      <c r="T79" s="104" t="e">
        <f t="shared" si="20"/>
        <v>#DIV/0!</v>
      </c>
      <c r="U79" s="24">
        <f t="shared" si="21"/>
        <v>0</v>
      </c>
    </row>
    <row r="80" spans="1:21" ht="12.75" hidden="1">
      <c r="A80" s="18" t="s">
        <v>60</v>
      </c>
      <c r="B80" s="20"/>
      <c r="C80" s="21"/>
      <c r="D80" s="22"/>
      <c r="E80" s="23"/>
      <c r="F80" s="21"/>
      <c r="G80" s="76" t="e">
        <f t="shared" si="22"/>
        <v>#DIV/0!</v>
      </c>
      <c r="H80" s="77" t="e">
        <f t="shared" si="23"/>
        <v>#DIV/0!</v>
      </c>
      <c r="I80" s="24">
        <f t="shared" si="13"/>
        <v>0</v>
      </c>
      <c r="J80" s="23"/>
      <c r="K80" s="21"/>
      <c r="L80" s="25">
        <f t="shared" si="14"/>
        <v>0</v>
      </c>
      <c r="M80" s="112"/>
      <c r="N80" s="25">
        <f t="shared" si="15"/>
        <v>0</v>
      </c>
      <c r="O80" s="22"/>
      <c r="P80" s="23"/>
      <c r="Q80" s="25">
        <f t="shared" si="18"/>
        <v>0</v>
      </c>
      <c r="R80" s="101" t="e">
        <f t="shared" si="17"/>
        <v>#DIV/0!</v>
      </c>
      <c r="S80" s="77" t="e">
        <f t="shared" si="19"/>
        <v>#DIV/0!</v>
      </c>
      <c r="T80" s="104" t="e">
        <f t="shared" si="20"/>
        <v>#DIV/0!</v>
      </c>
      <c r="U80" s="24">
        <f t="shared" si="21"/>
        <v>0</v>
      </c>
    </row>
    <row r="81" spans="1:21" ht="12.75" hidden="1">
      <c r="A81" s="18" t="s">
        <v>61</v>
      </c>
      <c r="B81" s="20"/>
      <c r="C81" s="21"/>
      <c r="D81" s="22"/>
      <c r="E81" s="23"/>
      <c r="F81" s="21"/>
      <c r="G81" s="76" t="e">
        <f t="shared" si="22"/>
        <v>#DIV/0!</v>
      </c>
      <c r="H81" s="77" t="e">
        <f t="shared" si="23"/>
        <v>#DIV/0!</v>
      </c>
      <c r="I81" s="24">
        <f t="shared" si="13"/>
        <v>0</v>
      </c>
      <c r="J81" s="23"/>
      <c r="K81" s="21"/>
      <c r="L81" s="25">
        <f t="shared" si="14"/>
        <v>0</v>
      </c>
      <c r="M81" s="112"/>
      <c r="N81" s="25">
        <f t="shared" si="15"/>
        <v>0</v>
      </c>
      <c r="O81" s="22"/>
      <c r="P81" s="23"/>
      <c r="Q81" s="25">
        <f t="shared" si="18"/>
        <v>0</v>
      </c>
      <c r="R81" s="101" t="e">
        <f t="shared" si="17"/>
        <v>#DIV/0!</v>
      </c>
      <c r="S81" s="77" t="e">
        <f t="shared" si="19"/>
        <v>#DIV/0!</v>
      </c>
      <c r="T81" s="104" t="e">
        <f t="shared" si="20"/>
        <v>#DIV/0!</v>
      </c>
      <c r="U81" s="24">
        <f t="shared" si="21"/>
        <v>0</v>
      </c>
    </row>
    <row r="82" spans="1:21" ht="12.75" hidden="1">
      <c r="A82" s="18" t="s">
        <v>62</v>
      </c>
      <c r="B82" s="20"/>
      <c r="C82" s="21"/>
      <c r="D82" s="22"/>
      <c r="E82" s="23"/>
      <c r="F82" s="21"/>
      <c r="G82" s="76" t="e">
        <f t="shared" si="22"/>
        <v>#DIV/0!</v>
      </c>
      <c r="H82" s="77" t="e">
        <f t="shared" si="23"/>
        <v>#DIV/0!</v>
      </c>
      <c r="I82" s="24">
        <f t="shared" si="13"/>
        <v>0</v>
      </c>
      <c r="J82" s="23"/>
      <c r="K82" s="21"/>
      <c r="L82" s="25">
        <f t="shared" si="14"/>
        <v>0</v>
      </c>
      <c r="M82" s="112"/>
      <c r="N82" s="25">
        <f t="shared" si="15"/>
        <v>0</v>
      </c>
      <c r="O82" s="22"/>
      <c r="P82" s="23"/>
      <c r="Q82" s="25">
        <f t="shared" si="18"/>
        <v>0</v>
      </c>
      <c r="R82" s="101" t="e">
        <f t="shared" si="17"/>
        <v>#DIV/0!</v>
      </c>
      <c r="S82" s="77" t="e">
        <f t="shared" si="19"/>
        <v>#DIV/0!</v>
      </c>
      <c r="T82" s="104" t="e">
        <f t="shared" si="20"/>
        <v>#DIV/0!</v>
      </c>
      <c r="U82" s="24">
        <f t="shared" si="21"/>
        <v>0</v>
      </c>
    </row>
    <row r="83" spans="1:21" ht="12.75" hidden="1">
      <c r="A83" s="18" t="s">
        <v>63</v>
      </c>
      <c r="B83" s="20"/>
      <c r="C83" s="21"/>
      <c r="D83" s="22"/>
      <c r="E83" s="23"/>
      <c r="F83" s="21"/>
      <c r="G83" s="76" t="e">
        <f t="shared" si="22"/>
        <v>#DIV/0!</v>
      </c>
      <c r="H83" s="77" t="e">
        <f t="shared" si="23"/>
        <v>#DIV/0!</v>
      </c>
      <c r="I83" s="24">
        <f t="shared" si="13"/>
        <v>0</v>
      </c>
      <c r="J83" s="23"/>
      <c r="K83" s="21"/>
      <c r="L83" s="25">
        <f t="shared" si="14"/>
        <v>0</v>
      </c>
      <c r="M83" s="112"/>
      <c r="N83" s="25">
        <f t="shared" si="15"/>
        <v>0</v>
      </c>
      <c r="O83" s="22"/>
      <c r="P83" s="23"/>
      <c r="Q83" s="25">
        <f t="shared" si="18"/>
        <v>0</v>
      </c>
      <c r="R83" s="101" t="e">
        <f t="shared" si="17"/>
        <v>#DIV/0!</v>
      </c>
      <c r="S83" s="77" t="e">
        <f t="shared" si="19"/>
        <v>#DIV/0!</v>
      </c>
      <c r="T83" s="104" t="e">
        <f t="shared" si="20"/>
        <v>#DIV/0!</v>
      </c>
      <c r="U83" s="24">
        <f t="shared" si="21"/>
        <v>0</v>
      </c>
    </row>
    <row r="84" spans="1:21" ht="12.75">
      <c r="A84" s="18" t="s">
        <v>94</v>
      </c>
      <c r="B84" s="20"/>
      <c r="C84" s="21">
        <v>0.772</v>
      </c>
      <c r="D84" s="22"/>
      <c r="E84" s="23">
        <v>26</v>
      </c>
      <c r="F84" s="21">
        <f>22.365+0.772</f>
        <v>23.136999999999997</v>
      </c>
      <c r="G84" s="76">
        <f t="shared" si="22"/>
        <v>88.98846153846152</v>
      </c>
      <c r="H84" s="77">
        <f t="shared" si="23"/>
        <v>2997.0207253886006</v>
      </c>
      <c r="I84" s="24">
        <f t="shared" si="13"/>
        <v>22.365</v>
      </c>
      <c r="J84" s="23">
        <v>0</v>
      </c>
      <c r="K84" s="21">
        <v>0</v>
      </c>
      <c r="L84" s="25">
        <f t="shared" si="14"/>
        <v>0</v>
      </c>
      <c r="M84" s="112"/>
      <c r="N84" s="25">
        <f t="shared" si="15"/>
        <v>0.772</v>
      </c>
      <c r="O84" s="22"/>
      <c r="P84" s="23">
        <v>26</v>
      </c>
      <c r="Q84" s="25">
        <f t="shared" si="18"/>
        <v>23.136999999999997</v>
      </c>
      <c r="R84" s="101">
        <f t="shared" si="17"/>
        <v>88.98846153846152</v>
      </c>
      <c r="S84" s="77">
        <f t="shared" si="19"/>
        <v>88.98846153846152</v>
      </c>
      <c r="T84" s="104">
        <f t="shared" si="20"/>
        <v>2997.0207253886006</v>
      </c>
      <c r="U84" s="24">
        <f t="shared" si="21"/>
        <v>22.365</v>
      </c>
    </row>
    <row r="85" spans="1:21" ht="12.75">
      <c r="A85" s="18" t="s">
        <v>171</v>
      </c>
      <c r="B85" s="20"/>
      <c r="C85" s="21">
        <f>37.109+1.335+4.199+103.057+1642.117</f>
        <v>1787.817</v>
      </c>
      <c r="D85" s="22"/>
      <c r="E85" s="23">
        <v>2769.264</v>
      </c>
      <c r="F85" s="21">
        <f>16.071+461.071+174.686+70.512+1714.71</f>
        <v>2437.05</v>
      </c>
      <c r="G85" s="76">
        <f aca="true" t="shared" si="24" ref="G85:G92">F85/E85*100</f>
        <v>88.00352729100584</v>
      </c>
      <c r="H85" s="77">
        <f aca="true" t="shared" si="25" ref="H85:H92">F85/C85*100</f>
        <v>136.31428720053563</v>
      </c>
      <c r="I85" s="24">
        <f t="shared" si="13"/>
        <v>649.2330000000002</v>
      </c>
      <c r="J85" s="23">
        <v>0.559</v>
      </c>
      <c r="K85" s="21">
        <f>7.556+1.698</f>
        <v>9.254</v>
      </c>
      <c r="L85" s="25">
        <f t="shared" si="14"/>
        <v>8.695</v>
      </c>
      <c r="M85" s="112"/>
      <c r="N85" s="25">
        <f t="shared" si="15"/>
        <v>1788.376</v>
      </c>
      <c r="O85" s="22"/>
      <c r="P85" s="23">
        <v>2781.038</v>
      </c>
      <c r="Q85" s="25">
        <f t="shared" si="18"/>
        <v>2446.304</v>
      </c>
      <c r="R85" s="101">
        <f t="shared" si="17"/>
        <v>87.96370276134307</v>
      </c>
      <c r="S85" s="77">
        <f t="shared" si="19"/>
        <v>87.96370276134307</v>
      </c>
      <c r="T85" s="104">
        <f>Q85/N85*100</f>
        <v>136.78913159201423</v>
      </c>
      <c r="U85" s="24">
        <f t="shared" si="21"/>
        <v>657.9280000000001</v>
      </c>
    </row>
    <row r="86" spans="1:21" ht="12.75" hidden="1">
      <c r="A86" s="18" t="s">
        <v>64</v>
      </c>
      <c r="B86" s="20"/>
      <c r="C86" s="21"/>
      <c r="D86" s="22"/>
      <c r="E86" s="23"/>
      <c r="F86" s="21"/>
      <c r="G86" s="76" t="e">
        <f t="shared" si="24"/>
        <v>#DIV/0!</v>
      </c>
      <c r="H86" s="77" t="e">
        <f t="shared" si="25"/>
        <v>#DIV/0!</v>
      </c>
      <c r="I86" s="24">
        <f t="shared" si="13"/>
        <v>0</v>
      </c>
      <c r="J86" s="23"/>
      <c r="K86" s="21"/>
      <c r="L86" s="25">
        <f t="shared" si="14"/>
        <v>0</v>
      </c>
      <c r="M86" s="112"/>
      <c r="N86" s="25">
        <f t="shared" si="15"/>
        <v>0</v>
      </c>
      <c r="O86" s="22"/>
      <c r="P86" s="23"/>
      <c r="Q86" s="25">
        <f t="shared" si="18"/>
        <v>0</v>
      </c>
      <c r="R86" s="101" t="e">
        <f t="shared" si="17"/>
        <v>#DIV/0!</v>
      </c>
      <c r="S86" s="77" t="e">
        <f t="shared" si="19"/>
        <v>#DIV/0!</v>
      </c>
      <c r="T86" s="104" t="e">
        <f t="shared" si="20"/>
        <v>#DIV/0!</v>
      </c>
      <c r="U86" s="24">
        <f t="shared" si="21"/>
        <v>0</v>
      </c>
    </row>
    <row r="87" spans="1:21" ht="12.75">
      <c r="A87" s="18" t="s">
        <v>65</v>
      </c>
      <c r="B87" s="20"/>
      <c r="C87" s="21">
        <v>2118.732</v>
      </c>
      <c r="D87" s="22"/>
      <c r="E87" s="23">
        <v>4810</v>
      </c>
      <c r="F87" s="21">
        <v>3543.841</v>
      </c>
      <c r="G87" s="76">
        <f t="shared" si="24"/>
        <v>73.67652806652806</v>
      </c>
      <c r="H87" s="77">
        <f t="shared" si="25"/>
        <v>167.26235314329514</v>
      </c>
      <c r="I87" s="24">
        <f t="shared" si="13"/>
        <v>1425.109</v>
      </c>
      <c r="J87" s="23">
        <v>0</v>
      </c>
      <c r="K87" s="21">
        <v>0</v>
      </c>
      <c r="L87" s="25">
        <f t="shared" si="14"/>
        <v>0</v>
      </c>
      <c r="M87" s="112"/>
      <c r="N87" s="25">
        <f t="shared" si="15"/>
        <v>2118.732</v>
      </c>
      <c r="O87" s="22"/>
      <c r="P87" s="23">
        <v>4810</v>
      </c>
      <c r="Q87" s="25">
        <f t="shared" si="18"/>
        <v>3543.841</v>
      </c>
      <c r="R87" s="101">
        <f t="shared" si="17"/>
        <v>73.67652806652806</v>
      </c>
      <c r="S87" s="77">
        <f t="shared" si="19"/>
        <v>73.67652806652806</v>
      </c>
      <c r="T87" s="104">
        <f t="shared" si="20"/>
        <v>167.26235314329514</v>
      </c>
      <c r="U87" s="24">
        <f t="shared" si="21"/>
        <v>1425.109</v>
      </c>
    </row>
    <row r="88" spans="1:21" ht="12.75" hidden="1">
      <c r="A88" s="18" t="s">
        <v>66</v>
      </c>
      <c r="B88" s="20"/>
      <c r="C88" s="21"/>
      <c r="D88" s="22"/>
      <c r="E88" s="23"/>
      <c r="F88" s="21"/>
      <c r="G88" s="76" t="e">
        <f t="shared" si="24"/>
        <v>#DIV/0!</v>
      </c>
      <c r="H88" s="77" t="e">
        <f t="shared" si="25"/>
        <v>#DIV/0!</v>
      </c>
      <c r="I88" s="24">
        <f t="shared" si="13"/>
        <v>0</v>
      </c>
      <c r="J88" s="23"/>
      <c r="K88" s="21"/>
      <c r="L88" s="25">
        <f t="shared" si="14"/>
        <v>0</v>
      </c>
      <c r="M88" s="112"/>
      <c r="N88" s="25">
        <f t="shared" si="15"/>
        <v>0</v>
      </c>
      <c r="O88" s="22"/>
      <c r="P88" s="23"/>
      <c r="Q88" s="25">
        <f t="shared" si="18"/>
        <v>0</v>
      </c>
      <c r="R88" s="101" t="e">
        <f t="shared" si="17"/>
        <v>#DIV/0!</v>
      </c>
      <c r="S88" s="77" t="e">
        <f t="shared" si="19"/>
        <v>#DIV/0!</v>
      </c>
      <c r="T88" s="104" t="e">
        <f t="shared" si="20"/>
        <v>#DIV/0!</v>
      </c>
      <c r="U88" s="24">
        <f t="shared" si="21"/>
        <v>0</v>
      </c>
    </row>
    <row r="89" spans="1:21" ht="12.75">
      <c r="A89" s="18" t="s">
        <v>161</v>
      </c>
      <c r="B89" s="20"/>
      <c r="C89" s="21">
        <v>0</v>
      </c>
      <c r="D89" s="22"/>
      <c r="E89" s="23">
        <v>0</v>
      </c>
      <c r="F89" s="21">
        <v>0</v>
      </c>
      <c r="G89" s="76" t="e">
        <f t="shared" si="24"/>
        <v>#DIV/0!</v>
      </c>
      <c r="H89" s="77" t="e">
        <f t="shared" si="25"/>
        <v>#DIV/0!</v>
      </c>
      <c r="I89" s="24">
        <f t="shared" si="13"/>
        <v>0</v>
      </c>
      <c r="J89" s="23">
        <v>0</v>
      </c>
      <c r="K89" s="21">
        <v>0</v>
      </c>
      <c r="L89" s="25">
        <f t="shared" si="14"/>
        <v>0</v>
      </c>
      <c r="M89" s="112"/>
      <c r="N89" s="25">
        <f t="shared" si="15"/>
        <v>0</v>
      </c>
      <c r="O89" s="22"/>
      <c r="P89" s="23">
        <v>0</v>
      </c>
      <c r="Q89" s="25">
        <f t="shared" si="18"/>
        <v>0</v>
      </c>
      <c r="R89" s="101"/>
      <c r="S89" s="77" t="e">
        <f t="shared" si="19"/>
        <v>#DIV/0!</v>
      </c>
      <c r="T89" s="104" t="e">
        <f t="shared" si="20"/>
        <v>#DIV/0!</v>
      </c>
      <c r="U89" s="24">
        <f t="shared" si="21"/>
        <v>0</v>
      </c>
    </row>
    <row r="90" spans="1:21" ht="12.75">
      <c r="A90" s="18" t="s">
        <v>67</v>
      </c>
      <c r="B90" s="20"/>
      <c r="C90" s="21">
        <v>10.82</v>
      </c>
      <c r="D90" s="22"/>
      <c r="E90" s="23">
        <v>0</v>
      </c>
      <c r="F90" s="21">
        <v>-113.8</v>
      </c>
      <c r="G90" s="76" t="e">
        <f t="shared" si="24"/>
        <v>#DIV/0!</v>
      </c>
      <c r="H90" s="77">
        <f t="shared" si="25"/>
        <v>-1051.7560073937152</v>
      </c>
      <c r="I90" s="24">
        <f t="shared" si="13"/>
        <v>-124.62</v>
      </c>
      <c r="J90" s="23">
        <v>0</v>
      </c>
      <c r="K90" s="21">
        <v>0</v>
      </c>
      <c r="L90" s="25">
        <f t="shared" si="14"/>
        <v>0</v>
      </c>
      <c r="M90" s="112"/>
      <c r="N90" s="25">
        <f t="shared" si="15"/>
        <v>10.82</v>
      </c>
      <c r="O90" s="22"/>
      <c r="P90" s="23">
        <v>0</v>
      </c>
      <c r="Q90" s="25">
        <f t="shared" si="18"/>
        <v>-113.8</v>
      </c>
      <c r="R90" s="101" t="e">
        <f>Q90/P90*100</f>
        <v>#DIV/0!</v>
      </c>
      <c r="S90" s="77" t="e">
        <f t="shared" si="19"/>
        <v>#DIV/0!</v>
      </c>
      <c r="T90" s="104">
        <f t="shared" si="20"/>
        <v>-1051.7560073937152</v>
      </c>
      <c r="U90" s="24">
        <f t="shared" si="21"/>
        <v>-124.62</v>
      </c>
    </row>
    <row r="91" spans="1:21" ht="12.75">
      <c r="A91" s="18" t="s">
        <v>68</v>
      </c>
      <c r="B91" s="20"/>
      <c r="C91" s="21">
        <v>0</v>
      </c>
      <c r="D91" s="22"/>
      <c r="E91" s="23">
        <v>0</v>
      </c>
      <c r="F91" s="21">
        <v>0</v>
      </c>
      <c r="G91" s="76" t="e">
        <f t="shared" si="24"/>
        <v>#DIV/0!</v>
      </c>
      <c r="H91" s="77" t="e">
        <f t="shared" si="25"/>
        <v>#DIV/0!</v>
      </c>
      <c r="I91" s="24">
        <f t="shared" si="13"/>
        <v>0</v>
      </c>
      <c r="J91" s="23">
        <v>0</v>
      </c>
      <c r="K91" s="21">
        <v>0</v>
      </c>
      <c r="L91" s="25">
        <f t="shared" si="14"/>
        <v>0</v>
      </c>
      <c r="M91" s="112"/>
      <c r="N91" s="25">
        <f t="shared" si="15"/>
        <v>0</v>
      </c>
      <c r="O91" s="22"/>
      <c r="P91" s="23">
        <v>0</v>
      </c>
      <c r="Q91" s="25">
        <f t="shared" si="18"/>
        <v>0</v>
      </c>
      <c r="R91" s="101" t="e">
        <f>Q91/P91*100</f>
        <v>#DIV/0!</v>
      </c>
      <c r="S91" s="77" t="e">
        <f t="shared" si="19"/>
        <v>#DIV/0!</v>
      </c>
      <c r="T91" s="104" t="e">
        <f t="shared" si="20"/>
        <v>#DIV/0!</v>
      </c>
      <c r="U91" s="24">
        <f t="shared" si="21"/>
        <v>0</v>
      </c>
    </row>
    <row r="92" spans="1:21" s="31" customFormat="1" ht="12.75">
      <c r="A92" s="36" t="s">
        <v>69</v>
      </c>
      <c r="B92" s="37"/>
      <c r="C92" s="40">
        <f>C90+C89+C87+C85+C84+C76+C70+C69+C68+C65+C64+C63+C55</f>
        <v>474815.157</v>
      </c>
      <c r="D92" s="111">
        <f>D90+D89+D87+D85+D84+D76+D70+D69+D68+D65+D64+D63+D55</f>
        <v>0</v>
      </c>
      <c r="E92" s="276">
        <f>E90+E89+E87+E85+E84+E76+E70+E69+E68+E65+E64+E63+E55</f>
        <v>565823.0650000001</v>
      </c>
      <c r="F92" s="40">
        <f>F90+F89+F87+F85+F84+F76+F70+F69+F68+F65+F64+F63+F55</f>
        <v>515660.273</v>
      </c>
      <c r="G92" s="299">
        <f t="shared" si="24"/>
        <v>91.13454450641738</v>
      </c>
      <c r="H92" s="38">
        <f t="shared" si="25"/>
        <v>108.60231932318032</v>
      </c>
      <c r="I92" s="39">
        <f t="shared" si="13"/>
        <v>40845.11599999998</v>
      </c>
      <c r="J92" s="40">
        <f>J90+J89+J87+J85+J84+J76+J70+J69+J68+J65+J64+J63+J55</f>
        <v>403.97999999999996</v>
      </c>
      <c r="K92" s="40">
        <f>K90+K89+K87+K85+K84+K76+K70+K69+K68+K65+K64+K63+K55</f>
        <v>2108.486</v>
      </c>
      <c r="L92" s="40">
        <f t="shared" si="14"/>
        <v>1704.5059999999999</v>
      </c>
      <c r="M92" s="38"/>
      <c r="N92" s="40">
        <f t="shared" si="15"/>
        <v>475219.137</v>
      </c>
      <c r="O92" s="38"/>
      <c r="P92" s="277">
        <f>P90+P89+P87+P85+P84+P76+P70+P69+P68+P65+P64+P63+P55</f>
        <v>567496.093</v>
      </c>
      <c r="Q92" s="40">
        <f>Q90+Q89+Q87+Q85+Q84+Q76+Q70+Q69+Q68+Q65+Q64+Q63+Q55</f>
        <v>517768.759</v>
      </c>
      <c r="R92" s="38">
        <f>Q92/P92*100</f>
        <v>91.23741385828362</v>
      </c>
      <c r="S92" s="38">
        <f t="shared" si="19"/>
        <v>91.23741385828362</v>
      </c>
      <c r="T92" s="300">
        <f>Q92/N92*100</f>
        <v>108.95368445568303</v>
      </c>
      <c r="U92" s="39">
        <f t="shared" si="21"/>
        <v>42549.62200000003</v>
      </c>
    </row>
    <row r="93" spans="1:21" ht="13.5" thickBot="1">
      <c r="A93" s="41"/>
      <c r="B93" s="42"/>
      <c r="C93" s="43"/>
      <c r="D93" s="44"/>
      <c r="E93" s="45"/>
      <c r="F93" s="43"/>
      <c r="G93" s="301"/>
      <c r="H93" s="302"/>
      <c r="I93" s="46"/>
      <c r="J93" s="47"/>
      <c r="K93" s="48"/>
      <c r="L93" s="114"/>
      <c r="M93" s="113"/>
      <c r="N93" s="48"/>
      <c r="O93" s="49"/>
      <c r="P93" s="47"/>
      <c r="Q93" s="48"/>
      <c r="R93" s="302"/>
      <c r="S93" s="44"/>
      <c r="T93" s="303"/>
      <c r="U93" s="136"/>
    </row>
    <row r="94" spans="1:21" s="31" customFormat="1" ht="13.5" thickBot="1">
      <c r="A94" s="50" t="s">
        <v>70</v>
      </c>
      <c r="B94" s="51">
        <f>SUM(B23-B92)</f>
        <v>0</v>
      </c>
      <c r="C94" s="52">
        <f>SUM(C23-C92)</f>
        <v>2692.725999999966</v>
      </c>
      <c r="D94" s="53" t="e">
        <f>C94/B94*100</f>
        <v>#DIV/0!</v>
      </c>
      <c r="E94" s="272">
        <f>SUM(E23-E92)</f>
        <v>-8698.295000000042</v>
      </c>
      <c r="F94" s="52">
        <f>SUM(F23-F92)</f>
        <v>1760.2939999999944</v>
      </c>
      <c r="G94" s="53">
        <f>F94/E94*100</f>
        <v>-20.237230399750594</v>
      </c>
      <c r="H94" s="55">
        <f>F94/C94*100</f>
        <v>65.37219160063135</v>
      </c>
      <c r="I94" s="53">
        <f>F94-C94</f>
        <v>-932.4319999999716</v>
      </c>
      <c r="J94" s="54">
        <f aca="true" t="shared" si="26" ref="J94:Q94">SUM(J23-J92)</f>
        <v>485.699</v>
      </c>
      <c r="K94" s="52">
        <f t="shared" si="26"/>
        <v>762.5350000000003</v>
      </c>
      <c r="L94" s="52">
        <f t="shared" si="26"/>
        <v>276.83600000000024</v>
      </c>
      <c r="M94" s="55">
        <f t="shared" si="26"/>
        <v>0</v>
      </c>
      <c r="N94" s="54">
        <f t="shared" si="26"/>
        <v>3178.4249999999884</v>
      </c>
      <c r="O94" s="55">
        <f t="shared" si="26"/>
        <v>39912.68400000001</v>
      </c>
      <c r="P94" s="273">
        <f>SUM(P23-P92)</f>
        <v>-7680.793000000063</v>
      </c>
      <c r="Q94" s="117">
        <f t="shared" si="26"/>
        <v>2522.828999999969</v>
      </c>
      <c r="R94" s="55">
        <f>Q94/P94*100</f>
        <v>-32.845944422665056</v>
      </c>
      <c r="S94" s="304">
        <f t="shared" si="19"/>
        <v>-32.845944422665056</v>
      </c>
      <c r="T94" s="305">
        <f>Q94/N94*100</f>
        <v>79.37355765827346</v>
      </c>
      <c r="U94" s="53">
        <f t="shared" si="21"/>
        <v>-655.5960000000196</v>
      </c>
    </row>
    <row r="95" spans="1:7" ht="12.75">
      <c r="A95" s="3"/>
      <c r="G95" s="34"/>
    </row>
    <row r="96" spans="1:7" ht="12.75">
      <c r="A96" s="308"/>
      <c r="G96" s="34"/>
    </row>
    <row r="97" spans="1:7" ht="12.75">
      <c r="A97" s="3"/>
      <c r="G97" s="34"/>
    </row>
    <row r="98" spans="1:7" ht="12.75">
      <c r="A98" s="3"/>
      <c r="G98" s="34"/>
    </row>
    <row r="99" spans="1:7" ht="12.75">
      <c r="A99" s="3"/>
      <c r="G99" s="34"/>
    </row>
    <row r="100" ht="15.75">
      <c r="A100" s="261" t="s">
        <v>148</v>
      </c>
    </row>
    <row r="102" ht="12.75">
      <c r="A102" s="197" t="s">
        <v>112</v>
      </c>
    </row>
    <row r="103" ht="13.5" thickBot="1"/>
    <row r="104" spans="1:21" ht="12.75">
      <c r="A104" s="204"/>
      <c r="B104" s="205"/>
      <c r="C104" s="183" t="s">
        <v>145</v>
      </c>
      <c r="D104" s="181"/>
      <c r="E104" s="181"/>
      <c r="F104" s="182"/>
      <c r="G104" s="148" t="s">
        <v>146</v>
      </c>
      <c r="H104" s="206"/>
      <c r="I104" s="207"/>
      <c r="J104" s="148" t="s">
        <v>90</v>
      </c>
      <c r="K104" s="207"/>
      <c r="L104" s="208" t="s">
        <v>125</v>
      </c>
      <c r="M104" s="209"/>
      <c r="N104" s="148" t="s">
        <v>170</v>
      </c>
      <c r="O104" s="209"/>
      <c r="P104" s="209"/>
      <c r="Q104" s="207"/>
      <c r="R104" s="205"/>
      <c r="S104" s="210" t="s">
        <v>90</v>
      </c>
      <c r="T104" s="207"/>
      <c r="U104" s="211" t="s">
        <v>125</v>
      </c>
    </row>
    <row r="105" spans="1:21" ht="12.75">
      <c r="A105" s="212"/>
      <c r="B105" s="213"/>
      <c r="C105" s="214" t="s">
        <v>114</v>
      </c>
      <c r="D105" s="214"/>
      <c r="E105" s="215" t="s">
        <v>122</v>
      </c>
      <c r="F105" s="216" t="s">
        <v>118</v>
      </c>
      <c r="G105" s="217" t="s">
        <v>114</v>
      </c>
      <c r="H105" s="215" t="s">
        <v>122</v>
      </c>
      <c r="I105" s="216" t="s">
        <v>118</v>
      </c>
      <c r="J105" s="218"/>
      <c r="K105" s="219" t="s">
        <v>118</v>
      </c>
      <c r="L105" s="220" t="s">
        <v>126</v>
      </c>
      <c r="M105" s="221"/>
      <c r="N105" s="222" t="s">
        <v>114</v>
      </c>
      <c r="O105" s="223" t="s">
        <v>122</v>
      </c>
      <c r="P105" s="215" t="s">
        <v>122</v>
      </c>
      <c r="Q105" s="219" t="s">
        <v>118</v>
      </c>
      <c r="R105" s="213"/>
      <c r="S105" s="222"/>
      <c r="T105" s="219" t="s">
        <v>118</v>
      </c>
      <c r="U105" s="224" t="s">
        <v>126</v>
      </c>
    </row>
    <row r="106" spans="1:21" ht="12.75">
      <c r="A106" s="212" t="s">
        <v>113</v>
      </c>
      <c r="B106" s="213"/>
      <c r="C106" s="226" t="s">
        <v>115</v>
      </c>
      <c r="D106" s="226"/>
      <c r="E106" s="227" t="s">
        <v>130</v>
      </c>
      <c r="F106" s="224" t="s">
        <v>119</v>
      </c>
      <c r="G106" s="228" t="s">
        <v>115</v>
      </c>
      <c r="H106" s="227" t="s">
        <v>130</v>
      </c>
      <c r="I106" s="224" t="s">
        <v>119</v>
      </c>
      <c r="J106" s="229" t="s">
        <v>124</v>
      </c>
      <c r="K106" s="230" t="s">
        <v>119</v>
      </c>
      <c r="L106" s="220" t="s">
        <v>127</v>
      </c>
      <c r="M106" s="221"/>
      <c r="N106" s="231" t="s">
        <v>115</v>
      </c>
      <c r="O106" s="232" t="s">
        <v>120</v>
      </c>
      <c r="P106" s="227" t="s">
        <v>130</v>
      </c>
      <c r="Q106" s="230" t="s">
        <v>119</v>
      </c>
      <c r="R106" s="213"/>
      <c r="S106" s="231" t="s">
        <v>124</v>
      </c>
      <c r="T106" s="230" t="s">
        <v>119</v>
      </c>
      <c r="U106" s="224" t="s">
        <v>127</v>
      </c>
    </row>
    <row r="107" spans="1:21" ht="12.75">
      <c r="A107" s="225"/>
      <c r="B107" s="213"/>
      <c r="C107" s="226" t="s">
        <v>116</v>
      </c>
      <c r="D107" s="226"/>
      <c r="E107" s="227" t="s">
        <v>152</v>
      </c>
      <c r="F107" s="224" t="s">
        <v>123</v>
      </c>
      <c r="G107" s="228" t="s">
        <v>116</v>
      </c>
      <c r="H107" s="227" t="s">
        <v>152</v>
      </c>
      <c r="I107" s="224" t="s">
        <v>123</v>
      </c>
      <c r="J107" s="229" t="s">
        <v>17</v>
      </c>
      <c r="K107" s="230" t="s">
        <v>17</v>
      </c>
      <c r="L107" s="220" t="s">
        <v>128</v>
      </c>
      <c r="M107" s="221"/>
      <c r="N107" s="231" t="s">
        <v>116</v>
      </c>
      <c r="O107" s="232" t="s">
        <v>121</v>
      </c>
      <c r="P107" s="227" t="s">
        <v>152</v>
      </c>
      <c r="Q107" s="230" t="s">
        <v>123</v>
      </c>
      <c r="R107" s="213"/>
      <c r="S107" s="231" t="s">
        <v>17</v>
      </c>
      <c r="T107" s="230" t="s">
        <v>17</v>
      </c>
      <c r="U107" s="224" t="s">
        <v>128</v>
      </c>
    </row>
    <row r="108" spans="1:21" ht="13.5" thickBot="1">
      <c r="A108" s="233"/>
      <c r="B108" s="234"/>
      <c r="C108" s="179" t="s">
        <v>117</v>
      </c>
      <c r="D108" s="179"/>
      <c r="E108" s="178" t="s">
        <v>117</v>
      </c>
      <c r="F108" s="235"/>
      <c r="G108" s="175" t="s">
        <v>117</v>
      </c>
      <c r="H108" s="178" t="s">
        <v>117</v>
      </c>
      <c r="I108" s="235"/>
      <c r="J108" s="176"/>
      <c r="K108" s="236"/>
      <c r="L108" s="237" t="s">
        <v>129</v>
      </c>
      <c r="M108" s="238"/>
      <c r="N108" s="239" t="s">
        <v>117</v>
      </c>
      <c r="O108" s="177" t="s">
        <v>117</v>
      </c>
      <c r="P108" s="178" t="s">
        <v>117</v>
      </c>
      <c r="Q108" s="180"/>
      <c r="R108" s="234"/>
      <c r="S108" s="240"/>
      <c r="T108" s="180"/>
      <c r="U108" s="235" t="s">
        <v>129</v>
      </c>
    </row>
    <row r="109" spans="1:21" s="100" customFormat="1" ht="9.75">
      <c r="A109" s="144"/>
      <c r="B109" s="16"/>
      <c r="C109" s="16">
        <v>1</v>
      </c>
      <c r="D109" s="16"/>
      <c r="E109" s="97">
        <v>2</v>
      </c>
      <c r="F109" s="98" t="s">
        <v>132</v>
      </c>
      <c r="G109" s="96">
        <v>4</v>
      </c>
      <c r="H109" s="170">
        <v>5</v>
      </c>
      <c r="I109" s="103" t="s">
        <v>131</v>
      </c>
      <c r="J109" s="173" t="s">
        <v>133</v>
      </c>
      <c r="K109" s="99" t="s">
        <v>134</v>
      </c>
      <c r="L109" s="98" t="s">
        <v>135</v>
      </c>
      <c r="M109" s="16"/>
      <c r="N109" s="120">
        <v>10</v>
      </c>
      <c r="O109" s="170"/>
      <c r="P109" s="97">
        <v>11</v>
      </c>
      <c r="Q109" s="99" t="s">
        <v>136</v>
      </c>
      <c r="R109" s="16"/>
      <c r="S109" s="120" t="s">
        <v>137</v>
      </c>
      <c r="T109" s="99" t="s">
        <v>138</v>
      </c>
      <c r="U109" s="98" t="s">
        <v>139</v>
      </c>
    </row>
    <row r="110" spans="1:21" s="184" customFormat="1" ht="12">
      <c r="A110" s="190" t="s">
        <v>140</v>
      </c>
      <c r="B110" s="187"/>
      <c r="C110" s="255">
        <v>120.98</v>
      </c>
      <c r="D110" s="255"/>
      <c r="E110" s="278">
        <v>51550.901</v>
      </c>
      <c r="F110" s="192">
        <f aca="true" t="shared" si="27" ref="F110:F115">SUM(E110/C110/12*1000)</f>
        <v>35509.24464098749</v>
      </c>
      <c r="G110" s="262">
        <v>121.23</v>
      </c>
      <c r="H110" s="278">
        <v>53467.097</v>
      </c>
      <c r="I110" s="199">
        <f aca="true" t="shared" si="28" ref="I110:I115">SUM(H110/G110/12*1000)</f>
        <v>36753.208089306834</v>
      </c>
      <c r="J110" s="198">
        <f aca="true" t="shared" si="29" ref="J110:J115">SUM(G110-C110)</f>
        <v>0.25</v>
      </c>
      <c r="K110" s="199">
        <f aca="true" t="shared" si="30" ref="K110:K115">SUM(I110-F110)</f>
        <v>1243.963448319344</v>
      </c>
      <c r="L110" s="193">
        <f aca="true" t="shared" si="31" ref="L110:L115">I110/F110*100</f>
        <v>103.50321011020174</v>
      </c>
      <c r="M110" s="187"/>
      <c r="N110" s="262">
        <v>119.2</v>
      </c>
      <c r="O110" s="283"/>
      <c r="P110" s="278">
        <v>54706.758</v>
      </c>
      <c r="Q110" s="199">
        <f aca="true" t="shared" si="32" ref="Q110:Q115">SUM(P110/N110/12*1000)</f>
        <v>38245.77600671141</v>
      </c>
      <c r="R110" s="188"/>
      <c r="S110" s="202">
        <f aca="true" t="shared" si="33" ref="S110:S115">SUM(N110-G110)</f>
        <v>-2.030000000000001</v>
      </c>
      <c r="T110" s="199">
        <f aca="true" t="shared" si="34" ref="T110:T115">SUM(Q110-I110)</f>
        <v>1492.5679174045727</v>
      </c>
      <c r="U110" s="189">
        <f aca="true" t="shared" si="35" ref="U110:U115">SUM(Q110/I110*100)</f>
        <v>104.06105478949695</v>
      </c>
    </row>
    <row r="111" spans="1:21" s="184" customFormat="1" ht="12">
      <c r="A111" s="190" t="s">
        <v>141</v>
      </c>
      <c r="B111" s="187"/>
      <c r="C111" s="255">
        <v>434.56</v>
      </c>
      <c r="D111" s="255"/>
      <c r="E111" s="278">
        <v>84575.258</v>
      </c>
      <c r="F111" s="192">
        <f t="shared" si="27"/>
        <v>16218.561686917035</v>
      </c>
      <c r="G111" s="262">
        <v>430.78</v>
      </c>
      <c r="H111" s="278">
        <v>84231.304</v>
      </c>
      <c r="I111" s="199">
        <f t="shared" si="28"/>
        <v>16294.338951050033</v>
      </c>
      <c r="J111" s="198">
        <f t="shared" si="29"/>
        <v>-3.7800000000000296</v>
      </c>
      <c r="K111" s="199">
        <f t="shared" si="30"/>
        <v>75.77726413299752</v>
      </c>
      <c r="L111" s="193">
        <f t="shared" si="31"/>
        <v>100.46722555055005</v>
      </c>
      <c r="M111" s="187"/>
      <c r="N111" s="262">
        <v>430.03</v>
      </c>
      <c r="O111" s="283"/>
      <c r="P111" s="278">
        <v>86442.324</v>
      </c>
      <c r="Q111" s="199">
        <f t="shared" si="32"/>
        <v>16751.219682347742</v>
      </c>
      <c r="R111" s="187"/>
      <c r="S111" s="202">
        <f t="shared" si="33"/>
        <v>-0.75</v>
      </c>
      <c r="T111" s="199">
        <f t="shared" si="34"/>
        <v>456.88073129770964</v>
      </c>
      <c r="U111" s="189">
        <f t="shared" si="35"/>
        <v>102.80392308439286</v>
      </c>
    </row>
    <row r="112" spans="1:21" s="184" customFormat="1" ht="12">
      <c r="A112" s="190" t="s">
        <v>142</v>
      </c>
      <c r="B112" s="187"/>
      <c r="C112" s="255">
        <v>62.3</v>
      </c>
      <c r="D112" s="255"/>
      <c r="E112" s="278">
        <v>12299.769</v>
      </c>
      <c r="F112" s="192">
        <f t="shared" si="27"/>
        <v>16452.33948635634</v>
      </c>
      <c r="G112" s="262">
        <v>60.36</v>
      </c>
      <c r="H112" s="278">
        <v>12421.848</v>
      </c>
      <c r="I112" s="199">
        <f t="shared" si="28"/>
        <v>17149.668654738238</v>
      </c>
      <c r="J112" s="198">
        <f t="shared" si="29"/>
        <v>-1.9399999999999977</v>
      </c>
      <c r="K112" s="199">
        <f t="shared" si="30"/>
        <v>697.329168381897</v>
      </c>
      <c r="L112" s="193">
        <f t="shared" si="31"/>
        <v>104.2384803022098</v>
      </c>
      <c r="M112" s="187"/>
      <c r="N112" s="262">
        <v>58.04</v>
      </c>
      <c r="O112" s="283"/>
      <c r="P112" s="278">
        <v>13717.58</v>
      </c>
      <c r="Q112" s="199">
        <f t="shared" si="32"/>
        <v>19695.583505628303</v>
      </c>
      <c r="R112" s="187"/>
      <c r="S112" s="202">
        <f t="shared" si="33"/>
        <v>-2.3200000000000003</v>
      </c>
      <c r="T112" s="199">
        <f t="shared" si="34"/>
        <v>2545.9148508900653</v>
      </c>
      <c r="U112" s="189">
        <f t="shared" si="35"/>
        <v>114.8452713702236</v>
      </c>
    </row>
    <row r="113" spans="1:21" s="184" customFormat="1" ht="12">
      <c r="A113" s="190" t="s">
        <v>143</v>
      </c>
      <c r="B113" s="187"/>
      <c r="C113" s="255">
        <v>92.63</v>
      </c>
      <c r="D113" s="255"/>
      <c r="E113" s="278">
        <v>11834.393</v>
      </c>
      <c r="F113" s="192">
        <f t="shared" si="27"/>
        <v>10646.652452409226</v>
      </c>
      <c r="G113" s="262">
        <v>70.07</v>
      </c>
      <c r="H113" s="278">
        <v>8966.609</v>
      </c>
      <c r="I113" s="199">
        <f t="shared" si="28"/>
        <v>10663.87065315637</v>
      </c>
      <c r="J113" s="198">
        <f t="shared" si="29"/>
        <v>-22.560000000000002</v>
      </c>
      <c r="K113" s="199">
        <f t="shared" si="30"/>
        <v>17.218200747143783</v>
      </c>
      <c r="L113" s="193">
        <f t="shared" si="31"/>
        <v>100.16172408016612</v>
      </c>
      <c r="M113" s="187"/>
      <c r="N113" s="262">
        <v>68.38</v>
      </c>
      <c r="O113" s="283"/>
      <c r="P113" s="278">
        <v>9438.239</v>
      </c>
      <c r="Q113" s="199">
        <f t="shared" si="32"/>
        <v>11502.192405186703</v>
      </c>
      <c r="R113" s="187"/>
      <c r="S113" s="202">
        <f t="shared" si="33"/>
        <v>-1.6899999999999977</v>
      </c>
      <c r="T113" s="199">
        <f t="shared" si="34"/>
        <v>838.3217520303333</v>
      </c>
      <c r="U113" s="189">
        <f t="shared" si="35"/>
        <v>107.86132708560376</v>
      </c>
    </row>
    <row r="114" spans="1:21" s="184" customFormat="1" ht="12">
      <c r="A114" s="190"/>
      <c r="B114" s="187"/>
      <c r="C114" s="255"/>
      <c r="D114" s="255"/>
      <c r="E114" s="278"/>
      <c r="F114" s="192"/>
      <c r="G114" s="262"/>
      <c r="H114" s="278"/>
      <c r="I114" s="199"/>
      <c r="J114" s="198"/>
      <c r="K114" s="199"/>
      <c r="L114" s="193"/>
      <c r="M114" s="187"/>
      <c r="N114" s="262"/>
      <c r="O114" s="283"/>
      <c r="P114" s="278"/>
      <c r="Q114" s="199"/>
      <c r="R114" s="187"/>
      <c r="S114" s="202"/>
      <c r="T114" s="199"/>
      <c r="U114" s="189"/>
    </row>
    <row r="115" spans="1:21" s="185" customFormat="1" ht="12.75" thickBot="1">
      <c r="A115" s="191" t="s">
        <v>144</v>
      </c>
      <c r="B115" s="186"/>
      <c r="C115" s="256">
        <v>906.24</v>
      </c>
      <c r="D115" s="256"/>
      <c r="E115" s="279">
        <v>191945.151</v>
      </c>
      <c r="F115" s="194">
        <f t="shared" si="27"/>
        <v>17650.32358977754</v>
      </c>
      <c r="G115" s="263">
        <v>877.36</v>
      </c>
      <c r="H115" s="279">
        <v>190456.693</v>
      </c>
      <c r="I115" s="201">
        <f t="shared" si="28"/>
        <v>18089.94151013647</v>
      </c>
      <c r="J115" s="200">
        <f t="shared" si="29"/>
        <v>-28.879999999999995</v>
      </c>
      <c r="K115" s="201">
        <f t="shared" si="30"/>
        <v>439.6179203589272</v>
      </c>
      <c r="L115" s="195">
        <f t="shared" si="31"/>
        <v>102.49070742597341</v>
      </c>
      <c r="M115" s="186"/>
      <c r="N115" s="263">
        <v>872.88</v>
      </c>
      <c r="O115" s="284"/>
      <c r="P115" s="279">
        <v>197208.452</v>
      </c>
      <c r="Q115" s="201">
        <f t="shared" si="32"/>
        <v>18827.37336938258</v>
      </c>
      <c r="R115" s="186"/>
      <c r="S115" s="203">
        <f t="shared" si="33"/>
        <v>-4.480000000000018</v>
      </c>
      <c r="T115" s="201">
        <f t="shared" si="34"/>
        <v>737.4318592461132</v>
      </c>
      <c r="U115" s="196">
        <f t="shared" si="35"/>
        <v>104.0764745360448</v>
      </c>
    </row>
    <row r="117" ht="12.75">
      <c r="A117" s="197" t="s">
        <v>147</v>
      </c>
    </row>
    <row r="118" ht="13.5" thickBot="1"/>
    <row r="119" spans="1:21" ht="12.75">
      <c r="A119" s="204"/>
      <c r="B119" s="205"/>
      <c r="C119" s="183" t="s">
        <v>167</v>
      </c>
      <c r="D119" s="181"/>
      <c r="E119" s="181"/>
      <c r="F119" s="182"/>
      <c r="G119" s="148" t="s">
        <v>168</v>
      </c>
      <c r="H119" s="206"/>
      <c r="I119" s="207"/>
      <c r="J119" s="148" t="s">
        <v>169</v>
      </c>
      <c r="K119" s="135"/>
      <c r="L119" s="211"/>
      <c r="M119" s="209"/>
      <c r="N119" s="251"/>
      <c r="O119" s="249"/>
      <c r="P119" s="249"/>
      <c r="Q119" s="250"/>
      <c r="R119" s="250"/>
      <c r="S119" s="251"/>
      <c r="T119" s="250"/>
      <c r="U119" s="252"/>
    </row>
    <row r="120" spans="1:21" ht="12.75">
      <c r="A120" s="212"/>
      <c r="B120" s="213"/>
      <c r="C120" s="214" t="s">
        <v>114</v>
      </c>
      <c r="D120" s="214"/>
      <c r="E120" s="215" t="s">
        <v>122</v>
      </c>
      <c r="F120" s="216" t="s">
        <v>118</v>
      </c>
      <c r="G120" s="217" t="s">
        <v>114</v>
      </c>
      <c r="H120" s="215" t="s">
        <v>122</v>
      </c>
      <c r="I120" s="216" t="s">
        <v>118</v>
      </c>
      <c r="J120" s="214" t="s">
        <v>114</v>
      </c>
      <c r="K120" s="215" t="s">
        <v>122</v>
      </c>
      <c r="L120" s="216" t="s">
        <v>118</v>
      </c>
      <c r="M120" s="221"/>
      <c r="N120" s="252"/>
      <c r="O120" s="252"/>
      <c r="P120" s="252"/>
      <c r="Q120" s="252"/>
      <c r="R120" s="250"/>
      <c r="S120" s="252"/>
      <c r="T120" s="252"/>
      <c r="U120" s="252"/>
    </row>
    <row r="121" spans="1:21" ht="12.75">
      <c r="A121" s="212" t="s">
        <v>113</v>
      </c>
      <c r="B121" s="213"/>
      <c r="C121" s="226" t="s">
        <v>115</v>
      </c>
      <c r="D121" s="226"/>
      <c r="E121" s="227" t="s">
        <v>130</v>
      </c>
      <c r="F121" s="224" t="s">
        <v>119</v>
      </c>
      <c r="G121" s="228" t="s">
        <v>115</v>
      </c>
      <c r="H121" s="227" t="s">
        <v>130</v>
      </c>
      <c r="I121" s="224" t="s">
        <v>119</v>
      </c>
      <c r="J121" s="226" t="s">
        <v>115</v>
      </c>
      <c r="K121" s="227" t="s">
        <v>130</v>
      </c>
      <c r="L121" s="224" t="s">
        <v>119</v>
      </c>
      <c r="M121" s="221"/>
      <c r="N121" s="252"/>
      <c r="O121" s="252"/>
      <c r="P121" s="252"/>
      <c r="Q121" s="252"/>
      <c r="R121" s="250"/>
      <c r="S121" s="252"/>
      <c r="T121" s="252"/>
      <c r="U121" s="252"/>
    </row>
    <row r="122" spans="1:21" ht="12.75">
      <c r="A122" s="225"/>
      <c r="B122" s="213"/>
      <c r="C122" s="226" t="s">
        <v>116</v>
      </c>
      <c r="D122" s="226"/>
      <c r="E122" s="227" t="s">
        <v>152</v>
      </c>
      <c r="F122" s="224" t="s">
        <v>123</v>
      </c>
      <c r="G122" s="228" t="s">
        <v>116</v>
      </c>
      <c r="H122" s="227" t="s">
        <v>152</v>
      </c>
      <c r="I122" s="224" t="s">
        <v>123</v>
      </c>
      <c r="J122" s="226" t="s">
        <v>116</v>
      </c>
      <c r="K122" s="227" t="s">
        <v>152</v>
      </c>
      <c r="L122" s="224" t="s">
        <v>123</v>
      </c>
      <c r="M122" s="221"/>
      <c r="N122" s="252"/>
      <c r="O122" s="252"/>
      <c r="P122" s="252"/>
      <c r="Q122" s="252"/>
      <c r="R122" s="250"/>
      <c r="S122" s="252"/>
      <c r="T122" s="252"/>
      <c r="U122" s="252"/>
    </row>
    <row r="123" spans="1:21" ht="13.5" thickBot="1">
      <c r="A123" s="233"/>
      <c r="B123" s="234"/>
      <c r="C123" s="179" t="s">
        <v>117</v>
      </c>
      <c r="D123" s="179"/>
      <c r="E123" s="178" t="s">
        <v>117</v>
      </c>
      <c r="F123" s="235"/>
      <c r="G123" s="175" t="s">
        <v>117</v>
      </c>
      <c r="H123" s="178" t="s">
        <v>117</v>
      </c>
      <c r="I123" s="235"/>
      <c r="J123" s="179" t="s">
        <v>117</v>
      </c>
      <c r="K123" s="178" t="s">
        <v>117</v>
      </c>
      <c r="L123" s="235"/>
      <c r="M123" s="238"/>
      <c r="N123" s="252"/>
      <c r="O123" s="252"/>
      <c r="P123" s="252"/>
      <c r="Q123" s="252"/>
      <c r="R123" s="250"/>
      <c r="S123" s="250"/>
      <c r="T123" s="252"/>
      <c r="U123" s="252"/>
    </row>
    <row r="124" spans="1:21" s="100" customFormat="1" ht="9.75">
      <c r="A124" s="144"/>
      <c r="B124" s="16"/>
      <c r="C124" s="16">
        <v>1</v>
      </c>
      <c r="D124" s="16"/>
      <c r="E124" s="97">
        <v>2</v>
      </c>
      <c r="F124" s="98" t="s">
        <v>150</v>
      </c>
      <c r="G124" s="96">
        <v>4</v>
      </c>
      <c r="H124" s="97">
        <v>5</v>
      </c>
      <c r="I124" s="98" t="s">
        <v>151</v>
      </c>
      <c r="J124" s="173">
        <v>7</v>
      </c>
      <c r="K124" s="170">
        <v>8</v>
      </c>
      <c r="L124" s="103" t="s">
        <v>149</v>
      </c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s="184" customFormat="1" ht="12">
      <c r="A125" s="190" t="s">
        <v>140</v>
      </c>
      <c r="B125" s="187"/>
      <c r="C125" s="255">
        <v>117.77</v>
      </c>
      <c r="D125" s="255"/>
      <c r="E125" s="278">
        <v>14538.867</v>
      </c>
      <c r="F125" s="192">
        <f aca="true" t="shared" si="36" ref="F125:F130">SUM(E125/C125/3*1000)</f>
        <v>41150.45427528233</v>
      </c>
      <c r="G125" s="280">
        <v>119.39</v>
      </c>
      <c r="H125" s="278">
        <v>29158.449</v>
      </c>
      <c r="I125" s="192">
        <f aca="true" t="shared" si="37" ref="I125:I130">SUM(H125/G125/6*1000)</f>
        <v>40704.761705335455</v>
      </c>
      <c r="J125" s="306">
        <v>120.993</v>
      </c>
      <c r="K125" s="283">
        <v>44999.54</v>
      </c>
      <c r="L125" s="199">
        <f aca="true" t="shared" si="38" ref="L125:L130">SUM(K125/J125/9*1000)</f>
        <v>41324.2823046696</v>
      </c>
      <c r="M125" s="187"/>
      <c r="N125" s="241"/>
      <c r="O125" s="241"/>
      <c r="P125" s="241"/>
      <c r="Q125" s="242"/>
      <c r="R125" s="243"/>
      <c r="S125" s="243"/>
      <c r="T125" s="242"/>
      <c r="U125" s="244"/>
    </row>
    <row r="126" spans="1:21" s="184" customFormat="1" ht="12">
      <c r="A126" s="190" t="s">
        <v>141</v>
      </c>
      <c r="B126" s="187"/>
      <c r="C126" s="255">
        <v>429.03</v>
      </c>
      <c r="D126" s="255"/>
      <c r="E126" s="278">
        <v>23714.675</v>
      </c>
      <c r="F126" s="192">
        <f t="shared" si="36"/>
        <v>18425.032437514084</v>
      </c>
      <c r="G126" s="280">
        <v>426.88</v>
      </c>
      <c r="H126" s="278">
        <v>48667.378</v>
      </c>
      <c r="I126" s="192">
        <f t="shared" si="37"/>
        <v>19001.193934282855</v>
      </c>
      <c r="J126" s="306">
        <v>426.228</v>
      </c>
      <c r="K126" s="283">
        <v>74521.011</v>
      </c>
      <c r="L126" s="199">
        <f t="shared" si="38"/>
        <v>19426.486137309923</v>
      </c>
      <c r="M126" s="187"/>
      <c r="N126" s="241"/>
      <c r="O126" s="241"/>
      <c r="P126" s="241"/>
      <c r="Q126" s="242"/>
      <c r="R126" s="241"/>
      <c r="S126" s="243"/>
      <c r="T126" s="242"/>
      <c r="U126" s="244"/>
    </row>
    <row r="127" spans="1:21" s="184" customFormat="1" ht="12">
      <c r="A127" s="190" t="s">
        <v>142</v>
      </c>
      <c r="B127" s="187"/>
      <c r="C127" s="255">
        <v>62.04</v>
      </c>
      <c r="D127" s="255"/>
      <c r="E127" s="278">
        <v>3483.082</v>
      </c>
      <c r="F127" s="192">
        <f t="shared" si="36"/>
        <v>18714.173651407695</v>
      </c>
      <c r="G127" s="280">
        <v>62</v>
      </c>
      <c r="H127" s="278">
        <v>6925.453</v>
      </c>
      <c r="I127" s="192">
        <f t="shared" si="37"/>
        <v>18616.80913978495</v>
      </c>
      <c r="J127" s="306">
        <v>61.566</v>
      </c>
      <c r="K127" s="283">
        <v>10425.269</v>
      </c>
      <c r="L127" s="199">
        <f t="shared" si="38"/>
        <v>18814.982656372384</v>
      </c>
      <c r="M127" s="187"/>
      <c r="N127" s="241"/>
      <c r="O127" s="241"/>
      <c r="P127" s="241"/>
      <c r="Q127" s="242"/>
      <c r="R127" s="241"/>
      <c r="S127" s="243"/>
      <c r="T127" s="242"/>
      <c r="U127" s="244"/>
    </row>
    <row r="128" spans="1:21" s="184" customFormat="1" ht="12">
      <c r="A128" s="190" t="s">
        <v>143</v>
      </c>
      <c r="B128" s="187"/>
      <c r="C128" s="255">
        <v>73.49</v>
      </c>
      <c r="D128" s="255"/>
      <c r="E128" s="278">
        <v>2490.946</v>
      </c>
      <c r="F128" s="192">
        <f t="shared" si="36"/>
        <v>11298.344445956367</v>
      </c>
      <c r="G128" s="280">
        <v>76.62</v>
      </c>
      <c r="H128" s="278">
        <v>5180.278</v>
      </c>
      <c r="I128" s="192">
        <f t="shared" si="37"/>
        <v>11268.332898285913</v>
      </c>
      <c r="J128" s="306">
        <v>80.999</v>
      </c>
      <c r="K128" s="283">
        <v>8172.334</v>
      </c>
      <c r="L128" s="199">
        <f t="shared" si="38"/>
        <v>11210.47310597799</v>
      </c>
      <c r="M128" s="187"/>
      <c r="N128" s="241"/>
      <c r="O128" s="241"/>
      <c r="P128" s="241"/>
      <c r="Q128" s="242"/>
      <c r="R128" s="241"/>
      <c r="S128" s="243"/>
      <c r="T128" s="242"/>
      <c r="U128" s="244"/>
    </row>
    <row r="129" spans="1:21" s="184" customFormat="1" ht="12">
      <c r="A129" s="190"/>
      <c r="B129" s="187"/>
      <c r="C129" s="255"/>
      <c r="D129" s="255"/>
      <c r="E129" s="278"/>
      <c r="F129" s="192"/>
      <c r="G129" s="280"/>
      <c r="H129" s="278"/>
      <c r="I129" s="192"/>
      <c r="J129" s="306"/>
      <c r="K129" s="283"/>
      <c r="L129" s="199"/>
      <c r="M129" s="187"/>
      <c r="N129" s="241"/>
      <c r="O129" s="241"/>
      <c r="P129" s="241"/>
      <c r="Q129" s="242"/>
      <c r="R129" s="241"/>
      <c r="S129" s="243"/>
      <c r="T129" s="242"/>
      <c r="U129" s="244"/>
    </row>
    <row r="130" spans="1:21" s="185" customFormat="1" ht="12.75" thickBot="1">
      <c r="A130" s="191" t="s">
        <v>144</v>
      </c>
      <c r="B130" s="186"/>
      <c r="C130" s="256">
        <v>876.62</v>
      </c>
      <c r="D130" s="256"/>
      <c r="E130" s="279">
        <v>53081.868</v>
      </c>
      <c r="F130" s="253">
        <f t="shared" si="36"/>
        <v>20184.294220985146</v>
      </c>
      <c r="G130" s="281">
        <v>877.73</v>
      </c>
      <c r="H130" s="282">
        <v>107999.83</v>
      </c>
      <c r="I130" s="254">
        <f t="shared" si="37"/>
        <v>20507.413061723615</v>
      </c>
      <c r="J130" s="307">
        <v>881.834</v>
      </c>
      <c r="K130" s="284">
        <v>165593.557</v>
      </c>
      <c r="L130" s="253">
        <f t="shared" si="38"/>
        <v>20864.79327300956</v>
      </c>
      <c r="M130" s="186"/>
      <c r="N130" s="245"/>
      <c r="O130" s="245"/>
      <c r="P130" s="245"/>
      <c r="Q130" s="246"/>
      <c r="R130" s="245"/>
      <c r="S130" s="247"/>
      <c r="T130" s="246"/>
      <c r="U130" s="248"/>
    </row>
    <row r="131" spans="1:11" ht="12.75">
      <c r="A131" s="3"/>
      <c r="E131" s="56"/>
      <c r="G131" s="34"/>
      <c r="H131" s="313"/>
      <c r="K131" s="33"/>
    </row>
    <row r="132" spans="1:10" ht="12.75">
      <c r="A132" s="3" t="s">
        <v>164</v>
      </c>
      <c r="B132" s="56"/>
      <c r="C132" s="56"/>
      <c r="D132" s="56"/>
      <c r="E132" s="56" t="s">
        <v>95</v>
      </c>
      <c r="F132" s="56"/>
      <c r="G132" s="289"/>
      <c r="H132" s="56"/>
      <c r="I132" s="56"/>
      <c r="J132" t="s">
        <v>86</v>
      </c>
    </row>
    <row r="133" spans="1:9" ht="12.75">
      <c r="A133" s="56" t="s">
        <v>163</v>
      </c>
      <c r="B133" s="56"/>
      <c r="C133" s="56"/>
      <c r="D133" s="56"/>
      <c r="E133" s="287">
        <v>568806647</v>
      </c>
      <c r="F133" s="56"/>
      <c r="G133" s="56"/>
      <c r="H133" s="290"/>
      <c r="I133" s="56"/>
    </row>
  </sheetData>
  <mergeCells count="6">
    <mergeCell ref="P51:S51"/>
    <mergeCell ref="E51:G51"/>
    <mergeCell ref="J6:L6"/>
    <mergeCell ref="J50:L50"/>
    <mergeCell ref="E7:G7"/>
    <mergeCell ref="P7:S7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showGridLines="0" workbookViewId="0" topLeftCell="A1">
      <selection activeCell="A9" sqref="A9"/>
    </sheetView>
  </sheetViews>
  <sheetFormatPr defaultColWidth="9.00390625" defaultRowHeight="12.75"/>
  <cols>
    <col min="1" max="1" width="23.625" style="0" customWidth="1"/>
    <col min="2" max="2" width="10.125" style="0" customWidth="1"/>
    <col min="3" max="3" width="10.625" style="0" customWidth="1"/>
    <col min="4" max="4" width="10.25390625" style="0" customWidth="1"/>
    <col min="5" max="6" width="11.25390625" style="0" customWidth="1"/>
    <col min="7" max="7" width="11.125" style="0" customWidth="1"/>
    <col min="8" max="8" width="10.625" style="0" customWidth="1"/>
  </cols>
  <sheetData>
    <row r="1" spans="1:8" ht="18">
      <c r="A1" s="1" t="s">
        <v>176</v>
      </c>
      <c r="B1" s="2"/>
      <c r="C1" s="2"/>
      <c r="D1" s="2"/>
      <c r="E1" s="2"/>
      <c r="F1" s="2"/>
      <c r="G1" s="2"/>
      <c r="H1" s="2"/>
    </row>
    <row r="2" ht="12.75">
      <c r="A2" s="3" t="s">
        <v>153</v>
      </c>
    </row>
    <row r="3" ht="12.75">
      <c r="A3" s="3"/>
    </row>
    <row r="4" ht="12.75">
      <c r="A4" s="3"/>
    </row>
    <row r="5" ht="15" customHeight="1">
      <c r="A5" s="261" t="s">
        <v>96</v>
      </c>
    </row>
    <row r="6" ht="11.25" customHeight="1" thickBot="1">
      <c r="F6" s="4" t="s">
        <v>2</v>
      </c>
    </row>
    <row r="7" spans="1:7" ht="12.75">
      <c r="A7" s="148" t="s">
        <v>71</v>
      </c>
      <c r="B7" s="318" t="s">
        <v>72</v>
      </c>
      <c r="C7" s="319"/>
      <c r="D7" s="319"/>
      <c r="E7" s="324"/>
      <c r="F7" s="149" t="s">
        <v>13</v>
      </c>
      <c r="G7" s="10"/>
    </row>
    <row r="8" spans="1:7" ht="13.5" thickBot="1">
      <c r="A8" s="150"/>
      <c r="B8" s="151">
        <v>37986</v>
      </c>
      <c r="C8" s="152">
        <v>38352</v>
      </c>
      <c r="D8" s="153">
        <v>38717</v>
      </c>
      <c r="E8" s="154">
        <v>39051</v>
      </c>
      <c r="F8" s="155" t="s">
        <v>17</v>
      </c>
      <c r="G8" s="10"/>
    </row>
    <row r="9" spans="1:8" s="138" customFormat="1" ht="9.75">
      <c r="A9" s="264"/>
      <c r="B9" s="16">
        <v>1</v>
      </c>
      <c r="C9" s="97">
        <v>2</v>
      </c>
      <c r="D9" s="16">
        <v>3</v>
      </c>
      <c r="E9" s="99">
        <v>4</v>
      </c>
      <c r="F9" s="98" t="s">
        <v>85</v>
      </c>
      <c r="G9" s="96"/>
      <c r="H9" s="100"/>
    </row>
    <row r="10" spans="1:7" ht="12.75">
      <c r="A10" s="157" t="s">
        <v>97</v>
      </c>
      <c r="B10" s="172">
        <v>48575.82</v>
      </c>
      <c r="C10" s="58">
        <v>69989.691</v>
      </c>
      <c r="D10" s="70">
        <v>73404.991</v>
      </c>
      <c r="E10" s="69">
        <v>70917.796</v>
      </c>
      <c r="F10" s="60">
        <f>SUM(E10-D10)</f>
        <v>-2487.1949999999924</v>
      </c>
      <c r="G10" s="139"/>
    </row>
    <row r="11" spans="1:7" ht="12.75">
      <c r="A11" s="309" t="s">
        <v>73</v>
      </c>
      <c r="B11" s="172">
        <v>1667.254</v>
      </c>
      <c r="C11" s="58">
        <v>271.076</v>
      </c>
      <c r="D11" s="70">
        <v>395.775</v>
      </c>
      <c r="E11" s="69">
        <v>2537.289</v>
      </c>
      <c r="F11" s="60">
        <f>SUM(E11-D11)</f>
        <v>2141.514</v>
      </c>
      <c r="G11" s="139"/>
    </row>
    <row r="12" spans="1:7" ht="12.75">
      <c r="A12" s="157" t="s">
        <v>98</v>
      </c>
      <c r="B12" s="172">
        <v>0</v>
      </c>
      <c r="C12" s="58">
        <v>0.465</v>
      </c>
      <c r="D12" s="70">
        <v>0.496</v>
      </c>
      <c r="E12" s="69">
        <v>46.291</v>
      </c>
      <c r="F12" s="60">
        <f>SUM(E12-D12)</f>
        <v>45.794999999999995</v>
      </c>
      <c r="G12" s="139"/>
    </row>
    <row r="13" spans="1:7" ht="12.75">
      <c r="A13" s="157" t="s">
        <v>99</v>
      </c>
      <c r="B13" s="172">
        <v>839.512</v>
      </c>
      <c r="C13" s="58">
        <v>564.059</v>
      </c>
      <c r="D13" s="70">
        <v>694.323</v>
      </c>
      <c r="E13" s="69">
        <v>10351.037</v>
      </c>
      <c r="F13" s="60">
        <f>SUM(E13-D13)</f>
        <v>9656.714</v>
      </c>
      <c r="G13" s="292"/>
    </row>
    <row r="14" spans="1:7" ht="13.5" thickBot="1">
      <c r="A14" s="310" t="s">
        <v>74</v>
      </c>
      <c r="B14" s="141">
        <f>SUM(B10:B13)</f>
        <v>51082.586</v>
      </c>
      <c r="C14" s="64">
        <f>SUM(C10:C13)</f>
        <v>70825.291</v>
      </c>
      <c r="D14" s="141">
        <f>SUM(D10:D13)</f>
        <v>74495.58499999999</v>
      </c>
      <c r="E14" s="142">
        <f>SUM(E10:E13)</f>
        <v>83852.413</v>
      </c>
      <c r="F14" s="65">
        <f>SUM(F10:F13)</f>
        <v>9356.828000000007</v>
      </c>
      <c r="G14" s="140"/>
    </row>
    <row r="15" spans="1:7" s="294" customFormat="1" ht="12.75">
      <c r="A15" s="291"/>
      <c r="B15" s="68"/>
      <c r="C15" s="68"/>
      <c r="D15" s="68"/>
      <c r="E15" s="68"/>
      <c r="F15" s="68"/>
      <c r="G15" s="293"/>
    </row>
    <row r="16" ht="9" customHeight="1"/>
    <row r="17" ht="15.75">
      <c r="A17" s="261" t="s">
        <v>75</v>
      </c>
    </row>
    <row r="18" spans="7:8" ht="11.25" customHeight="1" thickBot="1">
      <c r="G18" s="4" t="s">
        <v>2</v>
      </c>
      <c r="H18" s="4"/>
    </row>
    <row r="19" spans="1:8" ht="12.75">
      <c r="A19" s="148" t="s">
        <v>76</v>
      </c>
      <c r="B19" s="328" t="s">
        <v>109</v>
      </c>
      <c r="C19" s="329"/>
      <c r="D19" s="329"/>
      <c r="E19" s="329"/>
      <c r="F19" s="329"/>
      <c r="G19" s="330"/>
      <c r="H19" s="72"/>
    </row>
    <row r="20" spans="1:8" ht="13.5" thickBot="1">
      <c r="A20" s="164"/>
      <c r="B20" s="169" t="s">
        <v>101</v>
      </c>
      <c r="C20" s="166" t="s">
        <v>77</v>
      </c>
      <c r="D20" s="167" t="s">
        <v>78</v>
      </c>
      <c r="E20" s="167" t="s">
        <v>79</v>
      </c>
      <c r="F20" s="167" t="s">
        <v>80</v>
      </c>
      <c r="G20" s="168" t="s">
        <v>81</v>
      </c>
      <c r="H20" s="7"/>
    </row>
    <row r="21" spans="1:8" s="138" customFormat="1" ht="9.75">
      <c r="A21" s="143"/>
      <c r="B21" s="144" t="s">
        <v>100</v>
      </c>
      <c r="C21" s="96">
        <v>2</v>
      </c>
      <c r="D21" s="97">
        <v>3</v>
      </c>
      <c r="E21" s="97">
        <v>4</v>
      </c>
      <c r="F21" s="97">
        <v>5</v>
      </c>
      <c r="G21" s="98">
        <v>6</v>
      </c>
      <c r="H21" s="16"/>
    </row>
    <row r="22" spans="1:8" ht="12.75">
      <c r="A22" s="19" t="s">
        <v>84</v>
      </c>
      <c r="B22" s="156">
        <f>SUM(C22:G22)</f>
        <v>7645</v>
      </c>
      <c r="C22" s="57">
        <v>5467</v>
      </c>
      <c r="D22" s="58">
        <v>632</v>
      </c>
      <c r="E22" s="58">
        <v>410</v>
      </c>
      <c r="F22" s="58">
        <v>506</v>
      </c>
      <c r="G22" s="59">
        <v>630</v>
      </c>
      <c r="H22" s="71"/>
    </row>
    <row r="23" spans="1:8" ht="12.75">
      <c r="A23" s="73" t="s">
        <v>87</v>
      </c>
      <c r="B23" s="156">
        <f>SUM(C23:G23)</f>
        <v>6080.939539999999</v>
      </c>
      <c r="C23" s="57">
        <v>4746.308</v>
      </c>
      <c r="D23" s="58">
        <f>653.005+1.14</f>
        <v>654.145</v>
      </c>
      <c r="E23" s="58">
        <v>125.499</v>
      </c>
      <c r="F23" s="58">
        <f>75.63354+2.154</f>
        <v>77.78753999999999</v>
      </c>
      <c r="G23" s="59">
        <f>424.978+52.222</f>
        <v>477.2</v>
      </c>
      <c r="H23" s="71"/>
    </row>
    <row r="24" spans="1:8" ht="12.75">
      <c r="A24" s="157" t="s">
        <v>165</v>
      </c>
      <c r="B24" s="156">
        <f>SUM(C24:G24)</f>
        <v>10429.471999999998</v>
      </c>
      <c r="C24" s="145">
        <v>6076.3589999999995</v>
      </c>
      <c r="D24" s="146">
        <v>3354.758</v>
      </c>
      <c r="E24" s="146">
        <v>110.96900000000001</v>
      </c>
      <c r="F24" s="146">
        <v>302.994</v>
      </c>
      <c r="G24" s="147">
        <v>584.3919999999999</v>
      </c>
      <c r="H24" s="71"/>
    </row>
    <row r="25" spans="1:8" ht="12.75">
      <c r="A25" s="157" t="s">
        <v>177</v>
      </c>
      <c r="B25" s="156">
        <f>SUM(C25:G25)</f>
        <v>9626.194000000001</v>
      </c>
      <c r="C25" s="145">
        <v>5533.911</v>
      </c>
      <c r="D25" s="146">
        <v>289.43</v>
      </c>
      <c r="E25" s="146">
        <v>182.444</v>
      </c>
      <c r="F25" s="146">
        <v>2941.88</v>
      </c>
      <c r="G25" s="147">
        <v>678.529</v>
      </c>
      <c r="H25" s="71"/>
    </row>
    <row r="26" spans="1:8" ht="13.5" thickBot="1">
      <c r="A26" s="62" t="s">
        <v>178</v>
      </c>
      <c r="B26" s="66">
        <f aca="true" t="shared" si="0" ref="B26:G26">SUM(B25-B24)</f>
        <v>-803.2779999999966</v>
      </c>
      <c r="C26" s="158">
        <f>SUM(C25-C24)</f>
        <v>-542.4479999999994</v>
      </c>
      <c r="D26" s="159">
        <f t="shared" si="0"/>
        <v>-3065.328</v>
      </c>
      <c r="E26" s="159">
        <f t="shared" si="0"/>
        <v>71.47499999999998</v>
      </c>
      <c r="F26" s="159">
        <f t="shared" si="0"/>
        <v>2638.886</v>
      </c>
      <c r="G26" s="160">
        <f t="shared" si="0"/>
        <v>94.13700000000006</v>
      </c>
      <c r="H26" s="68"/>
    </row>
    <row r="27" spans="1:8" ht="7.5" customHeight="1">
      <c r="A27" s="67"/>
      <c r="B27" s="68"/>
      <c r="C27" s="68"/>
      <c r="D27" s="68"/>
      <c r="E27" s="68"/>
      <c r="F27" s="68"/>
      <c r="G27" s="68"/>
      <c r="H27" s="68"/>
    </row>
    <row r="28" ht="15.75">
      <c r="A28" s="261" t="s">
        <v>102</v>
      </c>
    </row>
    <row r="29" ht="11.25" customHeight="1" thickBot="1">
      <c r="F29" s="4" t="s">
        <v>2</v>
      </c>
    </row>
    <row r="30" spans="1:6" ht="12.75">
      <c r="A30" s="148" t="s">
        <v>82</v>
      </c>
      <c r="B30" s="325" t="s">
        <v>72</v>
      </c>
      <c r="C30" s="326"/>
      <c r="D30" s="326"/>
      <c r="E30" s="327"/>
      <c r="F30" s="149" t="s">
        <v>13</v>
      </c>
    </row>
    <row r="31" spans="1:6" ht="13.5" thickBot="1">
      <c r="A31" s="150"/>
      <c r="B31" s="288">
        <v>37986</v>
      </c>
      <c r="C31" s="163">
        <v>38352</v>
      </c>
      <c r="D31" s="312">
        <v>38717</v>
      </c>
      <c r="E31" s="154">
        <v>39051</v>
      </c>
      <c r="F31" s="155" t="s">
        <v>17</v>
      </c>
    </row>
    <row r="32" spans="1:6" s="138" customFormat="1" ht="9.75">
      <c r="A32" s="96"/>
      <c r="B32" s="267">
        <v>1</v>
      </c>
      <c r="C32" s="268">
        <v>2</v>
      </c>
      <c r="D32" s="269">
        <v>3</v>
      </c>
      <c r="E32" s="103">
        <v>4</v>
      </c>
      <c r="F32" s="98" t="s">
        <v>85</v>
      </c>
    </row>
    <row r="33" spans="1:7" ht="12.75">
      <c r="A33" s="19" t="s">
        <v>103</v>
      </c>
      <c r="B33" s="174">
        <v>74580.587</v>
      </c>
      <c r="C33" s="70">
        <v>63580.769</v>
      </c>
      <c r="D33" s="171">
        <v>88109.461</v>
      </c>
      <c r="E33" s="69">
        <v>70709.73</v>
      </c>
      <c r="F33" s="60">
        <f aca="true" t="shared" si="1" ref="F33:F39">E33-D33</f>
        <v>-17399.731</v>
      </c>
      <c r="G33" s="292"/>
    </row>
    <row r="34" spans="1:6" ht="12.75">
      <c r="A34" s="61" t="s">
        <v>104</v>
      </c>
      <c r="B34" s="174">
        <v>0</v>
      </c>
      <c r="C34" s="70">
        <v>0</v>
      </c>
      <c r="D34" s="171">
        <v>0</v>
      </c>
      <c r="E34" s="69">
        <v>245.927</v>
      </c>
      <c r="F34" s="60">
        <f t="shared" si="1"/>
        <v>245.927</v>
      </c>
    </row>
    <row r="35" spans="1:6" ht="12.75">
      <c r="A35" s="19" t="s">
        <v>105</v>
      </c>
      <c r="B35" s="174">
        <v>144.257</v>
      </c>
      <c r="C35" s="70">
        <v>0</v>
      </c>
      <c r="D35" s="171">
        <v>3.796</v>
      </c>
      <c r="E35" s="69">
        <v>-0.01814</v>
      </c>
      <c r="F35" s="60">
        <f t="shared" si="1"/>
        <v>-3.8141399999999996</v>
      </c>
    </row>
    <row r="36" spans="1:6" ht="12.75">
      <c r="A36" s="19" t="s">
        <v>106</v>
      </c>
      <c r="B36" s="174">
        <v>645.023</v>
      </c>
      <c r="C36" s="70">
        <v>566.475</v>
      </c>
      <c r="D36" s="171">
        <v>669.836</v>
      </c>
      <c r="E36" s="69">
        <v>1204.44</v>
      </c>
      <c r="F36" s="60">
        <f t="shared" si="1"/>
        <v>534.604</v>
      </c>
    </row>
    <row r="37" spans="1:8" ht="12.75">
      <c r="A37" s="19" t="s">
        <v>108</v>
      </c>
      <c r="B37" s="174">
        <v>0</v>
      </c>
      <c r="C37" s="70">
        <v>0</v>
      </c>
      <c r="D37" s="171">
        <v>0</v>
      </c>
      <c r="E37" s="69">
        <v>0</v>
      </c>
      <c r="F37" s="60">
        <f t="shared" si="1"/>
        <v>0</v>
      </c>
      <c r="H37" s="32"/>
    </row>
    <row r="38" spans="1:6" ht="12.75">
      <c r="A38" s="19" t="s">
        <v>111</v>
      </c>
      <c r="B38" s="174">
        <v>0</v>
      </c>
      <c r="C38" s="70">
        <v>0</v>
      </c>
      <c r="D38" s="171">
        <v>0</v>
      </c>
      <c r="E38" s="69">
        <v>0</v>
      </c>
      <c r="F38" s="60">
        <f t="shared" si="1"/>
        <v>0</v>
      </c>
    </row>
    <row r="39" spans="1:6" ht="12.75">
      <c r="A39" s="137" t="s">
        <v>107</v>
      </c>
      <c r="B39" s="174">
        <v>4494.534</v>
      </c>
      <c r="C39" s="70">
        <v>9917.466</v>
      </c>
      <c r="D39" s="171">
        <v>3385.237</v>
      </c>
      <c r="E39" s="69">
        <v>3323.864</v>
      </c>
      <c r="F39" s="60">
        <f t="shared" si="1"/>
        <v>-61.37300000000005</v>
      </c>
    </row>
    <row r="40" spans="1:6" ht="14.25" customHeight="1" thickBot="1">
      <c r="A40" s="62" t="s">
        <v>83</v>
      </c>
      <c r="B40" s="63">
        <f>SUM(B33:B39)</f>
        <v>79864.401</v>
      </c>
      <c r="C40" s="64">
        <f>SUM(C33:C39)</f>
        <v>74064.70999999999</v>
      </c>
      <c r="D40" s="141">
        <f>SUM(D33:D39)</f>
        <v>92168.32999999999</v>
      </c>
      <c r="E40" s="142">
        <f>SUM(E33:E39)</f>
        <v>75483.94286</v>
      </c>
      <c r="F40" s="65">
        <f>SUM(F33:F39)</f>
        <v>-16684.38714</v>
      </c>
    </row>
    <row r="41" spans="1:8" ht="14.25" customHeight="1">
      <c r="A41" s="291"/>
      <c r="H41" s="56"/>
    </row>
    <row r="42" ht="9" customHeight="1">
      <c r="H42" s="56"/>
    </row>
    <row r="43" ht="14.25" customHeight="1">
      <c r="A43" s="261" t="s">
        <v>110</v>
      </c>
    </row>
    <row r="44" spans="7:8" ht="11.25" customHeight="1" thickBot="1">
      <c r="G44" s="4" t="s">
        <v>2</v>
      </c>
      <c r="H44" s="4"/>
    </row>
    <row r="45" spans="1:8" ht="12.75">
      <c r="A45" s="148" t="s">
        <v>76</v>
      </c>
      <c r="B45" s="321" t="s">
        <v>158</v>
      </c>
      <c r="C45" s="322"/>
      <c r="D45" s="322"/>
      <c r="E45" s="322"/>
      <c r="F45" s="322"/>
      <c r="G45" s="323"/>
      <c r="H45" s="72"/>
    </row>
    <row r="46" spans="1:8" ht="13.5" thickBot="1">
      <c r="A46" s="164"/>
      <c r="B46" s="165" t="s">
        <v>101</v>
      </c>
      <c r="C46" s="166" t="s">
        <v>77</v>
      </c>
      <c r="D46" s="167" t="s">
        <v>78</v>
      </c>
      <c r="E46" s="167" t="s">
        <v>79</v>
      </c>
      <c r="F46" s="167" t="s">
        <v>80</v>
      </c>
      <c r="G46" s="168" t="s">
        <v>81</v>
      </c>
      <c r="H46" s="7"/>
    </row>
    <row r="47" spans="1:8" s="138" customFormat="1" ht="9.75">
      <c r="A47" s="143"/>
      <c r="B47" s="144" t="s">
        <v>159</v>
      </c>
      <c r="C47" s="96">
        <v>2</v>
      </c>
      <c r="D47" s="97">
        <v>3</v>
      </c>
      <c r="E47" s="97">
        <v>4</v>
      </c>
      <c r="F47" s="97">
        <v>5</v>
      </c>
      <c r="G47" s="98">
        <v>6</v>
      </c>
      <c r="H47" s="16"/>
    </row>
    <row r="48" spans="1:8" ht="12.75">
      <c r="A48" s="19" t="s">
        <v>84</v>
      </c>
      <c r="B48" s="156">
        <f>SUM(C48:G48)</f>
        <v>64556</v>
      </c>
      <c r="C48" s="57">
        <v>12103</v>
      </c>
      <c r="D48" s="58">
        <v>17759</v>
      </c>
      <c r="E48" s="58">
        <v>24198</v>
      </c>
      <c r="F48" s="58">
        <v>10473</v>
      </c>
      <c r="G48" s="59">
        <v>23</v>
      </c>
      <c r="H48" s="71"/>
    </row>
    <row r="49" spans="1:8" ht="12.75">
      <c r="A49" s="73" t="s">
        <v>87</v>
      </c>
      <c r="B49" s="156">
        <f>SUM(C49:G49)</f>
        <v>34963.573</v>
      </c>
      <c r="C49" s="57">
        <v>10402.569</v>
      </c>
      <c r="D49" s="58">
        <v>15082.474</v>
      </c>
      <c r="E49" s="58">
        <v>9478.53</v>
      </c>
      <c r="F49" s="58">
        <v>0</v>
      </c>
      <c r="G49" s="59">
        <v>0</v>
      </c>
      <c r="H49" s="71"/>
    </row>
    <row r="50" spans="1:8" ht="12.75">
      <c r="A50" s="157" t="s">
        <v>165</v>
      </c>
      <c r="B50" s="156">
        <f>SUM(C50:G50)</f>
        <v>62264.602</v>
      </c>
      <c r="C50" s="57">
        <v>14644.687</v>
      </c>
      <c r="D50" s="58">
        <v>21112.106</v>
      </c>
      <c r="E50" s="58">
        <v>22416.339</v>
      </c>
      <c r="F50" s="58">
        <v>4091.47</v>
      </c>
      <c r="G50" s="59">
        <v>0</v>
      </c>
      <c r="H50" s="71"/>
    </row>
    <row r="51" spans="1:8" ht="12.75">
      <c r="A51" s="157" t="s">
        <v>177</v>
      </c>
      <c r="B51" s="156">
        <f>SUM(C51:G51)</f>
        <v>21393.108999999997</v>
      </c>
      <c r="C51" s="71">
        <v>8108.833</v>
      </c>
      <c r="D51" s="74">
        <v>10836.018</v>
      </c>
      <c r="E51" s="74">
        <v>2448.258</v>
      </c>
      <c r="F51" s="74">
        <v>0</v>
      </c>
      <c r="G51" s="75">
        <v>0</v>
      </c>
      <c r="H51" s="71"/>
    </row>
    <row r="52" spans="1:8" ht="13.5" thickBot="1">
      <c r="A52" s="161" t="s">
        <v>178</v>
      </c>
      <c r="B52" s="162">
        <f aca="true" t="shared" si="2" ref="B52:G52">B51-B50</f>
        <v>-40871.493</v>
      </c>
      <c r="C52" s="158">
        <f t="shared" si="2"/>
        <v>-6535.854</v>
      </c>
      <c r="D52" s="159">
        <f t="shared" si="2"/>
        <v>-10276.088</v>
      </c>
      <c r="E52" s="159">
        <f t="shared" si="2"/>
        <v>-19968.081</v>
      </c>
      <c r="F52" s="159">
        <f t="shared" si="2"/>
        <v>-4091.47</v>
      </c>
      <c r="G52" s="160">
        <f t="shared" si="2"/>
        <v>0</v>
      </c>
      <c r="H52" s="68"/>
    </row>
    <row r="53" spans="1:8" ht="13.5" thickBot="1">
      <c r="A53" s="3"/>
      <c r="C53" s="56"/>
      <c r="F53" s="56"/>
      <c r="H53" s="34"/>
    </row>
    <row r="54" spans="1:8" ht="12.75">
      <c r="A54" s="148" t="s">
        <v>76</v>
      </c>
      <c r="B54" s="321" t="s">
        <v>160</v>
      </c>
      <c r="C54" s="322"/>
      <c r="D54" s="322"/>
      <c r="E54" s="322"/>
      <c r="F54" s="322"/>
      <c r="G54" s="323"/>
      <c r="H54" s="34"/>
    </row>
    <row r="55" spans="1:8" ht="13.5" thickBot="1">
      <c r="A55" s="164"/>
      <c r="B55" s="165" t="s">
        <v>101</v>
      </c>
      <c r="C55" s="166" t="s">
        <v>77</v>
      </c>
      <c r="D55" s="167" t="s">
        <v>78</v>
      </c>
      <c r="E55" s="167" t="s">
        <v>79</v>
      </c>
      <c r="F55" s="167" t="s">
        <v>80</v>
      </c>
      <c r="G55" s="168" t="s">
        <v>81</v>
      </c>
      <c r="H55" s="34"/>
    </row>
    <row r="56" spans="1:8" s="138" customFormat="1" ht="9.75">
      <c r="A56" s="285"/>
      <c r="B56" s="144" t="s">
        <v>159</v>
      </c>
      <c r="C56" s="96">
        <v>2</v>
      </c>
      <c r="D56" s="97">
        <v>3</v>
      </c>
      <c r="E56" s="97">
        <v>4</v>
      </c>
      <c r="F56" s="97">
        <v>5</v>
      </c>
      <c r="G56" s="98">
        <v>6</v>
      </c>
      <c r="H56" s="286"/>
    </row>
    <row r="57" spans="1:8" ht="12.75">
      <c r="A57" s="73" t="s">
        <v>165</v>
      </c>
      <c r="B57" s="156">
        <f>SUM(C57:G57)</f>
        <v>0</v>
      </c>
      <c r="C57" s="57"/>
      <c r="D57" s="58"/>
      <c r="E57" s="58"/>
      <c r="F57" s="58"/>
      <c r="G57" s="59"/>
      <c r="H57" s="34"/>
    </row>
    <row r="58" spans="1:8" ht="12.75">
      <c r="A58" s="157" t="s">
        <v>177</v>
      </c>
      <c r="B58" s="156">
        <f>SUM(C58:G58)</f>
        <v>0</v>
      </c>
      <c r="C58" s="71"/>
      <c r="D58" s="74"/>
      <c r="E58" s="74"/>
      <c r="F58" s="74"/>
      <c r="G58" s="75"/>
      <c r="H58" s="34"/>
    </row>
    <row r="59" spans="1:8" ht="13.5" thickBot="1">
      <c r="A59" s="161" t="s">
        <v>178</v>
      </c>
      <c r="B59" s="162">
        <f aca="true" t="shared" si="3" ref="B59:G59">B58-B57</f>
        <v>0</v>
      </c>
      <c r="C59" s="158">
        <f t="shared" si="3"/>
        <v>0</v>
      </c>
      <c r="D59" s="159">
        <f t="shared" si="3"/>
        <v>0</v>
      </c>
      <c r="E59" s="159">
        <f t="shared" si="3"/>
        <v>0</v>
      </c>
      <c r="F59" s="159">
        <f t="shared" si="3"/>
        <v>0</v>
      </c>
      <c r="G59" s="160">
        <f t="shared" si="3"/>
        <v>0</v>
      </c>
      <c r="H59" s="34"/>
    </row>
    <row r="60" spans="1:8" ht="12.75">
      <c r="A60" s="3"/>
      <c r="C60" s="56"/>
      <c r="F60" s="56"/>
      <c r="H60" s="34"/>
    </row>
    <row r="61" spans="1:8" ht="12.75">
      <c r="A61" s="3" t="s">
        <v>162</v>
      </c>
      <c r="C61" s="56" t="s">
        <v>95</v>
      </c>
      <c r="F61" s="56"/>
      <c r="H61" s="34"/>
    </row>
    <row r="62" spans="1:8" ht="12.75">
      <c r="A62" s="3" t="s">
        <v>163</v>
      </c>
      <c r="C62" s="287">
        <v>568809647</v>
      </c>
      <c r="F62" s="56"/>
      <c r="H62" s="34"/>
    </row>
  </sheetData>
  <mergeCells count="5">
    <mergeCell ref="B54:G54"/>
    <mergeCell ref="B7:E7"/>
    <mergeCell ref="B30:E30"/>
    <mergeCell ref="B19:G19"/>
    <mergeCell ref="B45:G4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jakoubkova</cp:lastModifiedBy>
  <cp:lastPrinted>2007-01-10T19:28:33Z</cp:lastPrinted>
  <dcterms:created xsi:type="dcterms:W3CDTF">2003-08-01T09:57:58Z</dcterms:created>
  <dcterms:modified xsi:type="dcterms:W3CDTF">2007-01-11T12:53:16Z</dcterms:modified>
  <cp:category/>
  <cp:version/>
  <cp:contentType/>
  <cp:contentStatus/>
</cp:coreProperties>
</file>