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9120" tabRatio="939" activeTab="0"/>
  </bookViews>
  <sheets>
    <sheet name="sumář" sheetId="1" r:id="rId1"/>
    <sheet name="H.Brod" sheetId="2" r:id="rId2"/>
    <sheet name="HB - investic" sheetId="3" r:id="rId3"/>
    <sheet name="Jihlava" sheetId="4" r:id="rId4"/>
    <sheet name="JI - návrh" sheetId="5" r:id="rId5"/>
    <sheet name="Pelhřimov" sheetId="6" r:id="rId6"/>
    <sheet name="PE - návrh" sheetId="7" r:id="rId7"/>
    <sheet name="Třebíč" sheetId="8" r:id="rId8"/>
    <sheet name="TR - návrh" sheetId="9" r:id="rId9"/>
    <sheet name="N.Město" sheetId="10" r:id="rId10"/>
    <sheet name="NM - investice" sheetId="11" r:id="rId11"/>
    <sheet name="ZZS" sheetId="12" r:id="rId12"/>
    <sheet name="čerpání IF vl. " sheetId="13" r:id="rId13"/>
  </sheets>
  <definedNames>
    <definedName name="_xlnm.Print_Titles" localSheetId="4">'JI - návrh'!$4:$5</definedName>
    <definedName name="_xlnm.Print_Titles" localSheetId="10">'NM - investice'!$1:$4</definedName>
    <definedName name="_xlnm.Print_Area" localSheetId="3">'Jihlava'!$A$1:$R$40</definedName>
    <definedName name="_xlnm.Print_Area" localSheetId="9">'N.Město'!$A$1:$T$38</definedName>
    <definedName name="_xlnm.Print_Area" localSheetId="5">'Pelhřimov'!$A$1:$R$38</definedName>
    <definedName name="_xlnm.Print_Area" localSheetId="0">'sumář'!$A$1:$K$48</definedName>
    <definedName name="_xlnm.Print_Area" localSheetId="7">'Třebíč'!$A$1:$U$41</definedName>
  </definedNames>
  <calcPr fullCalcOnLoad="1"/>
</workbook>
</file>

<file path=xl/comments4.xml><?xml version="1.0" encoding="utf-8"?>
<comments xmlns="http://schemas.openxmlformats.org/spreadsheetml/2006/main">
  <authors>
    <author>Ing. Martin Šuma</author>
  </authors>
  <commentList>
    <comment ref="F15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1 274 000 dotace na soc.sestru, knihovnu 
39 000 000 provozní dotace -&gt; přesun z investic do provozu
765 960,50 provozní dotace za přijatá plnění za rok 2005 dle příkazní smlouvy (žádost NJ z 27.1.2006)
99 235 provozní dotace za přijatá plnění za rok 2004 dle příkazní smlouvy (žádost NJ z 27.1.2006)
6 166 103 dotace na LSPP
50 000 dotace od KrÚ (Úřad práce)
82 911 -Fond Vysočiny. 0570/09/2005/ZK ze dne 21.12.2005 a schválené žádosti o podporu č. FV 045/131/06
prozatím v plánu odstraněno (nebude nyní RK projednávat)
1 800 000 provozní dotace z příkazní smlouvy z plnění za rok 2006
odstraněno 50 tis. dotace od ÚP - prozatím není v rozpočtu, rozpočet bude upravován dle skutečnosti</t>
        </r>
      </text>
    </comment>
  </commentList>
</comments>
</file>

<file path=xl/comments6.xml><?xml version="1.0" encoding="utf-8"?>
<comments xmlns="http://schemas.openxmlformats.org/spreadsheetml/2006/main">
  <authors>
    <author>Ing. Martin Šuma</author>
  </authors>
  <commentList>
    <comment ref="F15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1 274 000 dotace na soc.sestru, knihovnu 
39 000 000 provozní dotace -&gt; přesun z investic do provozu
765 960,50 provozní dotace za přijatá plnění za rok 2005 dle příkazní smlouvy (žádost NJ z 27.1.2006)
99 235 provozní dotace za přijatá plnění za rok 2004 dle příkazní smlouvy (žádost NJ z 27.1.2006)
6 166 103 dotace na LSPP
50 000 dotace od KrÚ (Úřad práce)
82 911 -Fond Vysočiny. 0570/09/2005/ZK ze dne 21.12.2005 a schválené žádosti o podporu č. FV 045/131/06
prozatím v plánu odstraněno (nebude nyní RK projednávat)
1 800 000 provozní dotace z příkazní smlouvy z plnění za rok 2006
odstraněno 50 tis. dotace od ÚP - prozatím není v rozpočtu, rozpočet bude upravován dle skutečnosti</t>
        </r>
      </text>
    </comment>
  </commentList>
</comments>
</file>

<file path=xl/sharedStrings.xml><?xml version="1.0" encoding="utf-8"?>
<sst xmlns="http://schemas.openxmlformats.org/spreadsheetml/2006/main" count="930" uniqueCount="417">
  <si>
    <t>Finanční plán</t>
  </si>
  <si>
    <t>Skutečnost 2003</t>
  </si>
  <si>
    <t>Skutečnost 2004</t>
  </si>
  <si>
    <t>Skutečnost rok 2005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</si>
  <si>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</si>
  <si>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</si>
  <si>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</si>
  <si>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</si>
  <si>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</si>
  <si>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</si>
  <si>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</si>
  <si>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</si>
  <si>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</si>
  <si>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</si>
  <si>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</si>
  <si>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</si>
  <si>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</si>
  <si>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</si>
  <si>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</si>
  <si>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</si>
  <si>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</si>
  <si>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</si>
  <si>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</si>
  <si>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</si>
  <si>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</si>
  <si>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</si>
  <si>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</si>
  <si>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</si>
  <si>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</si>
  <si>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</si>
  <si>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</si>
  <si>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</si>
  <si>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</si>
  <si>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</si>
  <si>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</si>
  <si>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</si>
  <si>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</si>
  <si>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</si>
  <si>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</si>
  <si>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</si>
  <si>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</si>
  <si>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</si>
  <si>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</si>
  <si>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Plán na rok 2006 schválený usnesením 0562/12/2006/RK</t>
  </si>
  <si>
    <t>Návrh na změnu pro rok 2006</t>
  </si>
  <si>
    <t>Rozdíl - navrhovaná změna</t>
  </si>
  <si>
    <t>Skutečnost k 30.6.2006</t>
  </si>
  <si>
    <t>Nemocnice Pelhřimov</t>
  </si>
  <si>
    <t>Skutečnost 2005</t>
  </si>
  <si>
    <t>I. Návrh na změnu finančního plánu pro 2006</t>
  </si>
  <si>
    <t>Nemocnice Havlíčkův Brod</t>
  </si>
  <si>
    <t>Skutečnost za rok 2005</t>
  </si>
  <si>
    <t xml:space="preserve">Doplňující </t>
  </si>
  <si>
    <t>Nemocnice Třebíč</t>
  </si>
  <si>
    <t>Skutečnost rok 2004</t>
  </si>
  <si>
    <t>Hlavní</t>
  </si>
  <si>
    <t>Nemocnice Nové Město na Moravě</t>
  </si>
  <si>
    <t>I. Návrh finančního plánu, investičního plánu, odpisového plánu</t>
  </si>
  <si>
    <t>Nemocnice Jihlava</t>
  </si>
  <si>
    <t xml:space="preserve">Skutečnost </t>
  </si>
  <si>
    <t>v %</t>
  </si>
  <si>
    <t>Úřady práce</t>
  </si>
  <si>
    <t>Dotace na investice</t>
  </si>
  <si>
    <t>CELKEM INVESTICE</t>
  </si>
  <si>
    <t>Plnění</t>
  </si>
  <si>
    <t>Zdůvodnění změny</t>
  </si>
  <si>
    <t xml:space="preserve">Rozdíl - navrhovaná změna </t>
  </si>
  <si>
    <t>ř.</t>
  </si>
  <si>
    <t>Havlíčkův Brod</t>
  </si>
  <si>
    <t>Jihlava</t>
  </si>
  <si>
    <t>Pelhřimov</t>
  </si>
  <si>
    <t>Třebíč</t>
  </si>
  <si>
    <t>Odpisy</t>
  </si>
  <si>
    <t>Nemocnice</t>
  </si>
  <si>
    <t>Nájemné</t>
  </si>
  <si>
    <t>Příspěvek na provoz celkem</t>
  </si>
  <si>
    <t xml:space="preserve">z FP celkem </t>
  </si>
  <si>
    <t>z toho příkazní smlouvy</t>
  </si>
  <si>
    <t>z toho z nájemného</t>
  </si>
  <si>
    <t>Nové Město na Moravě</t>
  </si>
  <si>
    <t>HV</t>
  </si>
  <si>
    <t>Spotřeba materiálu</t>
  </si>
  <si>
    <t>Osobní náklady (mzdové náklady a odvody)</t>
  </si>
  <si>
    <t>Spotřeba energie (účet 502,503)</t>
  </si>
  <si>
    <t>Tržby z prodeje služeb</t>
  </si>
  <si>
    <t>Tržby za prodané zboží</t>
  </si>
  <si>
    <t>z nájemného</t>
  </si>
  <si>
    <t>z příkazních smluv</t>
  </si>
  <si>
    <t>z kapitálových výdajů</t>
  </si>
  <si>
    <t>% z nájemného</t>
  </si>
  <si>
    <t>schválený plán</t>
  </si>
  <si>
    <t>návrh na změnu</t>
  </si>
  <si>
    <t>Movitý majetek</t>
  </si>
  <si>
    <t>Převed. prostředky a vl.zdroje</t>
  </si>
  <si>
    <t xml:space="preserve">Nájemné                       </t>
  </si>
  <si>
    <t xml:space="preserve">Kápitálové výdaje             </t>
  </si>
  <si>
    <t>Celkem bez prostředků z investičního fondu</t>
  </si>
  <si>
    <t>00051</t>
  </si>
  <si>
    <t>00054</t>
  </si>
  <si>
    <t>položka 6351</t>
  </si>
  <si>
    <t>Rezerva</t>
  </si>
  <si>
    <t>CELKEM strojní investice - movitý majetek</t>
  </si>
  <si>
    <t>Nemovitý majetek</t>
  </si>
  <si>
    <t>CELKEM stavební investice - nemovitý majetek</t>
  </si>
  <si>
    <t xml:space="preserve">Účelová dotace                </t>
  </si>
  <si>
    <t>00000</t>
  </si>
  <si>
    <t>Aktivní prvek počít. sitě</t>
  </si>
  <si>
    <t>Analyzátor krevního obrazu</t>
  </si>
  <si>
    <t>Audiometr digitální</t>
  </si>
  <si>
    <t>Autokláv MLS 3780</t>
  </si>
  <si>
    <t>COS</t>
  </si>
  <si>
    <t>Centrifuga</t>
  </si>
  <si>
    <t>Defibrilátor</t>
  </si>
  <si>
    <t>Dialyzační monitor</t>
  </si>
  <si>
    <t>EEG</t>
  </si>
  <si>
    <t>EKG</t>
  </si>
  <si>
    <t>Elektrické rehabilitační lehát</t>
  </si>
  <si>
    <t>Fokometr, Optotyp</t>
  </si>
  <si>
    <t>Gamakamera</t>
  </si>
  <si>
    <t>Kardiotokograf pro gemini</t>
  </si>
  <si>
    <t>Kolonoskop</t>
  </si>
  <si>
    <t>Kombinovaný elektroléčebný</t>
  </si>
  <si>
    <t>LTRN B. kopec - realizace</t>
  </si>
  <si>
    <t>Laparoskopická věž</t>
  </si>
  <si>
    <t>Lymfoven - přístroj</t>
  </si>
  <si>
    <t>Magnetoterapeutický přístroj</t>
  </si>
  <si>
    <t>Motorová dalha pro rehabilitac</t>
  </si>
  <si>
    <t>Motorová dlaha k rehabilitaci</t>
  </si>
  <si>
    <t>Narkotizační přístroj</t>
  </si>
  <si>
    <t>Optika 2,7 mm 25</t>
  </si>
  <si>
    <t>Optika 4 mm 25</t>
  </si>
  <si>
    <t>Program NOAH do počítače</t>
  </si>
  <si>
    <t>Přenosný EKG přístroj</t>
  </si>
  <si>
    <t>Převozové vozdilo</t>
  </si>
  <si>
    <t>Rozvoj a modernizace ICT</t>
  </si>
  <si>
    <t>SZM - změna systému (VT+LE)</t>
  </si>
  <si>
    <t>Shaver pro endoskopickou endon</t>
  </si>
  <si>
    <t>Sklopná stěna</t>
  </si>
  <si>
    <t>Svářečka obalů kontinuální</t>
  </si>
  <si>
    <t>Systém elektrický B.Braun</t>
  </si>
  <si>
    <t>Ultrazvuk pro vyšetřování novo</t>
  </si>
  <si>
    <t>Vybavení výdejny léků</t>
  </si>
  <si>
    <t>Vyhřívané lůžko s fototerapií</t>
  </si>
  <si>
    <t>Výměna výpočetní techniky</t>
  </si>
  <si>
    <t>Ambulance respiračních chorob</t>
  </si>
  <si>
    <t>Centrální laboratoře</t>
  </si>
  <si>
    <t>Lékárna - výdejna léků</t>
  </si>
  <si>
    <t>Projektová dokumentace</t>
  </si>
  <si>
    <t>Přeložení tel.ústředny dokonče</t>
  </si>
  <si>
    <t>REKO gynekologie-dokončení</t>
  </si>
  <si>
    <t>RTG pracoviště B.k.</t>
  </si>
  <si>
    <t>RTG pracoviště N.M.</t>
  </si>
  <si>
    <t>Rekonstrukce sociálek - dětské</t>
  </si>
  <si>
    <t>Rezerva na nepředvídané havári</t>
  </si>
  <si>
    <t>Stavební úpravy horního podlaž</t>
  </si>
  <si>
    <t>Stavební úpravy novorozenec</t>
  </si>
  <si>
    <t>Stavební úpravy vrátnice</t>
  </si>
  <si>
    <t>Vstupní dveře gynekologie</t>
  </si>
  <si>
    <t>Zateplení okálu</t>
  </si>
  <si>
    <t>Úprava schodiště -dětské</t>
  </si>
  <si>
    <t xml:space="preserve">z prodeje majetku </t>
  </si>
  <si>
    <t>AUTOCONT, inf, kiosek</t>
  </si>
  <si>
    <t>Digitalizace RDG pracoviště</t>
  </si>
  <si>
    <t>Ekonomický SW QI</t>
  </si>
  <si>
    <t>Gamakamera SPECT</t>
  </si>
  <si>
    <t>Klimatizace k HW</t>
  </si>
  <si>
    <t>MAT Milichovský, žací stroj</t>
  </si>
  <si>
    <t>Medesa, Clinic analyzer</t>
  </si>
  <si>
    <t>Operační stoly</t>
  </si>
  <si>
    <t>Přístroje interní JIP</t>
  </si>
  <si>
    <t>Radix, operační stůl</t>
  </si>
  <si>
    <t>Rekonstrukce NIS</t>
  </si>
  <si>
    <t>Rezerva na investiční nákupy</t>
  </si>
  <si>
    <t>Rowanet</t>
  </si>
  <si>
    <t>Adaptace provozní budovy 1</t>
  </si>
  <si>
    <t>Adaptace provozní budovy 2</t>
  </si>
  <si>
    <t>Rezerva na opravy</t>
  </si>
  <si>
    <t xml:space="preserve">Nemocnice Havlíčkův Brod, příspěvková organizace - návrh na změnu investičního plánu </t>
  </si>
  <si>
    <t>Nemocnice Nové Město na Moravě, příspěvková organizace - návrh na změnu investičního plánu</t>
  </si>
  <si>
    <t>Nemocnice Třebíč, příspěvková organizace</t>
  </si>
  <si>
    <t xml:space="preserve">Příkazní smlouva              </t>
  </si>
  <si>
    <t xml:space="preserve">Dotace ze státního rozpočtu   </t>
  </si>
  <si>
    <t>00052</t>
  </si>
  <si>
    <t>35790</t>
  </si>
  <si>
    <t>Centrální zálohovací systém</t>
  </si>
  <si>
    <t>Dataprojektor pro vizit. prac.</t>
  </si>
  <si>
    <t>Elektroencefalograf ( EEG )</t>
  </si>
  <si>
    <t>Hemodialyzační monitory - 3ks</t>
  </si>
  <si>
    <t>Inovace datové infrastruktury</t>
  </si>
  <si>
    <t>Jícnová kardiologická sonda</t>
  </si>
  <si>
    <t>Kardiotokograf s telemetrií</t>
  </si>
  <si>
    <t>Klimatizace pro CT</t>
  </si>
  <si>
    <t>Lůžko elektrické polohovací</t>
  </si>
  <si>
    <t>Lůžkový monitor ORT JIP - 2ks</t>
  </si>
  <si>
    <t>Lůžkový monitor PHILIPS</t>
  </si>
  <si>
    <t>Narkotizační přístroj 2ks</t>
  </si>
  <si>
    <t>Osobní automobil</t>
  </si>
  <si>
    <t>PACS</t>
  </si>
  <si>
    <t>Přístrojové vybavení-mik.labor</t>
  </si>
  <si>
    <t>RTG dg CT spirální - oddělení</t>
  </si>
  <si>
    <t>Resuscitační loutka</t>
  </si>
  <si>
    <t>Rezerva strojní investice</t>
  </si>
  <si>
    <t>Rychlá jehličková tiskárna</t>
  </si>
  <si>
    <t>Sonda k ultrazv. přístroji</t>
  </si>
  <si>
    <t>Spánková laboratoř - přístr.</t>
  </si>
  <si>
    <t>Transportní lůžko - chirurgie</t>
  </si>
  <si>
    <t>Transportní lůžko - interna</t>
  </si>
  <si>
    <t>Demolice staré interny</t>
  </si>
  <si>
    <t>Konzultační činnost - projekto</t>
  </si>
  <si>
    <t>PD využití CO skladu</t>
  </si>
  <si>
    <t>Projekt. dokum. soc. zař.porod</t>
  </si>
  <si>
    <t>Projektová dokumentace MaD</t>
  </si>
  <si>
    <t>Projektová dokumentace central</t>
  </si>
  <si>
    <t>Projektová dokumentace na stav</t>
  </si>
  <si>
    <t>Rekonstrukce CO skladu</t>
  </si>
  <si>
    <t>Rekonstrukce laboratoří</t>
  </si>
  <si>
    <t>Rekonstrukce soc. zařízení por</t>
  </si>
  <si>
    <t>Rezerva stavební investice</t>
  </si>
  <si>
    <t>Stavební úpravy CT</t>
  </si>
  <si>
    <t>TZ dveře ARO</t>
  </si>
  <si>
    <t>TZ stravovacího provozu-zastín</t>
  </si>
  <si>
    <t>Technologie výměníkové stanice</t>
  </si>
  <si>
    <t>dopad akreditace a certifikace nemocnic, úprava plánovaných nákladů na ostrahu a klinické dny</t>
  </si>
  <si>
    <t>odhad vývoje do konce roku dle výše dosavadního čerpání</t>
  </si>
  <si>
    <t>plánován odpis promlčených pohledávek (samostatný materiál do rady)</t>
  </si>
  <si>
    <t>snížení způsobeno dle vývoje prodané krve</t>
  </si>
  <si>
    <t>oprava původně předpokládané výše daně z příjmu za rok 2005</t>
  </si>
  <si>
    <t>v důsledku doplatků za minulé roky došlo k navýšení záloh na 1.pololetí 2006 a stejně tak za 2.pololetí 2006</t>
  </si>
  <si>
    <t>dle skutečného vývoje a odhadu dopadu degresivních marží platných od 1.8.2006</t>
  </si>
  <si>
    <t>zaúčtované doplatky za minulá léta od zdravotních pojišťoven ve výši 18.453,3 tis. a 400 tis. Kč dary</t>
  </si>
  <si>
    <t>z nájemného zaúčtované pouze dotace na lineární urychlovač, ostatní prostředky převedeny do investic</t>
  </si>
  <si>
    <t>Finanční plány pro rok 2006  - návrh na změnu od 1.7.2006 - nemocnice</t>
  </si>
  <si>
    <t>Viz. řádek č. 22.</t>
  </si>
  <si>
    <t>Nárůst aktivace vlastních výrobků - v souvislosti s komerční výrobou stravovacícho provozu.</t>
  </si>
  <si>
    <t>Navýšeno v souvislosti s nárůstem prodeje vlastních výrobků stravovacího provozu.</t>
  </si>
  <si>
    <t>Navýšeno v návaznosti na růst marže u prodaného zboží.</t>
  </si>
  <si>
    <t>Navýšeno z titulu použití věcných darů.</t>
  </si>
  <si>
    <t>Navýšeno o dotaci na provoz (100tis. Kč) a dále pak o dotaci na akreditaci (424,7tis. Kč).</t>
  </si>
  <si>
    <t>Zohlednění meziročního nárůstu nákladů na praní prádla dodavatelsky, likvidaci odpadu, úklid atd.</t>
  </si>
  <si>
    <t>Navýšeno z titulu zaúčtování nákladů na uhrazení silniční daně.</t>
  </si>
  <si>
    <t>Zohledněn aktuální pohyb na účtu 542 (ost. pokuty a penále) a dále na účtu 543 (odpis pohledávky).</t>
  </si>
  <si>
    <t>zvýšení příjmů od ZP v souvislosti s podpisem dodatků smluv na 2.pololetí 2006</t>
  </si>
  <si>
    <t>dle skutečného vývoje tržeb v nemocniční lékárně</t>
  </si>
  <si>
    <t>návrh na zvýšení provozní dotace - dle původního plánu byly zařizovací předměty rekonstrukce rehabilitace v plánu  z investic - dle skutečnosti jde o provozní náklady, proto přesun z investic do provozu</t>
  </si>
  <si>
    <t>změna vyhlášky o resterilizaci, kdy není možné některý materiál resterilizovat, je nutný nákup nového; rovněž vyšší objem výkonů oprotiroku 2005 má vlyv i nárůst materiálu;4,5 mil. jsou náklady na hemodialýzu</t>
  </si>
  <si>
    <t>nárůst v důsledku dlouhé topné sezony 2006</t>
  </si>
  <si>
    <t>nárůst souvisís obratem v nemocniční lékárně</t>
  </si>
  <si>
    <t xml:space="preserve">realizace úsporných opatření </t>
  </si>
  <si>
    <t>Fond Vysočiny</t>
  </si>
  <si>
    <t>% z celkových nákladů</t>
  </si>
  <si>
    <t>státní</t>
  </si>
  <si>
    <t>ICT</t>
  </si>
  <si>
    <t>z toho z rozpočtu majetkového</t>
  </si>
  <si>
    <t>z toho z rozpočtu OSVZ</t>
  </si>
  <si>
    <t>% z celkových výnosů</t>
  </si>
  <si>
    <t>Veřejně přístupný internet II</t>
  </si>
  <si>
    <t>§ 6409</t>
  </si>
  <si>
    <t>Celkem bez prostředků z investičního fondu a § 6409</t>
  </si>
  <si>
    <t>%nájemného z celkových nákladů</t>
  </si>
  <si>
    <t xml:space="preserve"> </t>
  </si>
  <si>
    <t>I. Návrh na změnu finančního plánu pro 2006 - Zdravotnická záchranná služba kraje Vysočina</t>
  </si>
  <si>
    <t>Finanční plán pro rok 2006</t>
  </si>
  <si>
    <t>Finanční plán schválený usnesením 0632/14/2006</t>
  </si>
  <si>
    <t>Návrh na změnu finančního plánu</t>
  </si>
  <si>
    <t>Rozdíl</t>
  </si>
  <si>
    <t>Hlavní činnost</t>
  </si>
  <si>
    <t>Doplňková činnost</t>
  </si>
  <si>
    <t>CELKEM</t>
  </si>
  <si>
    <t>+ / -</t>
  </si>
  <si>
    <t xml:space="preserve">      z toho: odpisy DM /úč. 551/</t>
  </si>
  <si>
    <t>Vzhledem k současnému vývoji nákladů a výnosů organizace zůčtovaných k 30.6.2006, organizace přistoupila k úpravě vybraných nákladových a výnosových položek rozpočtu</t>
  </si>
  <si>
    <t>Jedná se o úpravu (zpřesnění) jednotlivých položek spotřeby materiálu celkem o 2150 tis. kč:</t>
  </si>
  <si>
    <t>snížení spotřeby pneu o 70 tis.Kč</t>
  </si>
  <si>
    <t>snížení spotřeby autosoučástek o 30 tis. Kč</t>
  </si>
  <si>
    <t>snížení spotřeby léků o 200 tis. Kč</t>
  </si>
  <si>
    <t>snížení spotřeby SZM o 1650 tis. Kč</t>
  </si>
  <si>
    <t>zvýšení spotřeby benzinu o 160 tis. Kč</t>
  </si>
  <si>
    <t>snížení spotřeby nafty o 160 tis. Kč</t>
  </si>
  <si>
    <t xml:space="preserve">snížení spotřeby všeobecného materiálu o 200 tis. Kč </t>
  </si>
  <si>
    <t xml:space="preserve">Na straně výnosů byly upravy položky zvýšením celkem o 2432 tis. Kč: </t>
  </si>
  <si>
    <t>tržby z prodeje služeb  - navýšení o 1811 tis. Kč</t>
  </si>
  <si>
    <t>výnosy z termínovanýc vkladů - navýšení o 20 tis. Kč</t>
  </si>
  <si>
    <t>jiné výnosy navýšeny o 700 tis. Kč (vzhledem k současnému vývoji-k 30.6. je evidováno na tomto účtu 453,8 tis.Kč, v roce 2005-676 tis. Kč.)</t>
  </si>
  <si>
    <t>výnosy z pronájmu zvýšeny o 450 tis.Kč ( k 30.6. zaúčtováno celkem 536,5 tis. Kč)</t>
  </si>
  <si>
    <t>Nemocnice Jihlava, příspěvková organizace</t>
  </si>
  <si>
    <t>Návrh na změnu investičního plánu</t>
  </si>
  <si>
    <t>Antivirový program NOD32 (EN)</t>
  </si>
  <si>
    <t>Bronchoskop (TRN)</t>
  </si>
  <si>
    <t>Centrifuga chlazená (OKBMI)</t>
  </si>
  <si>
    <t>Defibrilátor bifázický (INT)</t>
  </si>
  <si>
    <t>Digitalizace Fomei (RDG)</t>
  </si>
  <si>
    <t>Digitalizace Fomei - II.etapa</t>
  </si>
  <si>
    <t>Duodendoskop (INT)</t>
  </si>
  <si>
    <t>EKG (ODN)</t>
  </si>
  <si>
    <t>EKG 2 ks (TRN, INT)</t>
  </si>
  <si>
    <t>EMG (NEUR)</t>
  </si>
  <si>
    <t>Fibrobronchoskop (TRN)</t>
  </si>
  <si>
    <t>Fototerapeutická kabina</t>
  </si>
  <si>
    <t>Frankovací stroj (PTN)</t>
  </si>
  <si>
    <t>Gamasonda pro lokální detekci</t>
  </si>
  <si>
    <t>Hysteroresektoskop (GYN)</t>
  </si>
  <si>
    <t>Informační int. kiosek (EN)</t>
  </si>
  <si>
    <t>Inkubátor 2 ks</t>
  </si>
  <si>
    <t>Ionizační komora (RTO)</t>
  </si>
  <si>
    <t>Ionizační komora (RTO) - techn</t>
  </si>
  <si>
    <t>Izolátor (LÉK)</t>
  </si>
  <si>
    <t>Kardiotokograf (GYN)</t>
  </si>
  <si>
    <t>Klinická stanice PC</t>
  </si>
  <si>
    <t>Klinický audiometr (ORL)</t>
  </si>
  <si>
    <t>Kom. systém sestra - pac.</t>
  </si>
  <si>
    <t>Kombinovaný terapeutický př.</t>
  </si>
  <si>
    <t>Kostní vrtačka vzduch.</t>
  </si>
  <si>
    <t>Laminární box (ONM)</t>
  </si>
  <si>
    <t>Lékařský labor. mikroskop PAO</t>
  </si>
  <si>
    <t>Magnetická rezonance (RDG)</t>
  </si>
  <si>
    <t>Manažerský informační systém</t>
  </si>
  <si>
    <t>Motodlaha - koleno 2 ks</t>
  </si>
  <si>
    <t>Mrazící box pro kostní banku</t>
  </si>
  <si>
    <t>Plicní ventilátor 2 ks (PED)</t>
  </si>
  <si>
    <t>Servery (EN)</t>
  </si>
  <si>
    <t>Shaver (ORT)</t>
  </si>
  <si>
    <t>Svorkovač (COS)</t>
  </si>
  <si>
    <t>TZ artroskopu (TRM)</t>
  </si>
  <si>
    <t>Terapeutický RTG (RTO)</t>
  </si>
  <si>
    <t>Turniket (COS) 2 ks</t>
  </si>
  <si>
    <t>UPS do serverovny (EN)</t>
  </si>
  <si>
    <t>UPS na JIP (INT)</t>
  </si>
  <si>
    <t>UV zářič - plantopalmární</t>
  </si>
  <si>
    <t>Ultrazvukový přístroj</t>
  </si>
  <si>
    <t>Ultrazvukový přístroj (RDG)</t>
  </si>
  <si>
    <t>Unuator (LEK)</t>
  </si>
  <si>
    <t>Urodynamická jednotka (GYN)</t>
  </si>
  <si>
    <t>Výměna vybavení centrální kuch</t>
  </si>
  <si>
    <t>Zař. pro plasmakinetickou</t>
  </si>
  <si>
    <t>Dodávka a montáž plastových</t>
  </si>
  <si>
    <t>Dodávka a montáž stropních</t>
  </si>
  <si>
    <t>Instalace nového kotle</t>
  </si>
  <si>
    <t>Rekonstrukce porodních sálů</t>
  </si>
  <si>
    <t>Nemocnice Pehřimov, příspěvková organizace</t>
  </si>
  <si>
    <t>2 kusy vyšetřovací gynekolog</t>
  </si>
  <si>
    <t>Frankovací strojek</t>
  </si>
  <si>
    <t>GO výtahů</t>
  </si>
  <si>
    <t>Hematologický analyzátor</t>
  </si>
  <si>
    <t>Kardiotokograf</t>
  </si>
  <si>
    <t>Kopírovací stroj</t>
  </si>
  <si>
    <t>Mobilní hem.svářečky - 2 ks</t>
  </si>
  <si>
    <t>Monitor vitálních funkcí 2 ks</t>
  </si>
  <si>
    <t>Osobní vozidla 2 ks</t>
  </si>
  <si>
    <t>Osobní vozidlo</t>
  </si>
  <si>
    <t>Sanitní vozidla 2 ks</t>
  </si>
  <si>
    <t>Scintilační gamakamera SPECT</t>
  </si>
  <si>
    <t>Software</t>
  </si>
  <si>
    <t>Tlakové varné zařízení</t>
  </si>
  <si>
    <t>Upgrade hlavního serveru</t>
  </si>
  <si>
    <t>Vířivková lázeň - 2 ks</t>
  </si>
  <si>
    <t>posypové vozidlo-generálka</t>
  </si>
  <si>
    <t>rozšíření archiv. stanice VISI</t>
  </si>
  <si>
    <t>Opravy střech</t>
  </si>
  <si>
    <t>Projektová dokumentace opravy</t>
  </si>
  <si>
    <t>Rekonstrukce komunikací v hor</t>
  </si>
  <si>
    <t>Rekostrukce hlavní lůžkové bud</t>
  </si>
  <si>
    <t>Stavební úpravy na gynekolog</t>
  </si>
  <si>
    <t>nárůst tržeb o 105%</t>
  </si>
  <si>
    <t>úsporná opatření ve spotřebě materiálu - stanovené limity jednotlivých odděleních o 5%</t>
  </si>
  <si>
    <t>dle rozhodnutí rady</t>
  </si>
  <si>
    <t>Plán na rok 2006 schválený usnesením 0492/10/2006/RK</t>
  </si>
  <si>
    <t>původně plánovaná hodnota byla podhodnocena, nová hodnota odpovídá skutečnám propočtům</t>
  </si>
  <si>
    <t>navýšení  provozní dotace z nájemného v poměru 50% k 50%</t>
  </si>
  <si>
    <t>Křeslo pro kardiaky (ARO)</t>
  </si>
  <si>
    <t>Prodej movitého a nem. majetku</t>
  </si>
  <si>
    <t>00055</t>
  </si>
  <si>
    <t>Defibrilátory INT, INT amb.</t>
  </si>
  <si>
    <t>Laminární box pro přípr.radiof</t>
  </si>
  <si>
    <t>Lůžko s váhou.dialýza</t>
  </si>
  <si>
    <t>Oplachová pumpa 2 ks INT</t>
  </si>
  <si>
    <t>Zařízení bezdrátového přenosu</t>
  </si>
  <si>
    <t>Škoda Fabia</t>
  </si>
  <si>
    <t>TZ Družstevní-mikrobiologie</t>
  </si>
  <si>
    <t>Řešení legionely v  rozvodech</t>
  </si>
  <si>
    <t>Návrh na změnu investičního plánu pro Zdravotnickou záchrannou službu kraje Vysočina na rok 2006</t>
  </si>
  <si>
    <t>Plán</t>
  </si>
  <si>
    <t>v tis. Kč</t>
  </si>
  <si>
    <t>v Kč</t>
  </si>
  <si>
    <t>A) nákup movitého majetku</t>
  </si>
  <si>
    <t xml:space="preserve">z toho: uvést pořizovaný majetek </t>
  </si>
  <si>
    <t>Sanitní vozidlo VW 4x4 7 ks</t>
  </si>
  <si>
    <t>Sanitní vozidlo  7 ks,vč.transportní techniky</t>
  </si>
  <si>
    <t>Sanitní vozidlo MB Sprinter - prostředků organizace 650 tis. - celková částka 2.145 tis. Kč</t>
  </si>
  <si>
    <t>Nosítka Ferno s podvozkem Ferno 6 ks</t>
  </si>
  <si>
    <t>Resuscitační model dětský</t>
  </si>
  <si>
    <t>Resuscitační model dospělý</t>
  </si>
  <si>
    <t>Resuscitační model dospělých</t>
  </si>
  <si>
    <t>12-svod EKG 1 ks</t>
  </si>
  <si>
    <t>12- ti svod EKG 2 ks</t>
  </si>
  <si>
    <t>monitory-defibrilátory</t>
  </si>
  <si>
    <t>Monitor - defibrilátor 4 ks</t>
  </si>
  <si>
    <t>Ventilátor - 3 ks</t>
  </si>
  <si>
    <t>Kopírka (sekretariát ředitele)</t>
  </si>
  <si>
    <t>Power infuser</t>
  </si>
  <si>
    <t>služební vozidlo Octavia 4x4</t>
  </si>
  <si>
    <t>Kapnometr 2 ks</t>
  </si>
  <si>
    <t>Rozšíření záznamového zařízení ReDat</t>
  </si>
  <si>
    <t>Rezerva na havarijní stavy</t>
  </si>
  <si>
    <t>investiční dotace z prodeje majetku 279 tis.</t>
  </si>
  <si>
    <t>CELKEM oddíl A)</t>
  </si>
  <si>
    <t>B) technické zhodnocení nemovitého majetku celkem</t>
  </si>
  <si>
    <t>Kamerový systém</t>
  </si>
  <si>
    <t>CELKEM oddíl B)</t>
  </si>
  <si>
    <t>C) Opravy nemovitého majetku celkem</t>
  </si>
  <si>
    <t>opravy budovy</t>
  </si>
  <si>
    <t>CELKEM oddíl C)</t>
  </si>
  <si>
    <t>D) Odvod do rozpočtu zřizovatele</t>
  </si>
  <si>
    <t>Čerpání celkem (A+B+C+D)</t>
  </si>
  <si>
    <t>Schválený plán</t>
  </si>
  <si>
    <t>Návrh na změnu</t>
  </si>
  <si>
    <t>Počet stran: 16</t>
  </si>
  <si>
    <t>RK-26-2006-57, př.1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</si>
</sst>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E"/>
      <family val="0"/>
    </font>
    <font>
      <sz val="10"/>
      <name val="Helv"/>
      <family val="0"/>
    </font>
    <font>
      <b/>
      <sz val="12"/>
      <name val="Times New Roman CE"/>
      <family val="1"/>
    </font>
    <font>
      <b/>
      <sz val="14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i/>
      <sz val="10"/>
      <color indexed="10"/>
      <name val="Arial"/>
      <family val="2"/>
    </font>
    <font>
      <i/>
      <sz val="7"/>
      <color indexed="12"/>
      <name val="Arial CE"/>
      <family val="0"/>
    </font>
    <font>
      <b/>
      <sz val="8"/>
      <color indexed="10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Helv"/>
      <family val="0"/>
    </font>
    <font>
      <b/>
      <sz val="12"/>
      <color indexed="14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10" fontId="5" fillId="4" borderId="14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10" fontId="5" fillId="4" borderId="18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3" fontId="2" fillId="2" borderId="20" xfId="0" applyNumberFormat="1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left" vertical="center" wrapText="1"/>
    </xf>
    <xf numFmtId="3" fontId="5" fillId="3" borderId="22" xfId="0" applyNumberFormat="1" applyFont="1" applyFill="1" applyBorder="1" applyAlignment="1">
      <alignment vertical="center" wrapText="1"/>
    </xf>
    <xf numFmtId="3" fontId="5" fillId="3" borderId="23" xfId="0" applyNumberFormat="1" applyFont="1" applyFill="1" applyBorder="1" applyAlignment="1">
      <alignment vertical="center" wrapText="1"/>
    </xf>
    <xf numFmtId="3" fontId="5" fillId="3" borderId="24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/>
    </xf>
    <xf numFmtId="3" fontId="5" fillId="3" borderId="21" xfId="0" applyNumberFormat="1" applyFont="1" applyFill="1" applyBorder="1" applyAlignment="1">
      <alignment vertical="center" wrapText="1"/>
    </xf>
    <xf numFmtId="3" fontId="5" fillId="3" borderId="28" xfId="0" applyNumberFormat="1" applyFont="1" applyFill="1" applyBorder="1" applyAlignment="1">
      <alignment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vertical="center" wrapText="1"/>
    </xf>
    <xf numFmtId="0" fontId="0" fillId="0" borderId="0" xfId="25" applyFont="1">
      <alignment/>
      <protection/>
    </xf>
    <xf numFmtId="0" fontId="2" fillId="0" borderId="0" xfId="25" applyFont="1">
      <alignment/>
      <protection/>
    </xf>
    <xf numFmtId="0" fontId="14" fillId="0" borderId="0" xfId="25" applyFont="1" applyAlignment="1">
      <alignment horizontal="left"/>
      <protection/>
    </xf>
    <xf numFmtId="0" fontId="8" fillId="0" borderId="0" xfId="25" applyFont="1" applyAlignment="1">
      <alignment horizontal="right"/>
      <protection/>
    </xf>
    <xf numFmtId="0" fontId="0" fillId="0" borderId="0" xfId="25">
      <alignment/>
      <protection/>
    </xf>
    <xf numFmtId="0" fontId="5" fillId="0" borderId="0" xfId="25" applyFont="1" applyAlignment="1">
      <alignment horizontal="centerContinuous"/>
      <protection/>
    </xf>
    <xf numFmtId="0" fontId="5" fillId="3" borderId="30" xfId="25" applyFont="1" applyFill="1" applyBorder="1" applyAlignment="1">
      <alignment horizontal="centerContinuous" vertical="center"/>
      <protection/>
    </xf>
    <xf numFmtId="0" fontId="2" fillId="0" borderId="10" xfId="25" applyFont="1" applyBorder="1" applyAlignment="1">
      <alignment horizontal="left" vertical="center" wrapText="1"/>
      <protection/>
    </xf>
    <xf numFmtId="3" fontId="2" fillId="0" borderId="31" xfId="25" applyNumberFormat="1" applyFont="1" applyBorder="1" applyAlignment="1">
      <alignment vertical="center" wrapText="1"/>
      <protection/>
    </xf>
    <xf numFmtId="3" fontId="2" fillId="0" borderId="30" xfId="25" applyNumberFormat="1" applyFont="1" applyBorder="1" applyAlignment="1">
      <alignment vertical="center" wrapText="1"/>
      <protection/>
    </xf>
    <xf numFmtId="3" fontId="2" fillId="0" borderId="32" xfId="25" applyNumberFormat="1" applyFont="1" applyBorder="1" applyAlignment="1">
      <alignment vertical="center" wrapText="1"/>
      <protection/>
    </xf>
    <xf numFmtId="3" fontId="2" fillId="0" borderId="33" xfId="25" applyNumberFormat="1" applyFont="1" applyBorder="1" applyAlignment="1">
      <alignment vertical="center" wrapText="1"/>
      <protection/>
    </xf>
    <xf numFmtId="3" fontId="2" fillId="0" borderId="13" xfId="25" applyNumberFormat="1" applyFont="1" applyBorder="1" applyAlignment="1">
      <alignment vertical="center" wrapText="1"/>
      <protection/>
    </xf>
    <xf numFmtId="3" fontId="2" fillId="0" borderId="12" xfId="25" applyNumberFormat="1" applyFont="1" applyBorder="1" applyAlignment="1">
      <alignment vertical="center" wrapText="1"/>
      <protection/>
    </xf>
    <xf numFmtId="3" fontId="2" fillId="0" borderId="14" xfId="25" applyNumberFormat="1" applyFont="1" applyBorder="1" applyAlignment="1">
      <alignment vertical="center" wrapText="1"/>
      <protection/>
    </xf>
    <xf numFmtId="0" fontId="0" fillId="0" borderId="0" xfId="25" applyAlignment="1">
      <alignment vertical="center"/>
      <protection/>
    </xf>
    <xf numFmtId="0" fontId="2" fillId="0" borderId="15" xfId="25" applyFont="1" applyBorder="1" applyAlignment="1">
      <alignment horizontal="left" vertical="center" wrapText="1"/>
      <protection/>
    </xf>
    <xf numFmtId="3" fontId="2" fillId="0" borderId="34" xfId="25" applyNumberFormat="1" applyFont="1" applyBorder="1" applyAlignment="1">
      <alignment vertical="center" wrapText="1"/>
      <protection/>
    </xf>
    <xf numFmtId="3" fontId="2" fillId="0" borderId="13" xfId="25" applyNumberFormat="1" applyFont="1" applyFill="1" applyBorder="1" applyAlignment="1">
      <alignment vertical="center" wrapText="1"/>
      <protection/>
    </xf>
    <xf numFmtId="3" fontId="2" fillId="0" borderId="12" xfId="25" applyNumberFormat="1" applyFont="1" applyFill="1" applyBorder="1" applyAlignment="1">
      <alignment vertical="center" wrapText="1"/>
      <protection/>
    </xf>
    <xf numFmtId="3" fontId="2" fillId="0" borderId="11" xfId="25" applyNumberFormat="1" applyFont="1" applyBorder="1" applyAlignment="1">
      <alignment vertical="center" wrapText="1"/>
      <protection/>
    </xf>
    <xf numFmtId="3" fontId="2" fillId="0" borderId="17" xfId="25" applyNumberFormat="1" applyFont="1" applyBorder="1" applyAlignment="1">
      <alignment vertical="center" wrapText="1"/>
      <protection/>
    </xf>
    <xf numFmtId="3" fontId="2" fillId="0" borderId="1" xfId="25" applyNumberFormat="1" applyFont="1" applyBorder="1" applyAlignment="1">
      <alignment vertical="center" wrapText="1"/>
      <protection/>
    </xf>
    <xf numFmtId="3" fontId="2" fillId="0" borderId="16" xfId="25" applyNumberFormat="1" applyFont="1" applyBorder="1" applyAlignment="1">
      <alignment vertical="center" wrapText="1"/>
      <protection/>
    </xf>
    <xf numFmtId="3" fontId="2" fillId="0" borderId="34" xfId="25" applyNumberFormat="1" applyFont="1" applyFill="1" applyBorder="1" applyAlignment="1">
      <alignment vertical="center" wrapText="1"/>
      <protection/>
    </xf>
    <xf numFmtId="3" fontId="2" fillId="0" borderId="17" xfId="25" applyNumberFormat="1" applyFont="1" applyFill="1" applyBorder="1" applyAlignment="1">
      <alignment vertical="center" wrapText="1"/>
      <protection/>
    </xf>
    <xf numFmtId="3" fontId="2" fillId="0" borderId="1" xfId="25" applyNumberFormat="1" applyFont="1" applyFill="1" applyBorder="1" applyAlignment="1">
      <alignment vertical="center" wrapText="1"/>
      <protection/>
    </xf>
    <xf numFmtId="0" fontId="9" fillId="0" borderId="15" xfId="25" applyFont="1" applyBorder="1" applyAlignment="1">
      <alignment horizontal="left" vertical="center" wrapText="1"/>
      <protection/>
    </xf>
    <xf numFmtId="3" fontId="2" fillId="0" borderId="35" xfId="25" applyNumberFormat="1" applyFont="1" applyBorder="1" applyAlignment="1">
      <alignment vertical="center" wrapText="1"/>
      <protection/>
    </xf>
    <xf numFmtId="3" fontId="2" fillId="0" borderId="35" xfId="25" applyNumberFormat="1" applyFont="1" applyFill="1" applyBorder="1" applyAlignment="1">
      <alignment vertical="center" wrapText="1"/>
      <protection/>
    </xf>
    <xf numFmtId="3" fontId="2" fillId="0" borderId="4" xfId="25" applyNumberFormat="1" applyFont="1" applyFill="1" applyBorder="1" applyAlignment="1">
      <alignment vertical="center" wrapText="1"/>
      <protection/>
    </xf>
    <xf numFmtId="3" fontId="2" fillId="0" borderId="2" xfId="25" applyNumberFormat="1" applyFont="1" applyBorder="1" applyAlignment="1">
      <alignment vertical="center" wrapText="1"/>
      <protection/>
    </xf>
    <xf numFmtId="0" fontId="5" fillId="3" borderId="21" xfId="25" applyFont="1" applyFill="1" applyBorder="1" applyAlignment="1">
      <alignment horizontal="left" vertical="center" wrapText="1"/>
      <protection/>
    </xf>
    <xf numFmtId="3" fontId="5" fillId="3" borderId="22" xfId="25" applyNumberFormat="1" applyFont="1" applyFill="1" applyBorder="1" applyAlignment="1">
      <alignment vertical="center" wrapText="1"/>
      <protection/>
    </xf>
    <xf numFmtId="3" fontId="5" fillId="3" borderId="21" xfId="25" applyNumberFormat="1" applyFont="1" applyFill="1" applyBorder="1" applyAlignment="1">
      <alignment vertical="center" wrapText="1"/>
      <protection/>
    </xf>
    <xf numFmtId="3" fontId="5" fillId="3" borderId="23" xfId="25" applyNumberFormat="1" applyFont="1" applyFill="1" applyBorder="1" applyAlignment="1">
      <alignment vertical="center" wrapText="1"/>
      <protection/>
    </xf>
    <xf numFmtId="3" fontId="5" fillId="3" borderId="28" xfId="25" applyNumberFormat="1" applyFont="1" applyFill="1" applyBorder="1" applyAlignment="1">
      <alignment vertical="center" wrapText="1"/>
      <protection/>
    </xf>
    <xf numFmtId="3" fontId="2" fillId="0" borderId="36" xfId="25" applyNumberFormat="1" applyFont="1" applyBorder="1" applyAlignment="1">
      <alignment vertical="center" wrapText="1"/>
      <protection/>
    </xf>
    <xf numFmtId="3" fontId="2" fillId="0" borderId="30" xfId="25" applyNumberFormat="1" applyFont="1" applyFill="1" applyBorder="1" applyAlignment="1">
      <alignment vertical="center" wrapText="1"/>
      <protection/>
    </xf>
    <xf numFmtId="3" fontId="2" fillId="0" borderId="32" xfId="25" applyNumberFormat="1" applyFont="1" applyFill="1" applyBorder="1" applyAlignment="1">
      <alignment vertical="center" wrapText="1"/>
      <protection/>
    </xf>
    <xf numFmtId="0" fontId="9" fillId="0" borderId="34" xfId="25" applyFont="1" applyBorder="1" applyAlignment="1">
      <alignment horizontal="left" vertical="center" wrapText="1"/>
      <protection/>
    </xf>
    <xf numFmtId="3" fontId="2" fillId="0" borderId="37" xfId="25" applyNumberFormat="1" applyFont="1" applyBorder="1" applyAlignment="1">
      <alignment vertical="center" wrapText="1"/>
      <protection/>
    </xf>
    <xf numFmtId="3" fontId="2" fillId="0" borderId="38" xfId="25" applyNumberFormat="1" applyFont="1" applyBorder="1" applyAlignment="1">
      <alignment vertical="center" wrapText="1"/>
      <protection/>
    </xf>
    <xf numFmtId="3" fontId="2" fillId="0" borderId="4" xfId="25" applyNumberFormat="1" applyFont="1" applyBorder="1" applyAlignment="1">
      <alignment vertical="center" wrapText="1"/>
      <protection/>
    </xf>
    <xf numFmtId="0" fontId="5" fillId="3" borderId="22" xfId="25" applyFont="1" applyFill="1" applyBorder="1" applyAlignment="1">
      <alignment horizontal="left" vertical="center" wrapText="1"/>
      <protection/>
    </xf>
    <xf numFmtId="3" fontId="5" fillId="3" borderId="26" xfId="25" applyNumberFormat="1" applyFont="1" applyFill="1" applyBorder="1" applyAlignment="1">
      <alignment vertical="center" wrapText="1"/>
      <protection/>
    </xf>
    <xf numFmtId="3" fontId="5" fillId="3" borderId="39" xfId="25" applyNumberFormat="1" applyFont="1" applyFill="1" applyBorder="1" applyAlignment="1">
      <alignment vertical="center" wrapText="1"/>
      <protection/>
    </xf>
    <xf numFmtId="3" fontId="5" fillId="3" borderId="24" xfId="25" applyNumberFormat="1" applyFont="1" applyFill="1" applyBorder="1" applyAlignment="1">
      <alignment vertical="center" wrapText="1"/>
      <protection/>
    </xf>
    <xf numFmtId="3" fontId="5" fillId="3" borderId="22" xfId="25" applyNumberFormat="1" applyFont="1" applyFill="1" applyBorder="1" applyAlignment="1">
      <alignment horizontal="center" vertical="center" wrapText="1"/>
      <protection/>
    </xf>
    <xf numFmtId="3" fontId="5" fillId="3" borderId="21" xfId="25" applyNumberFormat="1" applyFont="1" applyFill="1" applyBorder="1" applyAlignment="1">
      <alignment vertical="center"/>
      <protection/>
    </xf>
    <xf numFmtId="3" fontId="5" fillId="3" borderId="24" xfId="25" applyNumberFormat="1" applyFont="1" applyFill="1" applyBorder="1" applyAlignment="1">
      <alignment vertical="center"/>
      <protection/>
    </xf>
    <xf numFmtId="3" fontId="5" fillId="3" borderId="29" xfId="25" applyNumberFormat="1" applyFont="1" applyFill="1" applyBorder="1" applyAlignment="1">
      <alignment vertical="center"/>
      <protection/>
    </xf>
    <xf numFmtId="0" fontId="7" fillId="3" borderId="21" xfId="25" applyFont="1" applyFill="1" applyBorder="1" applyAlignment="1">
      <alignment horizontal="left" vertical="center" wrapText="1"/>
      <protection/>
    </xf>
    <xf numFmtId="0" fontId="5" fillId="3" borderId="27" xfId="25" applyFont="1" applyFill="1" applyBorder="1" applyAlignment="1">
      <alignment horizontal="left" vertical="center" wrapText="1"/>
      <protection/>
    </xf>
    <xf numFmtId="3" fontId="5" fillId="3" borderId="40" xfId="25" applyNumberFormat="1" applyFont="1" applyFill="1" applyBorder="1" applyAlignment="1">
      <alignment horizontal="center" vertical="center" wrapText="1"/>
      <protection/>
    </xf>
    <xf numFmtId="0" fontId="0" fillId="0" borderId="0" xfId="25" applyFont="1" applyAlignment="1">
      <alignment vertical="center"/>
      <protection/>
    </xf>
    <xf numFmtId="3" fontId="5" fillId="0" borderId="41" xfId="25" applyNumberFormat="1" applyFont="1" applyBorder="1" applyAlignment="1">
      <alignment vertical="center" wrapText="1"/>
      <protection/>
    </xf>
    <xf numFmtId="3" fontId="5" fillId="0" borderId="12" xfId="25" applyNumberFormat="1" applyFont="1" applyBorder="1" applyAlignment="1">
      <alignment vertical="center" wrapText="1"/>
      <protection/>
    </xf>
    <xf numFmtId="3" fontId="5" fillId="0" borderId="17" xfId="25" applyNumberFormat="1" applyFont="1" applyBorder="1" applyAlignment="1">
      <alignment vertical="center" wrapText="1"/>
      <protection/>
    </xf>
    <xf numFmtId="3" fontId="5" fillId="0" borderId="1" xfId="25" applyNumberFormat="1" applyFont="1" applyBorder="1" applyAlignment="1">
      <alignment vertical="center" wrapText="1"/>
      <protection/>
    </xf>
    <xf numFmtId="3" fontId="5" fillId="0" borderId="42" xfId="25" applyNumberFormat="1" applyFont="1" applyBorder="1" applyAlignment="1">
      <alignment vertical="center" wrapText="1"/>
      <protection/>
    </xf>
    <xf numFmtId="3" fontId="5" fillId="0" borderId="43" xfId="25" applyNumberFormat="1" applyFont="1" applyBorder="1" applyAlignment="1">
      <alignment vertical="center" wrapText="1"/>
      <protection/>
    </xf>
    <xf numFmtId="3" fontId="5" fillId="0" borderId="4" xfId="25" applyNumberFormat="1" applyFont="1" applyBorder="1" applyAlignment="1">
      <alignment vertical="center" wrapText="1"/>
      <protection/>
    </xf>
    <xf numFmtId="0" fontId="9" fillId="0" borderId="0" xfId="25" applyFont="1">
      <alignment/>
      <protection/>
    </xf>
    <xf numFmtId="0" fontId="0" fillId="0" borderId="44" xfId="25" applyBorder="1" applyAlignment="1">
      <alignment horizontal="center" vertical="center" wrapText="1"/>
      <protection/>
    </xf>
    <xf numFmtId="0" fontId="8" fillId="0" borderId="0" xfId="25" applyFont="1">
      <alignment/>
      <protection/>
    </xf>
    <xf numFmtId="3" fontId="5" fillId="3" borderId="23" xfId="25" applyNumberFormat="1" applyFont="1" applyFill="1" applyBorder="1" applyAlignment="1">
      <alignment vertical="center"/>
      <protection/>
    </xf>
    <xf numFmtId="3" fontId="5" fillId="3" borderId="28" xfId="25" applyNumberFormat="1" applyFont="1" applyFill="1" applyBorder="1" applyAlignment="1">
      <alignment vertical="center"/>
      <protection/>
    </xf>
    <xf numFmtId="0" fontId="5" fillId="0" borderId="0" xfId="25" applyFont="1">
      <alignment/>
      <protection/>
    </xf>
    <xf numFmtId="3" fontId="0" fillId="0" borderId="0" xfId="25" applyNumberFormat="1">
      <alignment/>
      <protection/>
    </xf>
    <xf numFmtId="3" fontId="2" fillId="0" borderId="18" xfId="25" applyNumberFormat="1" applyFont="1" applyBorder="1" applyAlignment="1">
      <alignment vertical="center" wrapText="1"/>
      <protection/>
    </xf>
    <xf numFmtId="3" fontId="2" fillId="0" borderId="3" xfId="25" applyNumberFormat="1" applyFont="1" applyBorder="1" applyAlignment="1">
      <alignment vertical="center" wrapText="1"/>
      <protection/>
    </xf>
    <xf numFmtId="3" fontId="5" fillId="3" borderId="29" xfId="25" applyNumberFormat="1" applyFont="1" applyFill="1" applyBorder="1" applyAlignment="1">
      <alignment vertical="center" wrapText="1"/>
      <protection/>
    </xf>
    <xf numFmtId="0" fontId="2" fillId="3" borderId="4" xfId="20" applyFont="1" applyFill="1" applyBorder="1" applyAlignment="1">
      <alignment horizontal="center"/>
      <protection/>
    </xf>
    <xf numFmtId="0" fontId="9" fillId="3" borderId="2" xfId="20" applyFont="1" applyFill="1" applyBorder="1" applyAlignment="1">
      <alignment horizontal="center"/>
      <protection/>
    </xf>
    <xf numFmtId="0" fontId="2" fillId="3" borderId="3" xfId="20" applyFont="1" applyFill="1" applyBorder="1" applyAlignment="1">
      <alignment horizontal="center"/>
      <protection/>
    </xf>
    <xf numFmtId="0" fontId="2" fillId="3" borderId="8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2" fillId="3" borderId="7" xfId="20" applyFont="1" applyFill="1" applyBorder="1" applyAlignment="1">
      <alignment horizontal="center"/>
      <protection/>
    </xf>
    <xf numFmtId="3" fontId="2" fillId="0" borderId="45" xfId="25" applyNumberFormat="1" applyFont="1" applyBorder="1" applyAlignment="1">
      <alignment vertical="center" wrapText="1"/>
      <protection/>
    </xf>
    <xf numFmtId="3" fontId="2" fillId="0" borderId="46" xfId="25" applyNumberFormat="1" applyFont="1" applyBorder="1" applyAlignment="1">
      <alignment vertical="center" wrapText="1"/>
      <protection/>
    </xf>
    <xf numFmtId="3" fontId="2" fillId="0" borderId="38" xfId="25" applyNumberFormat="1" applyFont="1" applyFill="1" applyBorder="1" applyAlignment="1">
      <alignment vertical="center" wrapText="1"/>
      <protection/>
    </xf>
    <xf numFmtId="3" fontId="2" fillId="0" borderId="47" xfId="25" applyNumberFormat="1" applyFont="1" applyFill="1" applyBorder="1" applyAlignment="1">
      <alignment vertical="center" wrapText="1"/>
      <protection/>
    </xf>
    <xf numFmtId="3" fontId="2" fillId="0" borderId="18" xfId="25" applyNumberFormat="1" applyFont="1" applyFill="1" applyBorder="1" applyAlignment="1">
      <alignment vertical="center" wrapText="1"/>
      <protection/>
    </xf>
    <xf numFmtId="0" fontId="2" fillId="0" borderId="25" xfId="25" applyFont="1" applyBorder="1" applyAlignment="1">
      <alignment horizontal="left" vertical="center" wrapText="1"/>
      <protection/>
    </xf>
    <xf numFmtId="3" fontId="2" fillId="0" borderId="3" xfId="25" applyNumberFormat="1" applyFont="1" applyFill="1" applyBorder="1" applyAlignment="1">
      <alignment vertical="center" wrapText="1"/>
      <protection/>
    </xf>
    <xf numFmtId="3" fontId="2" fillId="0" borderId="2" xfId="25" applyNumberFormat="1" applyFont="1" applyFill="1" applyBorder="1" applyAlignment="1">
      <alignment vertical="center" wrapText="1"/>
      <protection/>
    </xf>
    <xf numFmtId="0" fontId="2" fillId="0" borderId="45" xfId="25" applyFont="1" applyBorder="1" applyAlignment="1">
      <alignment horizontal="left" vertical="center" wrapText="1"/>
      <protection/>
    </xf>
    <xf numFmtId="3" fontId="2" fillId="0" borderId="36" xfId="25" applyNumberFormat="1" applyFont="1" applyFill="1" applyBorder="1" applyAlignment="1">
      <alignment vertical="center" wrapText="1"/>
      <protection/>
    </xf>
    <xf numFmtId="3" fontId="2" fillId="0" borderId="33" xfId="25" applyNumberFormat="1" applyFont="1" applyFill="1" applyBorder="1" applyAlignment="1">
      <alignment vertical="center" wrapText="1"/>
      <protection/>
    </xf>
    <xf numFmtId="3" fontId="2" fillId="0" borderId="31" xfId="25" applyNumberFormat="1" applyFont="1" applyFill="1" applyBorder="1" applyAlignment="1">
      <alignment vertical="center" wrapText="1"/>
      <protection/>
    </xf>
    <xf numFmtId="3" fontId="2" fillId="0" borderId="14" xfId="25" applyNumberFormat="1" applyFont="1" applyFill="1" applyBorder="1" applyAlignment="1">
      <alignment vertical="center" wrapText="1"/>
      <protection/>
    </xf>
    <xf numFmtId="0" fontId="2" fillId="0" borderId="15" xfId="25" applyFont="1" applyBorder="1" applyAlignment="1">
      <alignment vertical="center" wrapText="1"/>
      <protection/>
    </xf>
    <xf numFmtId="3" fontId="2" fillId="0" borderId="15" xfId="25" applyNumberFormat="1" applyFont="1" applyBorder="1" applyAlignment="1">
      <alignment vertical="center" wrapText="1"/>
      <protection/>
    </xf>
    <xf numFmtId="0" fontId="2" fillId="0" borderId="25" xfId="25" applyFont="1" applyBorder="1" applyAlignment="1">
      <alignment vertical="center" wrapText="1"/>
      <protection/>
    </xf>
    <xf numFmtId="3" fontId="5" fillId="3" borderId="22" xfId="25" applyNumberFormat="1" applyFont="1" applyFill="1" applyBorder="1" applyAlignment="1">
      <alignment horizontal="right" vertical="center" wrapText="1"/>
      <protection/>
    </xf>
    <xf numFmtId="3" fontId="5" fillId="3" borderId="28" xfId="25" applyNumberFormat="1" applyFont="1" applyFill="1" applyBorder="1" applyAlignment="1">
      <alignment horizontal="right" vertical="center" wrapText="1"/>
      <protection/>
    </xf>
    <xf numFmtId="3" fontId="5" fillId="3" borderId="21" xfId="25" applyNumberFormat="1" applyFont="1" applyFill="1" applyBorder="1" applyAlignment="1">
      <alignment horizontal="center" vertical="center" wrapText="1"/>
      <protection/>
    </xf>
    <xf numFmtId="0" fontId="0" fillId="0" borderId="26" xfId="25" applyFont="1" applyBorder="1" applyAlignment="1">
      <alignment horizontal="center" vertical="center" wrapText="1"/>
      <protection/>
    </xf>
    <xf numFmtId="3" fontId="5" fillId="3" borderId="36" xfId="25" applyNumberFormat="1" applyFont="1" applyFill="1" applyBorder="1" applyAlignment="1">
      <alignment horizontal="right" vertical="center" wrapText="1"/>
      <protection/>
    </xf>
    <xf numFmtId="3" fontId="5" fillId="3" borderId="33" xfId="25" applyNumberFormat="1" applyFont="1" applyFill="1" applyBorder="1" applyAlignment="1">
      <alignment horizontal="right" vertical="center" wrapText="1"/>
      <protection/>
    </xf>
    <xf numFmtId="3" fontId="0" fillId="0" borderId="0" xfId="25" applyNumberFormat="1" applyFont="1">
      <alignment/>
      <protection/>
    </xf>
    <xf numFmtId="0" fontId="9" fillId="0" borderId="34" xfId="25" applyFont="1" applyBorder="1" applyAlignment="1">
      <alignment vertical="center" wrapText="1"/>
      <protection/>
    </xf>
    <xf numFmtId="0" fontId="4" fillId="0" borderId="0" xfId="25" applyFont="1" applyAlignment="1">
      <alignment horizontal="centerContinuous"/>
      <protection/>
    </xf>
    <xf numFmtId="0" fontId="7" fillId="0" borderId="0" xfId="25" applyFont="1" applyAlignment="1">
      <alignment horizontal="centerContinuous"/>
      <protection/>
    </xf>
    <xf numFmtId="0" fontId="5" fillId="3" borderId="45" xfId="25" applyFont="1" applyFill="1" applyBorder="1" applyAlignment="1">
      <alignment horizontal="centerContinuous" vertical="center"/>
      <protection/>
    </xf>
    <xf numFmtId="0" fontId="9" fillId="3" borderId="19" xfId="25" applyFont="1" applyFill="1" applyBorder="1" applyAlignment="1">
      <alignment horizontal="center"/>
      <protection/>
    </xf>
    <xf numFmtId="0" fontId="9" fillId="3" borderId="2" xfId="25" applyFont="1" applyFill="1" applyBorder="1" applyAlignment="1">
      <alignment horizontal="center"/>
      <protection/>
    </xf>
    <xf numFmtId="0" fontId="9" fillId="3" borderId="48" xfId="25" applyFont="1" applyFill="1" applyBorder="1" applyAlignment="1">
      <alignment horizontal="center"/>
      <protection/>
    </xf>
    <xf numFmtId="0" fontId="9" fillId="3" borderId="49" xfId="25" applyFont="1" applyFill="1" applyBorder="1" applyAlignment="1">
      <alignment horizontal="center"/>
      <protection/>
    </xf>
    <xf numFmtId="0" fontId="9" fillId="0" borderId="31" xfId="25" applyFont="1" applyBorder="1" applyAlignment="1">
      <alignment horizontal="left" vertical="center" wrapText="1"/>
      <protection/>
    </xf>
    <xf numFmtId="3" fontId="9" fillId="0" borderId="13" xfId="25" applyNumberFormat="1" applyFont="1" applyFill="1" applyBorder="1" applyAlignment="1">
      <alignment vertical="center" wrapText="1"/>
      <protection/>
    </xf>
    <xf numFmtId="3" fontId="9" fillId="0" borderId="12" xfId="25" applyNumberFormat="1" applyFont="1" applyFill="1" applyBorder="1" applyAlignment="1">
      <alignment vertical="center" wrapText="1"/>
      <protection/>
    </xf>
    <xf numFmtId="3" fontId="9" fillId="0" borderId="14" xfId="25" applyNumberFormat="1" applyFont="1" applyFill="1" applyBorder="1" applyAlignment="1">
      <alignment vertical="center" wrapText="1"/>
      <protection/>
    </xf>
    <xf numFmtId="3" fontId="9" fillId="0" borderId="17" xfId="25" applyNumberFormat="1" applyFont="1" applyBorder="1" applyAlignment="1">
      <alignment vertical="center" wrapText="1"/>
      <protection/>
    </xf>
    <xf numFmtId="3" fontId="9" fillId="0" borderId="1" xfId="25" applyNumberFormat="1" applyFont="1" applyBorder="1" applyAlignment="1">
      <alignment vertical="center" wrapText="1"/>
      <protection/>
    </xf>
    <xf numFmtId="3" fontId="9" fillId="0" borderId="18" xfId="25" applyNumberFormat="1" applyFont="1" applyFill="1" applyBorder="1" applyAlignment="1">
      <alignment vertical="center" wrapText="1"/>
      <protection/>
    </xf>
    <xf numFmtId="0" fontId="9" fillId="0" borderId="35" xfId="25" applyFont="1" applyBorder="1" applyAlignment="1">
      <alignment horizontal="left" vertical="center" wrapText="1"/>
      <protection/>
    </xf>
    <xf numFmtId="3" fontId="9" fillId="0" borderId="4" xfId="25" applyNumberFormat="1" applyFont="1" applyFill="1" applyBorder="1" applyAlignment="1">
      <alignment vertical="center" wrapText="1"/>
      <protection/>
    </xf>
    <xf numFmtId="3" fontId="9" fillId="0" borderId="2" xfId="25" applyNumberFormat="1" applyFont="1" applyBorder="1" applyAlignment="1">
      <alignment vertical="center" wrapText="1"/>
      <protection/>
    </xf>
    <xf numFmtId="3" fontId="9" fillId="0" borderId="3" xfId="25" applyNumberFormat="1" applyFont="1" applyFill="1" applyBorder="1" applyAlignment="1">
      <alignment vertical="center" wrapText="1"/>
      <protection/>
    </xf>
    <xf numFmtId="0" fontId="7" fillId="3" borderId="22" xfId="25" applyFont="1" applyFill="1" applyBorder="1" applyAlignment="1">
      <alignment horizontal="left" vertical="center" wrapText="1"/>
      <protection/>
    </xf>
    <xf numFmtId="3" fontId="7" fillId="3" borderId="21" xfId="25" applyNumberFormat="1" applyFont="1" applyFill="1" applyBorder="1" applyAlignment="1">
      <alignment vertical="center" wrapText="1"/>
      <protection/>
    </xf>
    <xf numFmtId="3" fontId="7" fillId="3" borderId="24" xfId="25" applyNumberFormat="1" applyFont="1" applyFill="1" applyBorder="1" applyAlignment="1">
      <alignment vertical="center" wrapText="1"/>
      <protection/>
    </xf>
    <xf numFmtId="3" fontId="7" fillId="3" borderId="29" xfId="25" applyNumberFormat="1" applyFont="1" applyFill="1" applyBorder="1" applyAlignment="1">
      <alignment vertical="center" wrapText="1"/>
      <protection/>
    </xf>
    <xf numFmtId="3" fontId="9" fillId="0" borderId="13" xfId="25" applyNumberFormat="1" applyFont="1" applyBorder="1" applyAlignment="1">
      <alignment vertical="center" wrapText="1"/>
      <protection/>
    </xf>
    <xf numFmtId="3" fontId="9" fillId="0" borderId="12" xfId="25" applyNumberFormat="1" applyFont="1" applyBorder="1" applyAlignment="1">
      <alignment vertical="center" wrapText="1"/>
      <protection/>
    </xf>
    <xf numFmtId="3" fontId="9" fillId="0" borderId="17" xfId="25" applyNumberFormat="1" applyFont="1" applyFill="1" applyBorder="1" applyAlignment="1">
      <alignment vertical="center" wrapText="1"/>
      <protection/>
    </xf>
    <xf numFmtId="3" fontId="9" fillId="0" borderId="1" xfId="25" applyNumberFormat="1" applyFont="1" applyFill="1" applyBorder="1" applyAlignment="1">
      <alignment vertical="center" wrapText="1"/>
      <protection/>
    </xf>
    <xf numFmtId="0" fontId="9" fillId="0" borderId="35" xfId="25" applyFont="1" applyBorder="1" applyAlignment="1">
      <alignment vertical="center" wrapText="1"/>
      <protection/>
    </xf>
    <xf numFmtId="3" fontId="9" fillId="0" borderId="4" xfId="25" applyNumberFormat="1" applyFont="1" applyBorder="1" applyAlignment="1">
      <alignment vertical="center" wrapText="1"/>
      <protection/>
    </xf>
    <xf numFmtId="3" fontId="9" fillId="0" borderId="47" xfId="25" applyNumberFormat="1" applyFont="1" applyFill="1" applyBorder="1" applyAlignment="1">
      <alignment vertical="center" wrapText="1"/>
      <protection/>
    </xf>
    <xf numFmtId="3" fontId="7" fillId="3" borderId="39" xfId="25" applyNumberFormat="1" applyFont="1" applyFill="1" applyBorder="1" applyAlignment="1">
      <alignment vertical="center" wrapText="1"/>
      <protection/>
    </xf>
    <xf numFmtId="3" fontId="7" fillId="3" borderId="23" xfId="25" applyNumberFormat="1" applyFont="1" applyFill="1" applyBorder="1" applyAlignment="1">
      <alignment vertical="center" wrapText="1"/>
      <protection/>
    </xf>
    <xf numFmtId="3" fontId="7" fillId="3" borderId="28" xfId="25" applyNumberFormat="1" applyFont="1" applyFill="1" applyBorder="1" applyAlignment="1">
      <alignment vertical="center" wrapText="1"/>
      <protection/>
    </xf>
    <xf numFmtId="0" fontId="2" fillId="0" borderId="26" xfId="25" applyFont="1" applyBorder="1" applyAlignment="1">
      <alignment horizontal="center" vertical="center" wrapText="1"/>
      <protection/>
    </xf>
    <xf numFmtId="3" fontId="5" fillId="0" borderId="13" xfId="25" applyNumberFormat="1" applyFont="1" applyBorder="1" applyAlignment="1">
      <alignment vertical="center" wrapText="1"/>
      <protection/>
    </xf>
    <xf numFmtId="0" fontId="7" fillId="0" borderId="0" xfId="25" applyFont="1">
      <alignment/>
      <protection/>
    </xf>
    <xf numFmtId="0" fontId="9" fillId="3" borderId="27" xfId="25" applyFont="1" applyFill="1" applyBorder="1" applyAlignment="1">
      <alignment horizontal="center"/>
      <protection/>
    </xf>
    <xf numFmtId="0" fontId="9" fillId="3" borderId="6" xfId="25" applyFont="1" applyFill="1" applyBorder="1" applyAlignment="1">
      <alignment horizontal="center"/>
      <protection/>
    </xf>
    <xf numFmtId="0" fontId="7" fillId="0" borderId="31" xfId="25" applyFont="1" applyBorder="1" applyAlignment="1">
      <alignment horizontal="left" vertical="center" wrapText="1"/>
      <protection/>
    </xf>
    <xf numFmtId="3" fontId="5" fillId="0" borderId="50" xfId="25" applyNumberFormat="1" applyFont="1" applyBorder="1" applyAlignment="1">
      <alignment vertical="center" wrapText="1"/>
      <protection/>
    </xf>
    <xf numFmtId="0" fontId="7" fillId="0" borderId="34" xfId="25" applyFont="1" applyBorder="1" applyAlignment="1">
      <alignment horizontal="left" vertical="center" wrapText="1"/>
      <protection/>
    </xf>
    <xf numFmtId="3" fontId="5" fillId="0" borderId="37" xfId="25" applyNumberFormat="1" applyFont="1" applyBorder="1" applyAlignment="1">
      <alignment vertical="center" wrapText="1"/>
      <protection/>
    </xf>
    <xf numFmtId="0" fontId="7" fillId="0" borderId="51" xfId="25" applyFont="1" applyBorder="1" applyAlignment="1">
      <alignment horizontal="left" vertical="center" wrapText="1"/>
      <protection/>
    </xf>
    <xf numFmtId="3" fontId="5" fillId="0" borderId="43" xfId="25" applyNumberFormat="1" applyFont="1" applyFill="1" applyBorder="1" applyAlignment="1">
      <alignment vertical="center" wrapText="1"/>
      <protection/>
    </xf>
    <xf numFmtId="3" fontId="5" fillId="0" borderId="2" xfId="25" applyNumberFormat="1" applyFont="1" applyBorder="1" applyAlignment="1">
      <alignment vertical="center" wrapText="1"/>
      <protection/>
    </xf>
    <xf numFmtId="3" fontId="5" fillId="0" borderId="4" xfId="25" applyNumberFormat="1" applyFont="1" applyFill="1" applyBorder="1" applyAlignment="1">
      <alignment vertical="center" wrapText="1"/>
      <protection/>
    </xf>
    <xf numFmtId="0" fontId="7" fillId="0" borderId="36" xfId="25" applyFont="1" applyBorder="1" applyAlignment="1">
      <alignment horizontal="left" vertical="center" wrapText="1"/>
      <protection/>
    </xf>
    <xf numFmtId="3" fontId="5" fillId="0" borderId="52" xfId="25" applyNumberFormat="1" applyFont="1" applyBorder="1" applyAlignment="1">
      <alignment vertical="center" wrapText="1"/>
      <protection/>
    </xf>
    <xf numFmtId="3" fontId="5" fillId="0" borderId="15" xfId="25" applyNumberFormat="1" applyFont="1" applyFill="1" applyBorder="1" applyAlignment="1">
      <alignment vertical="center" wrapText="1"/>
      <protection/>
    </xf>
    <xf numFmtId="3" fontId="5" fillId="0" borderId="1" xfId="25" applyNumberFormat="1" applyFont="1" applyFill="1" applyBorder="1" applyAlignment="1">
      <alignment vertical="center" wrapText="1"/>
      <protection/>
    </xf>
    <xf numFmtId="3" fontId="5" fillId="0" borderId="37" xfId="25" applyNumberFormat="1" applyFont="1" applyFill="1" applyBorder="1" applyAlignment="1">
      <alignment vertical="center" wrapText="1"/>
      <protection/>
    </xf>
    <xf numFmtId="3" fontId="5" fillId="0" borderId="17" xfId="25" applyNumberFormat="1" applyFont="1" applyFill="1" applyBorder="1" applyAlignment="1">
      <alignment vertical="center" wrapText="1"/>
      <protection/>
    </xf>
    <xf numFmtId="3" fontId="5" fillId="0" borderId="42" xfId="25" applyNumberFormat="1" applyFont="1" applyFill="1" applyBorder="1" applyAlignment="1">
      <alignment vertical="center" wrapText="1"/>
      <protection/>
    </xf>
    <xf numFmtId="0" fontId="7" fillId="0" borderId="34" xfId="25" applyFont="1" applyBorder="1" applyAlignment="1">
      <alignment vertical="center" wrapText="1"/>
      <protection/>
    </xf>
    <xf numFmtId="3" fontId="5" fillId="0" borderId="15" xfId="25" applyNumberFormat="1" applyFont="1" applyBorder="1" applyAlignment="1">
      <alignment vertical="center" wrapText="1"/>
      <protection/>
    </xf>
    <xf numFmtId="3" fontId="5" fillId="0" borderId="52" xfId="25" applyNumberFormat="1" applyFont="1" applyFill="1" applyBorder="1" applyAlignment="1">
      <alignment vertical="center" wrapText="1"/>
      <protection/>
    </xf>
    <xf numFmtId="0" fontId="7" fillId="0" borderId="51" xfId="25" applyFont="1" applyBorder="1" applyAlignment="1">
      <alignment vertical="center" wrapText="1"/>
      <protection/>
    </xf>
    <xf numFmtId="3" fontId="5" fillId="3" borderId="26" xfId="25" applyNumberFormat="1" applyFont="1" applyFill="1" applyBorder="1" applyAlignment="1">
      <alignment horizontal="right" vertical="center" wrapText="1"/>
      <protection/>
    </xf>
    <xf numFmtId="3" fontId="5" fillId="3" borderId="24" xfId="25" applyNumberFormat="1" applyFont="1" applyFill="1" applyBorder="1" applyAlignment="1">
      <alignment horizontal="right" vertical="center" wrapText="1"/>
      <protection/>
    </xf>
    <xf numFmtId="3" fontId="5" fillId="3" borderId="29" xfId="25" applyNumberFormat="1" applyFont="1" applyFill="1" applyBorder="1" applyAlignment="1">
      <alignment horizontal="right" vertical="center" wrapText="1"/>
      <protection/>
    </xf>
    <xf numFmtId="3" fontId="5" fillId="3" borderId="27" xfId="25" applyNumberFormat="1" applyFont="1" applyFill="1" applyBorder="1" applyAlignment="1">
      <alignment vertical="center" wrapText="1"/>
      <protection/>
    </xf>
    <xf numFmtId="0" fontId="4" fillId="3" borderId="26" xfId="25" applyFont="1" applyFill="1" applyBorder="1" applyAlignment="1">
      <alignment horizontal="center" vertical="center"/>
      <protection/>
    </xf>
    <xf numFmtId="0" fontId="0" fillId="0" borderId="26" xfId="25" applyFont="1" applyBorder="1" applyAlignment="1">
      <alignment/>
      <protection/>
    </xf>
    <xf numFmtId="0" fontId="0" fillId="0" borderId="26" xfId="25" applyBorder="1" applyAlignment="1">
      <alignment horizontal="center" vertical="center" wrapText="1"/>
      <protection/>
    </xf>
    <xf numFmtId="3" fontId="2" fillId="0" borderId="16" xfId="25" applyNumberFormat="1" applyFont="1" applyFill="1" applyBorder="1" applyAlignment="1">
      <alignment vertical="center" wrapText="1"/>
      <protection/>
    </xf>
    <xf numFmtId="3" fontId="5" fillId="3" borderId="27" xfId="25" applyNumberFormat="1" applyFont="1" applyFill="1" applyBorder="1" applyAlignment="1">
      <alignment horizontal="center" vertical="center" wrapText="1"/>
      <protection/>
    </xf>
    <xf numFmtId="0" fontId="0" fillId="0" borderId="44" xfId="25" applyFont="1" applyBorder="1" applyAlignment="1">
      <alignment horizontal="center" vertical="center" wrapText="1"/>
      <protection/>
    </xf>
    <xf numFmtId="10" fontId="5" fillId="3" borderId="28" xfId="0" applyNumberFormat="1" applyFont="1" applyFill="1" applyBorder="1" applyAlignment="1">
      <alignment horizontal="right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3" fontId="5" fillId="3" borderId="27" xfId="0" applyNumberFormat="1" applyFont="1" applyFill="1" applyBorder="1" applyAlignment="1">
      <alignment horizontal="right" vertical="center" wrapText="1"/>
    </xf>
    <xf numFmtId="10" fontId="5" fillId="3" borderId="7" xfId="0" applyNumberFormat="1" applyFont="1" applyFill="1" applyBorder="1" applyAlignment="1">
      <alignment horizontal="right" vertical="center" wrapText="1"/>
    </xf>
    <xf numFmtId="3" fontId="5" fillId="0" borderId="31" xfId="25" applyNumberFormat="1" applyFont="1" applyBorder="1" applyAlignment="1">
      <alignment vertical="center" wrapText="1"/>
      <protection/>
    </xf>
    <xf numFmtId="3" fontId="5" fillId="3" borderId="40" xfId="25" applyNumberFormat="1" applyFont="1" applyFill="1" applyBorder="1" applyAlignment="1">
      <alignment vertical="center" wrapText="1"/>
      <protection/>
    </xf>
    <xf numFmtId="3" fontId="2" fillId="2" borderId="31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0" fontId="5" fillId="4" borderId="3" xfId="0" applyNumberFormat="1" applyFont="1" applyFill="1" applyBorder="1" applyAlignment="1">
      <alignment horizontal="right" vertical="center" wrapText="1"/>
    </xf>
    <xf numFmtId="0" fontId="8" fillId="3" borderId="46" xfId="0" applyFont="1" applyFill="1" applyBorder="1" applyAlignment="1">
      <alignment horizontal="center" vertical="center"/>
    </xf>
    <xf numFmtId="0" fontId="9" fillId="3" borderId="5" xfId="20" applyFont="1" applyFill="1" applyBorder="1" applyAlignment="1">
      <alignment horizontal="center"/>
      <protection/>
    </xf>
    <xf numFmtId="0" fontId="2" fillId="3" borderId="9" xfId="20" applyFont="1" applyFill="1" applyBorder="1" applyAlignment="1">
      <alignment horizontal="center"/>
      <protection/>
    </xf>
    <xf numFmtId="3" fontId="2" fillId="0" borderId="53" xfId="25" applyNumberFormat="1" applyFont="1" applyBorder="1" applyAlignment="1">
      <alignment vertical="center" wrapText="1"/>
      <protection/>
    </xf>
    <xf numFmtId="3" fontId="2" fillId="0" borderId="50" xfId="25" applyNumberFormat="1" applyFont="1" applyFill="1" applyBorder="1" applyAlignment="1">
      <alignment vertical="center" wrapText="1"/>
      <protection/>
    </xf>
    <xf numFmtId="3" fontId="2" fillId="0" borderId="54" xfId="25" applyNumberFormat="1" applyFont="1" applyFill="1" applyBorder="1" applyAlignment="1">
      <alignment vertical="center" wrapText="1"/>
      <protection/>
    </xf>
    <xf numFmtId="3" fontId="2" fillId="0" borderId="5" xfId="25" applyNumberFormat="1" applyFont="1" applyFill="1" applyBorder="1" applyAlignment="1">
      <alignment vertical="center" wrapText="1"/>
      <protection/>
    </xf>
    <xf numFmtId="3" fontId="2" fillId="0" borderId="53" xfId="25" applyNumberFormat="1" applyFont="1" applyFill="1" applyBorder="1" applyAlignment="1">
      <alignment vertical="center" wrapText="1"/>
      <protection/>
    </xf>
    <xf numFmtId="3" fontId="2" fillId="0" borderId="54" xfId="25" applyNumberFormat="1" applyFont="1" applyBorder="1" applyAlignment="1">
      <alignment vertical="center" wrapText="1"/>
      <protection/>
    </xf>
    <xf numFmtId="0" fontId="8" fillId="3" borderId="13" xfId="20" applyFont="1" applyFill="1" applyBorder="1" applyAlignment="1">
      <alignment horizontal="centerContinuous"/>
      <protection/>
    </xf>
    <xf numFmtId="0" fontId="8" fillId="3" borderId="50" xfId="20" applyFont="1" applyFill="1" applyBorder="1" applyAlignment="1">
      <alignment horizontal="centerContinuous"/>
      <protection/>
    </xf>
    <xf numFmtId="0" fontId="8" fillId="3" borderId="11" xfId="0" applyFont="1" applyFill="1" applyBorder="1" applyAlignment="1">
      <alignment horizontal="center" vertical="center"/>
    </xf>
    <xf numFmtId="10" fontId="5" fillId="4" borderId="50" xfId="0" applyNumberFormat="1" applyFont="1" applyFill="1" applyBorder="1" applyAlignment="1">
      <alignment horizontal="right" vertical="center" wrapText="1"/>
    </xf>
    <xf numFmtId="10" fontId="5" fillId="4" borderId="54" xfId="0" applyNumberFormat="1" applyFont="1" applyFill="1" applyBorder="1" applyAlignment="1">
      <alignment horizontal="right" vertical="center" wrapText="1"/>
    </xf>
    <xf numFmtId="10" fontId="5" fillId="3" borderId="23" xfId="0" applyNumberFormat="1" applyFont="1" applyFill="1" applyBorder="1" applyAlignment="1">
      <alignment horizontal="right" vertical="center" wrapText="1"/>
    </xf>
    <xf numFmtId="10" fontId="5" fillId="3" borderId="9" xfId="0" applyNumberFormat="1" applyFont="1" applyFill="1" applyBorder="1" applyAlignment="1">
      <alignment horizontal="right" vertical="center" wrapText="1"/>
    </xf>
    <xf numFmtId="0" fontId="0" fillId="0" borderId="31" xfId="25" applyBorder="1">
      <alignment/>
      <protection/>
    </xf>
    <xf numFmtId="0" fontId="9" fillId="3" borderId="22" xfId="25" applyFont="1" applyFill="1" applyBorder="1" applyAlignment="1">
      <alignment vertical="center" wrapText="1"/>
      <protection/>
    </xf>
    <xf numFmtId="0" fontId="9" fillId="0" borderId="31" xfId="25" applyFont="1" applyBorder="1" applyAlignment="1">
      <alignment vertical="center" wrapText="1"/>
      <protection/>
    </xf>
    <xf numFmtId="0" fontId="9" fillId="3" borderId="40" xfId="25" applyFont="1" applyFill="1" applyBorder="1" applyAlignment="1">
      <alignment vertical="center" wrapText="1"/>
      <protection/>
    </xf>
    <xf numFmtId="0" fontId="2" fillId="0" borderId="10" xfId="25" applyFont="1" applyBorder="1" applyAlignment="1">
      <alignment horizontal="center" vertical="center" wrapText="1"/>
      <protection/>
    </xf>
    <xf numFmtId="0" fontId="2" fillId="0" borderId="55" xfId="25" applyFont="1" applyBorder="1" applyAlignment="1">
      <alignment horizontal="center" vertical="center" wrapText="1"/>
      <protection/>
    </xf>
    <xf numFmtId="0" fontId="2" fillId="3" borderId="22" xfId="25" applyFont="1" applyFill="1" applyBorder="1" applyAlignment="1">
      <alignment horizontal="center" vertical="center" wrapText="1"/>
      <protection/>
    </xf>
    <xf numFmtId="0" fontId="2" fillId="0" borderId="34" xfId="25" applyFont="1" applyBorder="1" applyAlignment="1">
      <alignment horizontal="center" vertical="center" wrapText="1"/>
      <protection/>
    </xf>
    <xf numFmtId="0" fontId="2" fillId="3" borderId="56" xfId="25" applyFont="1" applyFill="1" applyBorder="1" applyAlignment="1">
      <alignment horizontal="center" vertical="center" wrapText="1"/>
      <protection/>
    </xf>
    <xf numFmtId="0" fontId="2" fillId="0" borderId="31" xfId="25" applyFont="1" applyBorder="1" applyAlignment="1">
      <alignment horizontal="center" vertical="center" wrapText="1"/>
      <protection/>
    </xf>
    <xf numFmtId="0" fontId="2" fillId="0" borderId="38" xfId="25" applyFont="1" applyBorder="1" applyAlignment="1">
      <alignment horizontal="center" vertical="center" wrapText="1"/>
      <protection/>
    </xf>
    <xf numFmtId="0" fontId="8" fillId="3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10" fontId="5" fillId="4" borderId="31" xfId="0" applyNumberFormat="1" applyFont="1" applyFill="1" applyBorder="1" applyAlignment="1">
      <alignment horizontal="right" vertical="center" wrapText="1"/>
    </xf>
    <xf numFmtId="10" fontId="5" fillId="4" borderId="34" xfId="0" applyNumberFormat="1" applyFont="1" applyFill="1" applyBorder="1" applyAlignment="1">
      <alignment horizontal="right" vertical="center" wrapText="1"/>
    </xf>
    <xf numFmtId="10" fontId="5" fillId="4" borderId="35" xfId="0" applyNumberFormat="1" applyFont="1" applyFill="1" applyBorder="1" applyAlignment="1">
      <alignment horizontal="right" vertical="center" wrapText="1"/>
    </xf>
    <xf numFmtId="10" fontId="5" fillId="3" borderId="22" xfId="0" applyNumberFormat="1" applyFont="1" applyFill="1" applyBorder="1" applyAlignment="1">
      <alignment horizontal="right" vertical="center" wrapText="1"/>
    </xf>
    <xf numFmtId="10" fontId="5" fillId="4" borderId="22" xfId="0" applyNumberFormat="1" applyFont="1" applyFill="1" applyBorder="1" applyAlignment="1">
      <alignment horizontal="right" vertical="center" wrapText="1"/>
    </xf>
    <xf numFmtId="10" fontId="5" fillId="4" borderId="40" xfId="0" applyNumberFormat="1" applyFont="1" applyFill="1" applyBorder="1" applyAlignment="1">
      <alignment horizontal="right" vertical="center" wrapText="1"/>
    </xf>
    <xf numFmtId="3" fontId="5" fillId="3" borderId="26" xfId="0" applyNumberFormat="1" applyFont="1" applyFill="1" applyBorder="1" applyAlignment="1">
      <alignment horizontal="right"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3" fontId="5" fillId="0" borderId="16" xfId="25" applyNumberFormat="1" applyFont="1" applyBorder="1" applyAlignment="1">
      <alignment vertical="center" wrapText="1"/>
      <protection/>
    </xf>
    <xf numFmtId="3" fontId="5" fillId="0" borderId="2" xfId="25" applyNumberFormat="1" applyFont="1" applyFill="1" applyBorder="1" applyAlignment="1">
      <alignment vertical="center" wrapText="1"/>
      <protection/>
    </xf>
    <xf numFmtId="3" fontId="5" fillId="0" borderId="30" xfId="25" applyNumberFormat="1" applyFont="1" applyBorder="1" applyAlignment="1">
      <alignment vertical="center" wrapText="1"/>
      <protection/>
    </xf>
    <xf numFmtId="3" fontId="5" fillId="0" borderId="32" xfId="25" applyNumberFormat="1" applyFont="1" applyBorder="1" applyAlignment="1">
      <alignment vertical="center" wrapText="1"/>
      <protection/>
    </xf>
    <xf numFmtId="3" fontId="5" fillId="0" borderId="18" xfId="25" applyNumberFormat="1" applyFont="1" applyBorder="1" applyAlignment="1">
      <alignment vertical="center" wrapText="1"/>
      <protection/>
    </xf>
    <xf numFmtId="3" fontId="5" fillId="0" borderId="14" xfId="25" applyNumberFormat="1" applyFont="1" applyBorder="1" applyAlignment="1">
      <alignment vertical="center" wrapText="1"/>
      <protection/>
    </xf>
    <xf numFmtId="0" fontId="16" fillId="0" borderId="0" xfId="21">
      <alignment/>
      <protection/>
    </xf>
    <xf numFmtId="3" fontId="16" fillId="0" borderId="0" xfId="21" applyNumberFormat="1">
      <alignment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7" fillId="0" borderId="0" xfId="21" applyFont="1" applyAlignment="1">
      <alignment vertical="top"/>
      <protection/>
    </xf>
    <xf numFmtId="0" fontId="16" fillId="0" borderId="0" xfId="21" applyAlignment="1">
      <alignment vertical="center" wrapText="1"/>
      <protection/>
    </xf>
    <xf numFmtId="0" fontId="19" fillId="0" borderId="10" xfId="21" applyFont="1" applyFill="1" applyBorder="1" applyAlignment="1">
      <alignment vertical="center" wrapText="1"/>
      <protection/>
    </xf>
    <xf numFmtId="3" fontId="19" fillId="0" borderId="12" xfId="21" applyNumberFormat="1" applyFont="1" applyFill="1" applyBorder="1" applyAlignment="1">
      <alignment vertical="center"/>
      <protection/>
    </xf>
    <xf numFmtId="3" fontId="19" fillId="0" borderId="31" xfId="21" applyNumberFormat="1" applyFont="1" applyFill="1" applyBorder="1" applyAlignment="1">
      <alignment vertical="center"/>
      <protection/>
    </xf>
    <xf numFmtId="0" fontId="16" fillId="0" borderId="0" xfId="21" applyFill="1" applyAlignment="1">
      <alignment vertical="center"/>
      <protection/>
    </xf>
    <xf numFmtId="0" fontId="19" fillId="0" borderId="15" xfId="21" applyFont="1" applyFill="1" applyBorder="1" applyAlignment="1">
      <alignment vertical="center" wrapText="1"/>
      <protection/>
    </xf>
    <xf numFmtId="3" fontId="19" fillId="0" borderId="1" xfId="21" applyNumberFormat="1" applyFont="1" applyFill="1" applyBorder="1" applyAlignment="1">
      <alignment vertical="center"/>
      <protection/>
    </xf>
    <xf numFmtId="3" fontId="19" fillId="0" borderId="34" xfId="21" applyNumberFormat="1" applyFont="1" applyFill="1" applyBorder="1" applyAlignment="1">
      <alignment vertical="center"/>
      <protection/>
    </xf>
    <xf numFmtId="0" fontId="19" fillId="0" borderId="19" xfId="21" applyFont="1" applyFill="1" applyBorder="1" applyAlignment="1">
      <alignment vertical="center" wrapText="1"/>
      <protection/>
    </xf>
    <xf numFmtId="3" fontId="19" fillId="0" borderId="2" xfId="21" applyNumberFormat="1" applyFont="1" applyFill="1" applyBorder="1" applyAlignment="1">
      <alignment vertical="center"/>
      <protection/>
    </xf>
    <xf numFmtId="3" fontId="19" fillId="0" borderId="35" xfId="21" applyNumberFormat="1" applyFont="1" applyFill="1" applyBorder="1" applyAlignment="1">
      <alignment vertical="center"/>
      <protection/>
    </xf>
    <xf numFmtId="0" fontId="19" fillId="3" borderId="21" xfId="21" applyFont="1" applyFill="1" applyBorder="1" applyAlignment="1">
      <alignment vertical="center"/>
      <protection/>
    </xf>
    <xf numFmtId="3" fontId="19" fillId="3" borderId="24" xfId="21" applyNumberFormat="1" applyFont="1" applyFill="1" applyBorder="1" applyAlignment="1">
      <alignment vertical="center"/>
      <protection/>
    </xf>
    <xf numFmtId="3" fontId="19" fillId="3" borderId="22" xfId="21" applyNumberFormat="1" applyFont="1" applyFill="1" applyBorder="1" applyAlignment="1">
      <alignment vertical="center"/>
      <protection/>
    </xf>
    <xf numFmtId="0" fontId="16" fillId="0" borderId="0" xfId="21" applyAlignment="1">
      <alignment vertical="center"/>
      <protection/>
    </xf>
    <xf numFmtId="0" fontId="19" fillId="0" borderId="0" xfId="21" applyFont="1">
      <alignment/>
      <protection/>
    </xf>
    <xf numFmtId="3" fontId="19" fillId="0" borderId="0" xfId="21" applyNumberFormat="1" applyFont="1">
      <alignment/>
      <protection/>
    </xf>
    <xf numFmtId="3" fontId="19" fillId="3" borderId="57" xfId="21" applyNumberFormat="1" applyFont="1" applyFill="1" applyBorder="1" applyAlignment="1" quotePrefix="1">
      <alignment horizontal="center" vertical="center"/>
      <protection/>
    </xf>
    <xf numFmtId="3" fontId="19" fillId="3" borderId="58" xfId="21" applyNumberFormat="1" applyFont="1" applyFill="1" applyBorder="1" applyAlignment="1">
      <alignment horizontal="center" vertical="center"/>
      <protection/>
    </xf>
    <xf numFmtId="3" fontId="19" fillId="0" borderId="13" xfId="21" applyNumberFormat="1" applyFont="1" applyFill="1" applyBorder="1" applyAlignment="1">
      <alignment vertical="center"/>
      <protection/>
    </xf>
    <xf numFmtId="10" fontId="19" fillId="0" borderId="18" xfId="21" applyNumberFormat="1" applyFont="1" applyFill="1" applyBorder="1" applyAlignment="1">
      <alignment vertical="center"/>
      <protection/>
    </xf>
    <xf numFmtId="3" fontId="19" fillId="0" borderId="17" xfId="21" applyNumberFormat="1" applyFont="1" applyFill="1" applyBorder="1" applyAlignment="1">
      <alignment vertical="center"/>
      <protection/>
    </xf>
    <xf numFmtId="3" fontId="19" fillId="0" borderId="4" xfId="21" applyNumberFormat="1" applyFont="1" applyFill="1" applyBorder="1" applyAlignment="1">
      <alignment vertical="center"/>
      <protection/>
    </xf>
    <xf numFmtId="10" fontId="19" fillId="0" borderId="3" xfId="21" applyNumberFormat="1" applyFont="1" applyFill="1" applyBorder="1" applyAlignment="1">
      <alignment vertical="center"/>
      <protection/>
    </xf>
    <xf numFmtId="3" fontId="19" fillId="3" borderId="39" xfId="21" applyNumberFormat="1" applyFont="1" applyFill="1" applyBorder="1" applyAlignment="1">
      <alignment vertical="center"/>
      <protection/>
    </xf>
    <xf numFmtId="10" fontId="19" fillId="3" borderId="28" xfId="21" applyNumberFormat="1" applyFont="1" applyFill="1" applyBorder="1" applyAlignment="1">
      <alignment vertical="center"/>
      <protection/>
    </xf>
    <xf numFmtId="3" fontId="19" fillId="0" borderId="50" xfId="21" applyNumberFormat="1" applyFont="1" applyFill="1" applyBorder="1" applyAlignment="1">
      <alignment vertical="center"/>
      <protection/>
    </xf>
    <xf numFmtId="3" fontId="19" fillId="0" borderId="54" xfId="21" applyNumberFormat="1" applyFont="1" applyFill="1" applyBorder="1" applyAlignment="1">
      <alignment vertical="center"/>
      <protection/>
    </xf>
    <xf numFmtId="3" fontId="19" fillId="0" borderId="52" xfId="21" applyNumberFormat="1" applyFont="1" applyFill="1" applyBorder="1" applyAlignment="1">
      <alignment vertical="center"/>
      <protection/>
    </xf>
    <xf numFmtId="3" fontId="19" fillId="0" borderId="5" xfId="21" applyNumberFormat="1" applyFont="1" applyFill="1" applyBorder="1" applyAlignment="1">
      <alignment vertical="center"/>
      <protection/>
    </xf>
    <xf numFmtId="3" fontId="19" fillId="3" borderId="23" xfId="21" applyNumberFormat="1" applyFont="1" applyFill="1" applyBorder="1" applyAlignment="1">
      <alignment vertical="center"/>
      <protection/>
    </xf>
    <xf numFmtId="0" fontId="19" fillId="0" borderId="13" xfId="21" applyFont="1" applyFill="1" applyBorder="1" applyAlignment="1">
      <alignment vertical="center" wrapText="1"/>
      <protection/>
    </xf>
    <xf numFmtId="0" fontId="19" fillId="0" borderId="17" xfId="21" applyFont="1" applyFill="1" applyBorder="1" applyAlignment="1">
      <alignment vertical="center" wrapText="1"/>
      <protection/>
    </xf>
    <xf numFmtId="0" fontId="19" fillId="0" borderId="4" xfId="21" applyFont="1" applyFill="1" applyBorder="1" applyAlignment="1">
      <alignment vertical="center" wrapText="1"/>
      <protection/>
    </xf>
    <xf numFmtId="0" fontId="19" fillId="3" borderId="39" xfId="21" applyFont="1" applyFill="1" applyBorder="1" applyAlignment="1">
      <alignment vertical="center"/>
      <protection/>
    </xf>
    <xf numFmtId="0" fontId="16" fillId="0" borderId="0" xfId="21" applyFont="1">
      <alignment/>
      <protection/>
    </xf>
    <xf numFmtId="3" fontId="19" fillId="3" borderId="28" xfId="21" applyNumberFormat="1" applyFont="1" applyFill="1" applyBorder="1" applyAlignment="1">
      <alignment horizontal="center" vertical="center" wrapText="1"/>
      <protection/>
    </xf>
    <xf numFmtId="3" fontId="19" fillId="0" borderId="10" xfId="21" applyNumberFormat="1" applyFont="1" applyFill="1" applyBorder="1" applyAlignment="1">
      <alignment vertical="center"/>
      <protection/>
    </xf>
    <xf numFmtId="3" fontId="19" fillId="3" borderId="21" xfId="21" applyNumberFormat="1" applyFont="1" applyFill="1" applyBorder="1" applyAlignment="1">
      <alignment vertical="center"/>
      <protection/>
    </xf>
    <xf numFmtId="3" fontId="19" fillId="0" borderId="37" xfId="21" applyNumberFormat="1" applyFont="1" applyFill="1" applyBorder="1" applyAlignment="1">
      <alignment vertical="center"/>
      <protection/>
    </xf>
    <xf numFmtId="3" fontId="19" fillId="0" borderId="59" xfId="21" applyNumberFormat="1" applyFont="1" applyFill="1" applyBorder="1" applyAlignment="1">
      <alignment vertical="center"/>
      <protection/>
    </xf>
    <xf numFmtId="3" fontId="19" fillId="3" borderId="26" xfId="21" applyNumberFormat="1" applyFont="1" applyFill="1" applyBorder="1" applyAlignment="1">
      <alignment vertical="center"/>
      <protection/>
    </xf>
    <xf numFmtId="3" fontId="19" fillId="3" borderId="8" xfId="21" applyNumberFormat="1" applyFont="1" applyFill="1" applyBorder="1" applyAlignment="1">
      <alignment horizontal="center" vertical="center" wrapText="1"/>
      <protection/>
    </xf>
    <xf numFmtId="3" fontId="19" fillId="3" borderId="6" xfId="21" applyNumberFormat="1" applyFont="1" applyFill="1" applyBorder="1" applyAlignment="1">
      <alignment horizontal="center" vertical="center" wrapText="1"/>
      <protection/>
    </xf>
    <xf numFmtId="3" fontId="19" fillId="3" borderId="27" xfId="21" applyNumberFormat="1" applyFont="1" applyFill="1" applyBorder="1" applyAlignment="1">
      <alignment horizontal="center" vertical="center" wrapText="1"/>
      <protection/>
    </xf>
    <xf numFmtId="3" fontId="19" fillId="3" borderId="9" xfId="21" applyNumberFormat="1" applyFont="1" applyFill="1" applyBorder="1" applyAlignment="1">
      <alignment horizontal="center" vertical="center" wrapText="1"/>
      <protection/>
    </xf>
    <xf numFmtId="3" fontId="19" fillId="3" borderId="40" xfId="21" applyNumberFormat="1" applyFont="1" applyFill="1" applyBorder="1" applyAlignment="1">
      <alignment horizontal="center" vertical="center" wrapText="1"/>
      <protection/>
    </xf>
    <xf numFmtId="1" fontId="19" fillId="3" borderId="60" xfId="21" applyNumberFormat="1" applyFont="1" applyFill="1" applyBorder="1" applyAlignment="1">
      <alignment horizontal="center" vertical="center" wrapText="1"/>
      <protection/>
    </xf>
    <xf numFmtId="1" fontId="19" fillId="3" borderId="57" xfId="21" applyNumberFormat="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vertical="center" wrapText="1"/>
      <protection/>
    </xf>
    <xf numFmtId="0" fontId="19" fillId="0" borderId="34" xfId="21" applyFont="1" applyFill="1" applyBorder="1" applyAlignment="1">
      <alignment vertical="center" wrapText="1"/>
      <protection/>
    </xf>
    <xf numFmtId="0" fontId="19" fillId="0" borderId="35" xfId="21" applyFont="1" applyFill="1" applyBorder="1" applyAlignment="1">
      <alignment vertical="center" wrapText="1"/>
      <protection/>
    </xf>
    <xf numFmtId="0" fontId="19" fillId="3" borderId="22" xfId="21" applyFont="1" applyFill="1" applyBorder="1" applyAlignment="1">
      <alignment vertical="center"/>
      <protection/>
    </xf>
    <xf numFmtId="10" fontId="19" fillId="0" borderId="34" xfId="21" applyNumberFormat="1" applyFont="1" applyFill="1" applyBorder="1" applyAlignment="1">
      <alignment vertical="center"/>
      <protection/>
    </xf>
    <xf numFmtId="10" fontId="19" fillId="0" borderId="35" xfId="21" applyNumberFormat="1" applyFont="1" applyFill="1" applyBorder="1" applyAlignment="1">
      <alignment vertical="center"/>
      <protection/>
    </xf>
    <xf numFmtId="10" fontId="19" fillId="3" borderId="22" xfId="21" applyNumberFormat="1" applyFont="1" applyFill="1" applyBorder="1" applyAlignment="1">
      <alignment vertical="center"/>
      <protection/>
    </xf>
    <xf numFmtId="10" fontId="19" fillId="0" borderId="16" xfId="21" applyNumberFormat="1" applyFont="1" applyFill="1" applyBorder="1" applyAlignment="1">
      <alignment vertical="center"/>
      <protection/>
    </xf>
    <xf numFmtId="10" fontId="19" fillId="3" borderId="29" xfId="21" applyNumberFormat="1" applyFont="1" applyFill="1" applyBorder="1" applyAlignment="1">
      <alignment vertical="center"/>
      <protection/>
    </xf>
    <xf numFmtId="0" fontId="12" fillId="0" borderId="0" xfId="23" applyFont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49" fontId="5" fillId="3" borderId="36" xfId="23" applyNumberFormat="1" applyFont="1" applyFill="1" applyBorder="1" applyAlignment="1">
      <alignment horizontal="center" vertical="center" wrapText="1"/>
      <protection/>
    </xf>
    <xf numFmtId="49" fontId="5" fillId="3" borderId="61" xfId="23" applyNumberFormat="1" applyFont="1" applyFill="1" applyBorder="1" applyAlignment="1">
      <alignment horizontal="center" vertical="center" wrapText="1"/>
      <protection/>
    </xf>
    <xf numFmtId="49" fontId="5" fillId="3" borderId="32" xfId="23" applyNumberFormat="1" applyFont="1" applyFill="1" applyBorder="1" applyAlignment="1">
      <alignment horizontal="center" vertical="center" wrapText="1"/>
      <protection/>
    </xf>
    <xf numFmtId="49" fontId="5" fillId="3" borderId="51" xfId="23" applyNumberFormat="1" applyFont="1" applyFill="1" applyBorder="1" applyAlignment="1">
      <alignment horizontal="center" vertical="center"/>
      <protection/>
    </xf>
    <xf numFmtId="49" fontId="5" fillId="3" borderId="62" xfId="23" applyNumberFormat="1" applyFont="1" applyFill="1" applyBorder="1" applyAlignment="1">
      <alignment horizontal="center" vertical="center"/>
      <protection/>
    </xf>
    <xf numFmtId="49" fontId="5" fillId="3" borderId="57" xfId="23" applyNumberFormat="1" applyFont="1" applyFill="1" applyBorder="1" applyAlignment="1">
      <alignment horizontal="center" vertical="center"/>
      <protection/>
    </xf>
    <xf numFmtId="4" fontId="2" fillId="0" borderId="63" xfId="23" applyNumberFormat="1" applyFont="1" applyBorder="1" applyAlignment="1">
      <alignment vertical="center"/>
      <protection/>
    </xf>
    <xf numFmtId="4" fontId="2" fillId="0" borderId="64" xfId="23" applyNumberFormat="1" applyFont="1" applyBorder="1" applyAlignment="1">
      <alignment vertical="center"/>
      <protection/>
    </xf>
    <xf numFmtId="4" fontId="20" fillId="0" borderId="65" xfId="23" applyNumberFormat="1" applyFont="1" applyBorder="1" applyAlignment="1">
      <alignment vertical="center"/>
      <protection/>
    </xf>
    <xf numFmtId="4" fontId="2" fillId="0" borderId="65" xfId="23" applyNumberFormat="1" applyFont="1" applyBorder="1" applyAlignment="1">
      <alignment vertical="center"/>
      <protection/>
    </xf>
    <xf numFmtId="4" fontId="21" fillId="0" borderId="63" xfId="23" applyNumberFormat="1" applyFont="1" applyBorder="1" applyAlignment="1">
      <alignment vertical="center"/>
      <protection/>
    </xf>
    <xf numFmtId="4" fontId="2" fillId="0" borderId="66" xfId="23" applyNumberFormat="1" applyFont="1" applyBorder="1" applyAlignment="1">
      <alignment vertical="center"/>
      <protection/>
    </xf>
    <xf numFmtId="4" fontId="2" fillId="0" borderId="67" xfId="23" applyNumberFormat="1" applyFont="1" applyBorder="1" applyAlignment="1">
      <alignment vertical="center"/>
      <protection/>
    </xf>
    <xf numFmtId="4" fontId="2" fillId="0" borderId="68" xfId="23" applyNumberFormat="1" applyFont="1" applyBorder="1" applyAlignment="1">
      <alignment vertical="center"/>
      <protection/>
    </xf>
    <xf numFmtId="4" fontId="5" fillId="0" borderId="66" xfId="23" applyNumberFormat="1" applyFont="1" applyBorder="1" applyAlignment="1">
      <alignment vertical="center"/>
      <protection/>
    </xf>
    <xf numFmtId="4" fontId="2" fillId="0" borderId="69" xfId="23" applyNumberFormat="1" applyFont="1" applyBorder="1" applyAlignment="1">
      <alignment vertical="center"/>
      <protection/>
    </xf>
    <xf numFmtId="4" fontId="2" fillId="0" borderId="70" xfId="23" applyNumberFormat="1" applyFont="1" applyBorder="1" applyAlignment="1">
      <alignment vertical="center"/>
      <protection/>
    </xf>
    <xf numFmtId="4" fontId="20" fillId="0" borderId="71" xfId="23" applyNumberFormat="1" applyFont="1" applyBorder="1" applyAlignment="1">
      <alignment vertical="center"/>
      <protection/>
    </xf>
    <xf numFmtId="4" fontId="2" fillId="0" borderId="71" xfId="23" applyNumberFormat="1" applyFont="1" applyBorder="1" applyAlignment="1">
      <alignment vertical="center"/>
      <protection/>
    </xf>
    <xf numFmtId="4" fontId="21" fillId="0" borderId="69" xfId="23" applyNumberFormat="1" applyFont="1" applyBorder="1" applyAlignment="1">
      <alignment vertical="center"/>
      <protection/>
    </xf>
    <xf numFmtId="49" fontId="5" fillId="3" borderId="22" xfId="23" applyNumberFormat="1" applyFont="1" applyFill="1" applyBorder="1" applyAlignment="1">
      <alignment vertical="center"/>
      <protection/>
    </xf>
    <xf numFmtId="4" fontId="5" fillId="3" borderId="22" xfId="23" applyNumberFormat="1" applyFont="1" applyFill="1" applyBorder="1" applyAlignment="1">
      <alignment vertical="center"/>
      <protection/>
    </xf>
    <xf numFmtId="4" fontId="5" fillId="3" borderId="72" xfId="23" applyNumberFormat="1" applyFont="1" applyFill="1" applyBorder="1" applyAlignment="1">
      <alignment vertical="center"/>
      <protection/>
    </xf>
    <xf numFmtId="4" fontId="5" fillId="3" borderId="24" xfId="23" applyNumberFormat="1" applyFont="1" applyFill="1" applyBorder="1" applyAlignment="1">
      <alignment vertical="center"/>
      <protection/>
    </xf>
    <xf numFmtId="10" fontId="5" fillId="3" borderId="29" xfId="0" applyNumberFormat="1" applyFont="1" applyFill="1" applyBorder="1" applyAlignment="1">
      <alignment horizontal="right" vertical="center" wrapText="1"/>
    </xf>
    <xf numFmtId="0" fontId="12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49" fontId="5" fillId="3" borderId="36" xfId="22" applyNumberFormat="1" applyFont="1" applyFill="1" applyBorder="1" applyAlignment="1">
      <alignment horizontal="center" vertical="center" wrapText="1"/>
      <protection/>
    </xf>
    <xf numFmtId="49" fontId="5" fillId="3" borderId="32" xfId="22" applyNumberFormat="1" applyFont="1" applyFill="1" applyBorder="1" applyAlignment="1">
      <alignment horizontal="center" vertical="center" wrapText="1"/>
      <protection/>
    </xf>
    <xf numFmtId="49" fontId="5" fillId="3" borderId="51" xfId="22" applyNumberFormat="1" applyFont="1" applyFill="1" applyBorder="1" applyAlignment="1">
      <alignment horizontal="center" vertical="center"/>
      <protection/>
    </xf>
    <xf numFmtId="49" fontId="5" fillId="3" borderId="57" xfId="22" applyNumberFormat="1" applyFont="1" applyFill="1" applyBorder="1" applyAlignment="1">
      <alignment horizontal="center" vertical="center"/>
      <protection/>
    </xf>
    <xf numFmtId="4" fontId="2" fillId="0" borderId="63" xfId="22" applyNumberFormat="1" applyFont="1" applyBorder="1" applyAlignment="1">
      <alignment vertical="center"/>
      <protection/>
    </xf>
    <xf numFmtId="4" fontId="20" fillId="0" borderId="65" xfId="22" applyNumberFormat="1" applyFont="1" applyBorder="1" applyAlignment="1">
      <alignment vertical="center"/>
      <protection/>
    </xf>
    <xf numFmtId="4" fontId="2" fillId="0" borderId="65" xfId="22" applyNumberFormat="1" applyFont="1" applyBorder="1" applyAlignment="1">
      <alignment vertical="center"/>
      <protection/>
    </xf>
    <xf numFmtId="4" fontId="21" fillId="0" borderId="63" xfId="22" applyNumberFormat="1" applyFont="1" applyBorder="1" applyAlignment="1">
      <alignment vertical="center"/>
      <protection/>
    </xf>
    <xf numFmtId="4" fontId="2" fillId="0" borderId="66" xfId="22" applyNumberFormat="1" applyFont="1" applyBorder="1" applyAlignment="1">
      <alignment vertical="center"/>
      <protection/>
    </xf>
    <xf numFmtId="4" fontId="2" fillId="0" borderId="68" xfId="22" applyNumberFormat="1" applyFont="1" applyBorder="1" applyAlignment="1">
      <alignment vertical="center"/>
      <protection/>
    </xf>
    <xf numFmtId="4" fontId="5" fillId="0" borderId="66" xfId="22" applyNumberFormat="1" applyFont="1" applyBorder="1" applyAlignment="1">
      <alignment vertical="center"/>
      <protection/>
    </xf>
    <xf numFmtId="4" fontId="2" fillId="0" borderId="69" xfId="22" applyNumberFormat="1" applyFont="1" applyBorder="1" applyAlignment="1">
      <alignment vertical="center"/>
      <protection/>
    </xf>
    <xf numFmtId="4" fontId="20" fillId="0" borderId="71" xfId="22" applyNumberFormat="1" applyFont="1" applyBorder="1" applyAlignment="1">
      <alignment vertical="center"/>
      <protection/>
    </xf>
    <xf numFmtId="4" fontId="2" fillId="0" borderId="71" xfId="22" applyNumberFormat="1" applyFont="1" applyBorder="1" applyAlignment="1">
      <alignment vertical="center"/>
      <protection/>
    </xf>
    <xf numFmtId="4" fontId="21" fillId="0" borderId="69" xfId="22" applyNumberFormat="1" applyFont="1" applyBorder="1" applyAlignment="1">
      <alignment vertical="center"/>
      <protection/>
    </xf>
    <xf numFmtId="49" fontId="5" fillId="3" borderId="22" xfId="22" applyNumberFormat="1" applyFont="1" applyFill="1" applyBorder="1" applyAlignment="1">
      <alignment vertical="center"/>
      <protection/>
    </xf>
    <xf numFmtId="4" fontId="5" fillId="3" borderId="22" xfId="22" applyNumberFormat="1" applyFont="1" applyFill="1" applyBorder="1" applyAlignment="1">
      <alignment vertical="center"/>
      <protection/>
    </xf>
    <xf numFmtId="4" fontId="5" fillId="3" borderId="24" xfId="22" applyNumberFormat="1" applyFont="1" applyFill="1" applyBorder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49" fontId="5" fillId="3" borderId="36" xfId="27" applyNumberFormat="1" applyFont="1" applyFill="1" applyBorder="1" applyAlignment="1">
      <alignment horizontal="center" vertical="center" wrapText="1"/>
      <protection/>
    </xf>
    <xf numFmtId="49" fontId="5" fillId="3" borderId="61" xfId="27" applyNumberFormat="1" applyFont="1" applyFill="1" applyBorder="1" applyAlignment="1">
      <alignment horizontal="center" vertical="center" wrapText="1"/>
      <protection/>
    </xf>
    <xf numFmtId="49" fontId="5" fillId="3" borderId="32" xfId="27" applyNumberFormat="1" applyFont="1" applyFill="1" applyBorder="1" applyAlignment="1">
      <alignment horizontal="center" vertical="center" wrapText="1"/>
      <protection/>
    </xf>
    <xf numFmtId="49" fontId="5" fillId="3" borderId="53" xfId="27" applyNumberFormat="1" applyFont="1" applyFill="1" applyBorder="1" applyAlignment="1">
      <alignment horizontal="center" vertical="center" wrapText="1"/>
      <protection/>
    </xf>
    <xf numFmtId="49" fontId="5" fillId="3" borderId="51" xfId="27" applyNumberFormat="1" applyFont="1" applyFill="1" applyBorder="1" applyAlignment="1">
      <alignment horizontal="center" vertical="center"/>
      <protection/>
    </xf>
    <xf numFmtId="49" fontId="5" fillId="3" borderId="62" xfId="27" applyNumberFormat="1" applyFont="1" applyFill="1" applyBorder="1" applyAlignment="1">
      <alignment horizontal="center" vertical="center"/>
      <protection/>
    </xf>
    <xf numFmtId="49" fontId="5" fillId="3" borderId="57" xfId="27" applyNumberFormat="1" applyFont="1" applyFill="1" applyBorder="1" applyAlignment="1">
      <alignment horizontal="center" vertical="center"/>
      <protection/>
    </xf>
    <xf numFmtId="49" fontId="5" fillId="3" borderId="73" xfId="27" applyNumberFormat="1" applyFont="1" applyFill="1" applyBorder="1" applyAlignment="1">
      <alignment horizontal="center" vertical="center"/>
      <protection/>
    </xf>
    <xf numFmtId="4" fontId="2" fillId="0" borderId="63" xfId="27" applyNumberFormat="1" applyFont="1" applyBorder="1" applyAlignment="1">
      <alignment vertical="center"/>
      <protection/>
    </xf>
    <xf numFmtId="4" fontId="20" fillId="0" borderId="64" xfId="27" applyNumberFormat="1" applyFont="1" applyBorder="1" applyAlignment="1">
      <alignment vertical="center"/>
      <protection/>
    </xf>
    <xf numFmtId="4" fontId="20" fillId="0" borderId="65" xfId="27" applyNumberFormat="1" applyFont="1" applyBorder="1" applyAlignment="1">
      <alignment vertical="center"/>
      <protection/>
    </xf>
    <xf numFmtId="4" fontId="2" fillId="0" borderId="65" xfId="27" applyNumberFormat="1" applyFont="1" applyBorder="1" applyAlignment="1">
      <alignment vertical="center"/>
      <protection/>
    </xf>
    <xf numFmtId="4" fontId="2" fillId="0" borderId="74" xfId="27" applyNumberFormat="1" applyFont="1" applyBorder="1" applyAlignment="1">
      <alignment vertical="center"/>
      <protection/>
    </xf>
    <xf numFmtId="4" fontId="21" fillId="0" borderId="63" xfId="27" applyNumberFormat="1" applyFont="1" applyBorder="1" applyAlignment="1">
      <alignment vertical="center"/>
      <protection/>
    </xf>
    <xf numFmtId="4" fontId="2" fillId="0" borderId="66" xfId="27" applyNumberFormat="1" applyFont="1" applyBorder="1" applyAlignment="1">
      <alignment vertical="center"/>
      <protection/>
    </xf>
    <xf numFmtId="4" fontId="2" fillId="0" borderId="67" xfId="27" applyNumberFormat="1" applyFont="1" applyBorder="1" applyAlignment="1">
      <alignment vertical="center"/>
      <protection/>
    </xf>
    <xf numFmtId="4" fontId="2" fillId="0" borderId="68" xfId="27" applyNumberFormat="1" applyFont="1" applyBorder="1" applyAlignment="1">
      <alignment vertical="center"/>
      <protection/>
    </xf>
    <xf numFmtId="4" fontId="2" fillId="0" borderId="75" xfId="27" applyNumberFormat="1" applyFont="1" applyBorder="1" applyAlignment="1">
      <alignment vertical="center"/>
      <protection/>
    </xf>
    <xf numFmtId="4" fontId="5" fillId="0" borderId="66" xfId="27" applyNumberFormat="1" applyFont="1" applyBorder="1" applyAlignment="1">
      <alignment vertical="center"/>
      <protection/>
    </xf>
    <xf numFmtId="4" fontId="2" fillId="0" borderId="69" xfId="27" applyNumberFormat="1" applyFont="1" applyBorder="1" applyAlignment="1">
      <alignment vertical="center"/>
      <protection/>
    </xf>
    <xf numFmtId="4" fontId="2" fillId="0" borderId="70" xfId="27" applyNumberFormat="1" applyFont="1" applyBorder="1" applyAlignment="1">
      <alignment vertical="center"/>
      <protection/>
    </xf>
    <xf numFmtId="4" fontId="20" fillId="0" borderId="71" xfId="27" applyNumberFormat="1" applyFont="1" applyBorder="1" applyAlignment="1">
      <alignment vertical="center"/>
      <protection/>
    </xf>
    <xf numFmtId="4" fontId="2" fillId="0" borderId="71" xfId="27" applyNumberFormat="1" applyFont="1" applyBorder="1" applyAlignment="1">
      <alignment vertical="center"/>
      <protection/>
    </xf>
    <xf numFmtId="4" fontId="2" fillId="0" borderId="76" xfId="27" applyNumberFormat="1" applyFont="1" applyBorder="1" applyAlignment="1">
      <alignment vertical="center"/>
      <protection/>
    </xf>
    <xf numFmtId="4" fontId="21" fillId="0" borderId="69" xfId="27" applyNumberFormat="1" applyFont="1" applyBorder="1" applyAlignment="1">
      <alignment vertical="center"/>
      <protection/>
    </xf>
    <xf numFmtId="4" fontId="20" fillId="0" borderId="70" xfId="27" applyNumberFormat="1" applyFont="1" applyBorder="1" applyAlignment="1">
      <alignment vertical="center"/>
      <protection/>
    </xf>
    <xf numFmtId="4" fontId="20" fillId="0" borderId="69" xfId="27" applyNumberFormat="1" applyFont="1" applyBorder="1" applyAlignment="1">
      <alignment vertical="center"/>
      <protection/>
    </xf>
    <xf numFmtId="4" fontId="2" fillId="0" borderId="77" xfId="27" applyNumberFormat="1" applyFont="1" applyBorder="1" applyAlignment="1">
      <alignment vertical="center"/>
      <protection/>
    </xf>
    <xf numFmtId="4" fontId="2" fillId="0" borderId="78" xfId="27" applyNumberFormat="1" applyFont="1" applyBorder="1" applyAlignment="1">
      <alignment vertical="center"/>
      <protection/>
    </xf>
    <xf numFmtId="4" fontId="2" fillId="0" borderId="79" xfId="27" applyNumberFormat="1" applyFont="1" applyBorder="1" applyAlignment="1">
      <alignment vertical="center"/>
      <protection/>
    </xf>
    <xf numFmtId="4" fontId="2" fillId="0" borderId="80" xfId="27" applyNumberFormat="1" applyFont="1" applyBorder="1" applyAlignment="1">
      <alignment vertical="center"/>
      <protection/>
    </xf>
    <xf numFmtId="4" fontId="5" fillId="0" borderId="77" xfId="27" applyNumberFormat="1" applyFont="1" applyBorder="1" applyAlignment="1">
      <alignment vertical="center"/>
      <protection/>
    </xf>
    <xf numFmtId="49" fontId="5" fillId="3" borderId="22" xfId="27" applyNumberFormat="1" applyFont="1" applyFill="1" applyBorder="1" applyAlignment="1">
      <alignment vertical="center"/>
      <protection/>
    </xf>
    <xf numFmtId="4" fontId="5" fillId="3" borderId="22" xfId="27" applyNumberFormat="1" applyFont="1" applyFill="1" applyBorder="1" applyAlignment="1">
      <alignment vertical="center"/>
      <protection/>
    </xf>
    <xf numFmtId="4" fontId="5" fillId="3" borderId="72" xfId="27" applyNumberFormat="1" applyFont="1" applyFill="1" applyBorder="1" applyAlignment="1">
      <alignment vertical="center"/>
      <protection/>
    </xf>
    <xf numFmtId="4" fontId="5" fillId="3" borderId="24" xfId="27" applyNumberFormat="1" applyFont="1" applyFill="1" applyBorder="1" applyAlignment="1">
      <alignment vertical="center"/>
      <protection/>
    </xf>
    <xf numFmtId="4" fontId="5" fillId="3" borderId="23" xfId="27" applyNumberFormat="1" applyFont="1" applyFill="1" applyBorder="1" applyAlignment="1">
      <alignment vertical="center"/>
      <protection/>
    </xf>
    <xf numFmtId="4" fontId="2" fillId="0" borderId="64" xfId="27" applyNumberFormat="1" applyFont="1" applyBorder="1" applyAlignment="1">
      <alignment vertical="center"/>
      <protection/>
    </xf>
    <xf numFmtId="0" fontId="0" fillId="0" borderId="37" xfId="25" applyFont="1" applyBorder="1">
      <alignment/>
      <protection/>
    </xf>
    <xf numFmtId="10" fontId="5" fillId="3" borderId="40" xfId="0" applyNumberFormat="1" applyFont="1" applyFill="1" applyBorder="1" applyAlignment="1">
      <alignment horizontal="right" vertical="center" wrapText="1"/>
    </xf>
    <xf numFmtId="0" fontId="23" fillId="0" borderId="34" xfId="25" applyFont="1" applyBorder="1" applyAlignment="1">
      <alignment vertical="center" wrapText="1"/>
      <protection/>
    </xf>
    <xf numFmtId="0" fontId="23" fillId="0" borderId="35" xfId="25" applyFont="1" applyBorder="1" applyAlignment="1">
      <alignment vertical="center" wrapText="1"/>
      <protection/>
    </xf>
    <xf numFmtId="0" fontId="23" fillId="0" borderId="31" xfId="25" applyFont="1" applyBorder="1" applyAlignment="1">
      <alignment vertical="center" wrapText="1"/>
      <protection/>
    </xf>
    <xf numFmtId="4" fontId="5" fillId="3" borderId="26" xfId="27" applyNumberFormat="1" applyFont="1" applyFill="1" applyBorder="1" applyAlignment="1">
      <alignment vertical="center"/>
      <protection/>
    </xf>
    <xf numFmtId="4" fontId="2" fillId="0" borderId="0" xfId="22" applyNumberFormat="1" applyFont="1" applyAlignment="1">
      <alignment vertical="center"/>
      <protection/>
    </xf>
    <xf numFmtId="4" fontId="5" fillId="0" borderId="38" xfId="22" applyNumberFormat="1" applyFont="1" applyBorder="1" applyAlignment="1">
      <alignment vertical="center"/>
      <protection/>
    </xf>
    <xf numFmtId="4" fontId="2" fillId="0" borderId="81" xfId="22" applyNumberFormat="1" applyFont="1" applyBorder="1" applyAlignment="1">
      <alignment vertical="center"/>
      <protection/>
    </xf>
    <xf numFmtId="4" fontId="2" fillId="0" borderId="38" xfId="22" applyNumberFormat="1" applyFont="1" applyBorder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10" fontId="19" fillId="0" borderId="37" xfId="21" applyNumberFormat="1" applyFont="1" applyFill="1" applyBorder="1" applyAlignment="1">
      <alignment vertical="center"/>
      <protection/>
    </xf>
    <xf numFmtId="10" fontId="19" fillId="0" borderId="52" xfId="21" applyNumberFormat="1" applyFont="1" applyFill="1" applyBorder="1" applyAlignment="1">
      <alignment vertical="center"/>
      <protection/>
    </xf>
    <xf numFmtId="10" fontId="19" fillId="0" borderId="59" xfId="21" applyNumberFormat="1" applyFont="1" applyFill="1" applyBorder="1" applyAlignment="1">
      <alignment vertical="center"/>
      <protection/>
    </xf>
    <xf numFmtId="10" fontId="19" fillId="3" borderId="26" xfId="21" applyNumberFormat="1" applyFont="1" applyFill="1" applyBorder="1" applyAlignment="1">
      <alignment vertical="center"/>
      <protection/>
    </xf>
    <xf numFmtId="10" fontId="19" fillId="0" borderId="50" xfId="21" applyNumberFormat="1" applyFont="1" applyFill="1" applyBorder="1" applyAlignment="1">
      <alignment vertical="center"/>
      <protection/>
    </xf>
    <xf numFmtId="10" fontId="19" fillId="0" borderId="54" xfId="21" applyNumberFormat="1" applyFont="1" applyFill="1" applyBorder="1" applyAlignment="1">
      <alignment vertical="center"/>
      <protection/>
    </xf>
    <xf numFmtId="10" fontId="19" fillId="0" borderId="5" xfId="21" applyNumberFormat="1" applyFont="1" applyFill="1" applyBorder="1" applyAlignment="1">
      <alignment vertical="center"/>
      <protection/>
    </xf>
    <xf numFmtId="10" fontId="19" fillId="3" borderId="23" xfId="21" applyNumberFormat="1" applyFont="1" applyFill="1" applyBorder="1" applyAlignment="1">
      <alignment vertical="center"/>
      <protection/>
    </xf>
    <xf numFmtId="4" fontId="19" fillId="0" borderId="12" xfId="21" applyNumberFormat="1" applyFont="1" applyFill="1" applyBorder="1" applyAlignment="1">
      <alignment vertical="center"/>
      <protection/>
    </xf>
    <xf numFmtId="4" fontId="19" fillId="0" borderId="81" xfId="21" applyNumberFormat="1" applyFont="1" applyFill="1" applyBorder="1" applyAlignment="1">
      <alignment vertical="center"/>
      <protection/>
    </xf>
    <xf numFmtId="4" fontId="19" fillId="3" borderId="24" xfId="21" applyNumberFormat="1" applyFont="1" applyFill="1" applyBorder="1" applyAlignment="1">
      <alignment vertical="center"/>
      <protection/>
    </xf>
    <xf numFmtId="4" fontId="19" fillId="0" borderId="50" xfId="21" applyNumberFormat="1" applyFont="1" applyFill="1" applyBorder="1" applyAlignment="1">
      <alignment vertical="center"/>
      <protection/>
    </xf>
    <xf numFmtId="4" fontId="19" fillId="0" borderId="54" xfId="21" applyNumberFormat="1" applyFont="1" applyFill="1" applyBorder="1" applyAlignment="1">
      <alignment vertical="center"/>
      <protection/>
    </xf>
    <xf numFmtId="4" fontId="19" fillId="0" borderId="5" xfId="21" applyNumberFormat="1" applyFont="1" applyFill="1" applyBorder="1" applyAlignment="1">
      <alignment vertical="center"/>
      <protection/>
    </xf>
    <xf numFmtId="4" fontId="19" fillId="3" borderId="23" xfId="21" applyNumberFormat="1" applyFont="1" applyFill="1" applyBorder="1" applyAlignment="1">
      <alignment vertical="center"/>
      <protection/>
    </xf>
    <xf numFmtId="4" fontId="19" fillId="0" borderId="1" xfId="21" applyNumberFormat="1" applyFont="1" applyFill="1" applyBorder="1" applyAlignment="1">
      <alignment vertical="center"/>
      <protection/>
    </xf>
    <xf numFmtId="4" fontId="19" fillId="0" borderId="2" xfId="21" applyNumberFormat="1" applyFont="1" applyFill="1" applyBorder="1" applyAlignment="1">
      <alignment vertical="center"/>
      <protection/>
    </xf>
    <xf numFmtId="3" fontId="25" fillId="3" borderId="6" xfId="21" applyNumberFormat="1" applyFont="1" applyFill="1" applyBorder="1" applyAlignment="1">
      <alignment horizontal="center" vertical="center" wrapText="1"/>
      <protection/>
    </xf>
    <xf numFmtId="1" fontId="19" fillId="3" borderId="8" xfId="21" applyNumberFormat="1" applyFont="1" applyFill="1" applyBorder="1" applyAlignment="1">
      <alignment horizontal="center" vertical="center" wrapText="1"/>
      <protection/>
    </xf>
    <xf numFmtId="1" fontId="19" fillId="3" borderId="6" xfId="21" applyNumberFormat="1" applyFont="1" applyFill="1" applyBorder="1" applyAlignment="1">
      <alignment horizontal="center" vertical="center" wrapText="1"/>
      <protection/>
    </xf>
    <xf numFmtId="3" fontId="19" fillId="3" borderId="6" xfId="21" applyNumberFormat="1" applyFont="1" applyFill="1" applyBorder="1" applyAlignment="1" quotePrefix="1">
      <alignment horizontal="center" vertical="center"/>
      <protection/>
    </xf>
    <xf numFmtId="3" fontId="19" fillId="3" borderId="7" xfId="21" applyNumberFormat="1" applyFont="1" applyFill="1" applyBorder="1" applyAlignment="1">
      <alignment horizontal="center" vertical="center"/>
      <protection/>
    </xf>
    <xf numFmtId="3" fontId="25" fillId="3" borderId="44" xfId="21" applyNumberFormat="1" applyFont="1" applyFill="1" applyBorder="1" applyAlignment="1">
      <alignment horizontal="center" vertical="center" wrapText="1"/>
      <protection/>
    </xf>
    <xf numFmtId="3" fontId="25" fillId="3" borderId="82" xfId="21" applyNumberFormat="1" applyFont="1" applyFill="1" applyBorder="1" applyAlignment="1">
      <alignment horizontal="center" vertical="center" wrapText="1"/>
      <protection/>
    </xf>
    <xf numFmtId="10" fontId="19" fillId="0" borderId="11" xfId="21" applyNumberFormat="1" applyFont="1" applyFill="1" applyBorder="1" applyAlignment="1">
      <alignment vertical="center"/>
      <protection/>
    </xf>
    <xf numFmtId="10" fontId="19" fillId="0" borderId="20" xfId="21" applyNumberFormat="1" applyFont="1" applyFill="1" applyBorder="1" applyAlignment="1">
      <alignment vertical="center"/>
      <protection/>
    </xf>
    <xf numFmtId="10" fontId="19" fillId="0" borderId="14" xfId="21" applyNumberFormat="1" applyFont="1" applyFill="1" applyBorder="1" applyAlignment="1">
      <alignment vertical="center"/>
      <protection/>
    </xf>
    <xf numFmtId="0" fontId="22" fillId="0" borderId="0" xfId="21" applyFont="1" applyFill="1">
      <alignment/>
      <protection/>
    </xf>
    <xf numFmtId="3" fontId="16" fillId="0" borderId="0" xfId="21" applyNumberFormat="1" applyFill="1">
      <alignment/>
      <protection/>
    </xf>
    <xf numFmtId="0" fontId="16" fillId="0" borderId="0" xfId="21" applyFill="1">
      <alignment/>
      <protection/>
    </xf>
    <xf numFmtId="0" fontId="25" fillId="0" borderId="0" xfId="0" applyFont="1" applyAlignment="1">
      <alignment vertical="center"/>
    </xf>
    <xf numFmtId="49" fontId="5" fillId="3" borderId="83" xfId="22" applyNumberFormat="1" applyFont="1" applyFill="1" applyBorder="1" applyAlignment="1">
      <alignment horizontal="center" vertical="center" wrapText="1"/>
      <protection/>
    </xf>
    <xf numFmtId="49" fontId="5" fillId="3" borderId="84" xfId="22" applyNumberFormat="1" applyFont="1" applyFill="1" applyBorder="1" applyAlignment="1">
      <alignment horizontal="center" vertical="center"/>
      <protection/>
    </xf>
    <xf numFmtId="4" fontId="2" fillId="0" borderId="85" xfId="22" applyNumberFormat="1" applyFont="1" applyBorder="1" applyAlignment="1">
      <alignment vertical="center"/>
      <protection/>
    </xf>
    <xf numFmtId="4" fontId="2" fillId="0" borderId="86" xfId="22" applyNumberFormat="1" applyFont="1" applyBorder="1" applyAlignment="1">
      <alignment vertical="center"/>
      <protection/>
    </xf>
    <xf numFmtId="4" fontId="2" fillId="0" borderId="59" xfId="22" applyNumberFormat="1" applyFont="1" applyBorder="1" applyAlignment="1">
      <alignment vertical="center"/>
      <protection/>
    </xf>
    <xf numFmtId="4" fontId="2" fillId="0" borderId="37" xfId="22" applyNumberFormat="1" applyFont="1" applyBorder="1" applyAlignment="1">
      <alignment vertical="center"/>
      <protection/>
    </xf>
    <xf numFmtId="4" fontId="2" fillId="0" borderId="87" xfId="22" applyNumberFormat="1" applyFont="1" applyBorder="1" applyAlignment="1">
      <alignment vertical="center"/>
      <protection/>
    </xf>
    <xf numFmtId="4" fontId="2" fillId="0" borderId="0" xfId="22" applyNumberFormat="1" applyFont="1" applyBorder="1" applyAlignment="1">
      <alignment vertical="center"/>
      <protection/>
    </xf>
    <xf numFmtId="4" fontId="5" fillId="3" borderId="26" xfId="22" applyNumberFormat="1" applyFont="1" applyFill="1" applyBorder="1" applyAlignment="1">
      <alignment vertical="center"/>
      <protection/>
    </xf>
    <xf numFmtId="4" fontId="2" fillId="0" borderId="88" xfId="22" applyNumberFormat="1" applyFont="1" applyBorder="1" applyAlignment="1">
      <alignment vertical="center"/>
      <protection/>
    </xf>
    <xf numFmtId="3" fontId="19" fillId="3" borderId="28" xfId="21" applyNumberFormat="1" applyFont="1" applyFill="1" applyBorder="1" applyAlignment="1">
      <alignment vertical="center"/>
      <protection/>
    </xf>
    <xf numFmtId="4" fontId="19" fillId="0" borderId="14" xfId="21" applyNumberFormat="1" applyFont="1" applyFill="1" applyBorder="1" applyAlignment="1">
      <alignment vertical="center"/>
      <protection/>
    </xf>
    <xf numFmtId="4" fontId="19" fillId="0" borderId="18" xfId="21" applyNumberFormat="1" applyFont="1" applyFill="1" applyBorder="1" applyAlignment="1">
      <alignment vertical="center"/>
      <protection/>
    </xf>
    <xf numFmtId="4" fontId="19" fillId="0" borderId="3" xfId="21" applyNumberFormat="1" applyFont="1" applyFill="1" applyBorder="1" applyAlignment="1">
      <alignment vertical="center"/>
      <protection/>
    </xf>
    <xf numFmtId="4" fontId="19" fillId="3" borderId="28" xfId="21" applyNumberFormat="1" applyFont="1" applyFill="1" applyBorder="1" applyAlignment="1">
      <alignment vertical="center"/>
      <protection/>
    </xf>
    <xf numFmtId="0" fontId="0" fillId="0" borderId="0" xfId="26">
      <alignment/>
      <protection/>
    </xf>
    <xf numFmtId="0" fontId="2" fillId="0" borderId="0" xfId="26" applyFont="1">
      <alignment/>
      <protection/>
    </xf>
    <xf numFmtId="0" fontId="5" fillId="0" borderId="0" xfId="26" applyFont="1">
      <alignment/>
      <protection/>
    </xf>
    <xf numFmtId="10" fontId="0" fillId="0" borderId="0" xfId="26" applyNumberFormat="1">
      <alignment/>
      <protection/>
    </xf>
    <xf numFmtId="0" fontId="7" fillId="0" borderId="10" xfId="26" applyFont="1" applyBorder="1" applyAlignment="1">
      <alignment horizontal="left" vertical="center" wrapText="1"/>
      <protection/>
    </xf>
    <xf numFmtId="3" fontId="5" fillId="0" borderId="15" xfId="26" applyNumberFormat="1" applyFont="1" applyBorder="1">
      <alignment/>
      <protection/>
    </xf>
    <xf numFmtId="3" fontId="5" fillId="0" borderId="54" xfId="26" applyNumberFormat="1" applyFont="1" applyBorder="1">
      <alignment/>
      <protection/>
    </xf>
    <xf numFmtId="3" fontId="5" fillId="0" borderId="18" xfId="26" applyNumberFormat="1" applyFont="1" applyBorder="1">
      <alignment/>
      <protection/>
    </xf>
    <xf numFmtId="10" fontId="5" fillId="0" borderId="14" xfId="26" applyNumberFormat="1" applyFont="1" applyBorder="1">
      <alignment/>
      <protection/>
    </xf>
    <xf numFmtId="0" fontId="5" fillId="0" borderId="10" xfId="26" applyFont="1" applyBorder="1">
      <alignment/>
      <protection/>
    </xf>
    <xf numFmtId="0" fontId="7" fillId="0" borderId="15" xfId="26" applyFont="1" applyBorder="1" applyAlignment="1">
      <alignment horizontal="left" vertical="center" wrapText="1"/>
      <protection/>
    </xf>
    <xf numFmtId="3" fontId="5" fillId="0" borderId="17" xfId="26" applyNumberFormat="1" applyFont="1" applyBorder="1">
      <alignment/>
      <protection/>
    </xf>
    <xf numFmtId="10" fontId="5" fillId="0" borderId="18" xfId="26" applyNumberFormat="1" applyFont="1" applyBorder="1">
      <alignment/>
      <protection/>
    </xf>
    <xf numFmtId="0" fontId="7" fillId="0" borderId="25" xfId="26" applyFont="1" applyBorder="1" applyAlignment="1">
      <alignment horizontal="left" vertical="center" wrapText="1"/>
      <protection/>
    </xf>
    <xf numFmtId="0" fontId="5" fillId="3" borderId="21" xfId="26" applyFont="1" applyFill="1" applyBorder="1" applyAlignment="1">
      <alignment horizontal="left" vertical="center" wrapText="1"/>
      <protection/>
    </xf>
    <xf numFmtId="0" fontId="7" fillId="0" borderId="45" xfId="26" applyFont="1" applyBorder="1" applyAlignment="1">
      <alignment horizontal="left" vertical="center" wrapText="1"/>
      <protection/>
    </xf>
    <xf numFmtId="3" fontId="5" fillId="0" borderId="13" xfId="26" applyNumberFormat="1" applyFont="1" applyBorder="1">
      <alignment/>
      <protection/>
    </xf>
    <xf numFmtId="3" fontId="5" fillId="0" borderId="50" xfId="26" applyNumberFormat="1" applyFont="1" applyBorder="1">
      <alignment/>
      <protection/>
    </xf>
    <xf numFmtId="3" fontId="5" fillId="0" borderId="14" xfId="26" applyNumberFormat="1" applyFont="1" applyBorder="1">
      <alignment/>
      <protection/>
    </xf>
    <xf numFmtId="3" fontId="5" fillId="0" borderId="33" xfId="26" applyNumberFormat="1" applyFont="1" applyBorder="1">
      <alignment/>
      <protection/>
    </xf>
    <xf numFmtId="10" fontId="5" fillId="0" borderId="33" xfId="26" applyNumberFormat="1" applyFont="1" applyBorder="1">
      <alignment/>
      <protection/>
    </xf>
    <xf numFmtId="3" fontId="5" fillId="0" borderId="55" xfId="26" applyNumberFormat="1" applyFont="1" applyFill="1" applyBorder="1">
      <alignment/>
      <protection/>
    </xf>
    <xf numFmtId="0" fontId="7" fillId="0" borderId="15" xfId="26" applyFont="1" applyBorder="1" applyAlignment="1">
      <alignment vertical="center" wrapText="1"/>
      <protection/>
    </xf>
    <xf numFmtId="3" fontId="5" fillId="0" borderId="15" xfId="26" applyNumberFormat="1" applyFont="1" applyFill="1" applyBorder="1">
      <alignment/>
      <protection/>
    </xf>
    <xf numFmtId="3" fontId="5" fillId="0" borderId="54" xfId="26" applyNumberFormat="1" applyFont="1" applyFill="1" applyBorder="1">
      <alignment/>
      <protection/>
    </xf>
    <xf numFmtId="0" fontId="7" fillId="0" borderId="25" xfId="26" applyFont="1" applyBorder="1" applyAlignment="1">
      <alignment vertical="center" wrapText="1"/>
      <protection/>
    </xf>
    <xf numFmtId="3" fontId="5" fillId="0" borderId="4" xfId="26" applyNumberFormat="1" applyFont="1" applyBorder="1">
      <alignment/>
      <protection/>
    </xf>
    <xf numFmtId="3" fontId="5" fillId="0" borderId="5" xfId="26" applyNumberFormat="1" applyFont="1" applyBorder="1">
      <alignment/>
      <protection/>
    </xf>
    <xf numFmtId="3" fontId="5" fillId="0" borderId="3" xfId="26" applyNumberFormat="1" applyFont="1" applyBorder="1">
      <alignment/>
      <protection/>
    </xf>
    <xf numFmtId="10" fontId="5" fillId="0" borderId="3" xfId="26" applyNumberFormat="1" applyFont="1" applyBorder="1">
      <alignment/>
      <protection/>
    </xf>
    <xf numFmtId="3" fontId="24" fillId="3" borderId="21" xfId="26" applyNumberFormat="1" applyFont="1" applyFill="1" applyBorder="1" applyAlignment="1">
      <alignment vertical="center"/>
      <protection/>
    </xf>
    <xf numFmtId="3" fontId="24" fillId="3" borderId="23" xfId="26" applyNumberFormat="1" applyFont="1" applyFill="1" applyBorder="1" applyAlignment="1">
      <alignment vertical="center"/>
      <protection/>
    </xf>
    <xf numFmtId="3" fontId="24" fillId="3" borderId="28" xfId="26" applyNumberFormat="1" applyFont="1" applyFill="1" applyBorder="1" applyAlignment="1">
      <alignment vertical="center"/>
      <protection/>
    </xf>
    <xf numFmtId="0" fontId="0" fillId="3" borderId="29" xfId="26" applyFill="1" applyBorder="1" applyAlignment="1">
      <alignment vertical="center"/>
      <protection/>
    </xf>
    <xf numFmtId="0" fontId="5" fillId="0" borderId="0" xfId="26" applyFont="1" applyAlignment="1">
      <alignment vertical="center"/>
      <protection/>
    </xf>
    <xf numFmtId="0" fontId="0" fillId="0" borderId="50" xfId="26" applyBorder="1">
      <alignment/>
      <protection/>
    </xf>
    <xf numFmtId="0" fontId="2" fillId="0" borderId="37" xfId="26" applyFont="1" applyBorder="1">
      <alignment/>
      <protection/>
    </xf>
    <xf numFmtId="10" fontId="0" fillId="0" borderId="37" xfId="26" applyNumberFormat="1" applyBorder="1">
      <alignment/>
      <protection/>
    </xf>
    <xf numFmtId="0" fontId="0" fillId="0" borderId="37" xfId="26" applyBorder="1">
      <alignment/>
      <protection/>
    </xf>
    <xf numFmtId="3" fontId="26" fillId="3" borderId="44" xfId="21" applyNumberFormat="1" applyFont="1" applyFill="1" applyBorder="1" applyAlignment="1">
      <alignment horizontal="center" vertical="center" wrapText="1"/>
      <protection/>
    </xf>
    <xf numFmtId="49" fontId="5" fillId="3" borderId="83" xfId="27" applyNumberFormat="1" applyFont="1" applyFill="1" applyBorder="1" applyAlignment="1">
      <alignment horizontal="center" vertical="center" wrapText="1"/>
      <protection/>
    </xf>
    <xf numFmtId="49" fontId="5" fillId="3" borderId="84" xfId="27" applyNumberFormat="1" applyFont="1" applyFill="1" applyBorder="1" applyAlignment="1">
      <alignment horizontal="center" vertical="center"/>
      <protection/>
    </xf>
    <xf numFmtId="4" fontId="2" fillId="0" borderId="88" xfId="27" applyNumberFormat="1" applyFont="1" applyBorder="1" applyAlignment="1">
      <alignment vertical="center"/>
      <protection/>
    </xf>
    <xf numFmtId="4" fontId="2" fillId="0" borderId="37" xfId="27" applyNumberFormat="1" applyFont="1" applyBorder="1" applyAlignment="1">
      <alignment vertical="center"/>
      <protection/>
    </xf>
    <xf numFmtId="4" fontId="2" fillId="0" borderId="87" xfId="27" applyNumberFormat="1" applyFont="1" applyBorder="1" applyAlignment="1">
      <alignment vertical="center"/>
      <protection/>
    </xf>
    <xf numFmtId="4" fontId="2" fillId="0" borderId="86" xfId="27" applyNumberFormat="1" applyFont="1" applyBorder="1" applyAlignment="1">
      <alignment vertical="center"/>
      <protection/>
    </xf>
    <xf numFmtId="4" fontId="2" fillId="0" borderId="59" xfId="27" applyNumberFormat="1" applyFont="1" applyBorder="1" applyAlignment="1">
      <alignment vertical="center"/>
      <protection/>
    </xf>
    <xf numFmtId="4" fontId="20" fillId="0" borderId="87" xfId="27" applyNumberFormat="1" applyFont="1" applyBorder="1" applyAlignment="1">
      <alignment vertical="center"/>
      <protection/>
    </xf>
    <xf numFmtId="4" fontId="2" fillId="0" borderId="89" xfId="27" applyNumberFormat="1" applyFont="1" applyBorder="1" applyAlignment="1">
      <alignment vertical="center"/>
      <protection/>
    </xf>
    <xf numFmtId="0" fontId="8" fillId="0" borderId="0" xfId="26" applyFont="1" applyAlignment="1">
      <alignment/>
      <protection/>
    </xf>
    <xf numFmtId="10" fontId="5" fillId="3" borderId="28" xfId="26" applyNumberFormat="1" applyFont="1" applyFill="1" applyBorder="1" applyAlignment="1">
      <alignment vertical="center"/>
      <protection/>
    </xf>
    <xf numFmtId="3" fontId="5" fillId="3" borderId="21" xfId="26" applyNumberFormat="1" applyFont="1" applyFill="1" applyBorder="1" applyAlignment="1">
      <alignment vertical="center"/>
      <protection/>
    </xf>
    <xf numFmtId="0" fontId="2" fillId="0" borderId="0" xfId="26" applyFont="1" applyAlignment="1">
      <alignment/>
      <protection/>
    </xf>
    <xf numFmtId="0" fontId="16" fillId="0" borderId="0" xfId="24">
      <alignment/>
      <protection/>
    </xf>
    <xf numFmtId="0" fontId="30" fillId="0" borderId="0" xfId="24" applyFont="1">
      <alignment/>
      <protection/>
    </xf>
    <xf numFmtId="169" fontId="16" fillId="0" borderId="0" xfId="24" applyNumberFormat="1">
      <alignment/>
      <protection/>
    </xf>
    <xf numFmtId="0" fontId="30" fillId="0" borderId="55" xfId="24" applyFont="1" applyBorder="1">
      <alignment/>
      <protection/>
    </xf>
    <xf numFmtId="0" fontId="30" fillId="0" borderId="0" xfId="24" applyFont="1" applyBorder="1">
      <alignment/>
      <protection/>
    </xf>
    <xf numFmtId="169" fontId="30" fillId="0" borderId="36" xfId="24" applyNumberFormat="1" applyFont="1" applyBorder="1">
      <alignment/>
      <protection/>
    </xf>
    <xf numFmtId="0" fontId="5" fillId="0" borderId="40" xfId="25" applyFont="1" applyBorder="1" applyAlignment="1">
      <alignment vertical="center" wrapText="1"/>
      <protection/>
    </xf>
    <xf numFmtId="0" fontId="16" fillId="0" borderId="15" xfId="24" applyBorder="1">
      <alignment/>
      <protection/>
    </xf>
    <xf numFmtId="0" fontId="16" fillId="0" borderId="52" xfId="24" applyBorder="1">
      <alignment/>
      <protection/>
    </xf>
    <xf numFmtId="169" fontId="16" fillId="0" borderId="34" xfId="24" applyNumberFormat="1" applyBorder="1">
      <alignment/>
      <protection/>
    </xf>
    <xf numFmtId="0" fontId="16" fillId="0" borderId="13" xfId="24" applyBorder="1">
      <alignment/>
      <protection/>
    </xf>
    <xf numFmtId="0" fontId="16" fillId="0" borderId="12" xfId="24" applyFont="1" applyBorder="1">
      <alignment/>
      <protection/>
    </xf>
    <xf numFmtId="0" fontId="16" fillId="0" borderId="15" xfId="24" applyFont="1" applyBorder="1">
      <alignment/>
      <protection/>
    </xf>
    <xf numFmtId="169" fontId="16" fillId="0" borderId="34" xfId="24" applyNumberFormat="1" applyFill="1" applyBorder="1">
      <alignment/>
      <protection/>
    </xf>
    <xf numFmtId="0" fontId="16" fillId="0" borderId="17" xfId="24" applyFont="1" applyBorder="1">
      <alignment/>
      <protection/>
    </xf>
    <xf numFmtId="0" fontId="16" fillId="0" borderId="1" xfId="24" applyFont="1" applyBorder="1">
      <alignment/>
      <protection/>
    </xf>
    <xf numFmtId="0" fontId="16" fillId="0" borderId="17" xfId="24" applyBorder="1">
      <alignment/>
      <protection/>
    </xf>
    <xf numFmtId="0" fontId="16" fillId="0" borderId="13" xfId="24" applyFont="1" applyBorder="1">
      <alignment/>
      <protection/>
    </xf>
    <xf numFmtId="0" fontId="16" fillId="0" borderId="37" xfId="24" applyBorder="1">
      <alignment/>
      <protection/>
    </xf>
    <xf numFmtId="0" fontId="16" fillId="0" borderId="2" xfId="24" applyFont="1" applyBorder="1">
      <alignment/>
      <protection/>
    </xf>
    <xf numFmtId="0" fontId="16" fillId="0" borderId="59" xfId="24" applyBorder="1">
      <alignment/>
      <protection/>
    </xf>
    <xf numFmtId="0" fontId="16" fillId="0" borderId="4" xfId="24" applyBorder="1">
      <alignment/>
      <protection/>
    </xf>
    <xf numFmtId="0" fontId="16" fillId="0" borderId="52" xfId="24" applyFont="1" applyBorder="1">
      <alignment/>
      <protection/>
    </xf>
    <xf numFmtId="0" fontId="16" fillId="0" borderId="19" xfId="24" applyFont="1" applyBorder="1">
      <alignment/>
      <protection/>
    </xf>
    <xf numFmtId="0" fontId="16" fillId="0" borderId="50" xfId="24" applyFont="1" applyBorder="1">
      <alignment/>
      <protection/>
    </xf>
    <xf numFmtId="0" fontId="16" fillId="0" borderId="10" xfId="24" applyFont="1" applyBorder="1">
      <alignment/>
      <protection/>
    </xf>
    <xf numFmtId="0" fontId="16" fillId="0" borderId="54" xfId="24" applyBorder="1">
      <alignment/>
      <protection/>
    </xf>
    <xf numFmtId="0" fontId="16" fillId="0" borderId="0" xfId="24" applyBorder="1">
      <alignment/>
      <protection/>
    </xf>
    <xf numFmtId="169" fontId="32" fillId="0" borderId="34" xfId="24" applyNumberFormat="1" applyFont="1" applyBorder="1">
      <alignment/>
      <protection/>
    </xf>
    <xf numFmtId="0" fontId="16" fillId="0" borderId="12" xfId="24" applyBorder="1">
      <alignment/>
      <protection/>
    </xf>
    <xf numFmtId="0" fontId="33" fillId="0" borderId="15" xfId="24" applyFont="1" applyBorder="1">
      <alignment/>
      <protection/>
    </xf>
    <xf numFmtId="169" fontId="31" fillId="0" borderId="34" xfId="24" applyNumberFormat="1" applyFont="1" applyBorder="1">
      <alignment/>
      <protection/>
    </xf>
    <xf numFmtId="0" fontId="33" fillId="0" borderId="52" xfId="24" applyFont="1" applyBorder="1">
      <alignment/>
      <protection/>
    </xf>
    <xf numFmtId="169" fontId="0" fillId="0" borderId="34" xfId="24" applyNumberFormat="1" applyFont="1" applyBorder="1">
      <alignment/>
      <protection/>
    </xf>
    <xf numFmtId="0" fontId="16" fillId="0" borderId="1" xfId="24" applyBorder="1">
      <alignment/>
      <protection/>
    </xf>
    <xf numFmtId="0" fontId="30" fillId="0" borderId="15" xfId="24" applyFont="1" applyBorder="1">
      <alignment/>
      <protection/>
    </xf>
    <xf numFmtId="0" fontId="30" fillId="0" borderId="52" xfId="24" applyFont="1" applyBorder="1">
      <alignment/>
      <protection/>
    </xf>
    <xf numFmtId="169" fontId="30" fillId="0" borderId="34" xfId="24" applyNumberFormat="1" applyFont="1" applyBorder="1">
      <alignment/>
      <protection/>
    </xf>
    <xf numFmtId="169" fontId="30" fillId="0" borderId="34" xfId="24" applyNumberFormat="1" applyFont="1" applyBorder="1">
      <alignment/>
      <protection/>
    </xf>
    <xf numFmtId="0" fontId="16" fillId="0" borderId="55" xfId="24" applyFont="1" applyBorder="1">
      <alignment/>
      <protection/>
    </xf>
    <xf numFmtId="169" fontId="31" fillId="0" borderId="51" xfId="24" applyNumberFormat="1" applyFont="1" applyBorder="1">
      <alignment/>
      <protection/>
    </xf>
    <xf numFmtId="0" fontId="16" fillId="0" borderId="0" xfId="24" applyFont="1">
      <alignment/>
      <protection/>
    </xf>
    <xf numFmtId="0" fontId="16" fillId="0" borderId="38" xfId="24" applyBorder="1">
      <alignment/>
      <protection/>
    </xf>
    <xf numFmtId="0" fontId="19" fillId="3" borderId="90" xfId="24" applyFont="1" applyFill="1" applyBorder="1" applyAlignment="1">
      <alignment horizontal="left"/>
      <protection/>
    </xf>
    <xf numFmtId="0" fontId="19" fillId="3" borderId="88" xfId="24" applyFont="1" applyFill="1" applyBorder="1" applyAlignment="1">
      <alignment horizontal="centerContinuous"/>
      <protection/>
    </xf>
    <xf numFmtId="169" fontId="19" fillId="3" borderId="56" xfId="24" applyNumberFormat="1" applyFont="1" applyFill="1" applyBorder="1" applyAlignment="1">
      <alignment horizontal="center"/>
      <protection/>
    </xf>
    <xf numFmtId="0" fontId="19" fillId="0" borderId="0" xfId="24" applyFont="1">
      <alignment/>
      <protection/>
    </xf>
    <xf numFmtId="0" fontId="19" fillId="3" borderId="27" xfId="24" applyFont="1" applyFill="1" applyBorder="1" applyAlignment="1">
      <alignment horizontal="centerContinuous"/>
      <protection/>
    </xf>
    <xf numFmtId="0" fontId="19" fillId="3" borderId="44" xfId="24" applyFont="1" applyFill="1" applyBorder="1" applyAlignment="1">
      <alignment horizontal="centerContinuous"/>
      <protection/>
    </xf>
    <xf numFmtId="169" fontId="19" fillId="3" borderId="38" xfId="24" applyNumberFormat="1" applyFont="1" applyFill="1" applyBorder="1" applyAlignment="1">
      <alignment horizontal="center"/>
      <protection/>
    </xf>
    <xf numFmtId="0" fontId="8" fillId="3" borderId="26" xfId="24" applyFont="1" applyFill="1" applyBorder="1">
      <alignment/>
      <protection/>
    </xf>
    <xf numFmtId="0" fontId="0" fillId="3" borderId="26" xfId="24" applyFont="1" applyFill="1" applyBorder="1">
      <alignment/>
      <protection/>
    </xf>
    <xf numFmtId="0" fontId="8" fillId="3" borderId="21" xfId="24" applyFont="1" applyFill="1" applyBorder="1">
      <alignment/>
      <protection/>
    </xf>
    <xf numFmtId="169" fontId="8" fillId="3" borderId="40" xfId="24" applyNumberFormat="1" applyFont="1" applyFill="1" applyBorder="1">
      <alignment/>
      <protection/>
    </xf>
    <xf numFmtId="0" fontId="5" fillId="0" borderId="47" xfId="25" applyFont="1" applyBorder="1" applyAlignment="1">
      <alignment vertical="center" wrapText="1"/>
      <protection/>
    </xf>
    <xf numFmtId="0" fontId="5" fillId="0" borderId="7" xfId="25" applyFont="1" applyBorder="1" applyAlignment="1">
      <alignment vertical="center" wrapText="1"/>
      <protection/>
    </xf>
    <xf numFmtId="0" fontId="5" fillId="3" borderId="38" xfId="25" applyFont="1" applyFill="1" applyBorder="1" applyAlignment="1">
      <alignment horizontal="center" vertical="center" wrapText="1"/>
      <protection/>
    </xf>
    <xf numFmtId="0" fontId="5" fillId="0" borderId="38" xfId="25" applyFont="1" applyBorder="1" applyAlignment="1">
      <alignment vertical="center" wrapText="1"/>
      <protection/>
    </xf>
    <xf numFmtId="0" fontId="0" fillId="0" borderId="37" xfId="0" applyBorder="1" applyAlignment="1">
      <alignment horizontal="center" vertical="center" wrapText="1"/>
    </xf>
    <xf numFmtId="0" fontId="5" fillId="3" borderId="47" xfId="25" applyFont="1" applyFill="1" applyBorder="1" applyAlignment="1">
      <alignment horizontal="center" vertical="center" wrapText="1"/>
      <protection/>
    </xf>
    <xf numFmtId="0" fontId="7" fillId="3" borderId="10" xfId="0" applyFont="1" applyFill="1" applyBorder="1" applyAlignment="1">
      <alignment horizontal="center" vertical="center" wrapText="1"/>
    </xf>
    <xf numFmtId="0" fontId="19" fillId="3" borderId="90" xfId="21" applyFont="1" applyFill="1" applyBorder="1" applyAlignment="1">
      <alignment vertical="center" wrapText="1"/>
      <protection/>
    </xf>
    <xf numFmtId="0" fontId="19" fillId="3" borderId="27" xfId="21" applyFont="1" applyFill="1" applyBorder="1" applyAlignment="1">
      <alignment vertical="center" wrapText="1"/>
      <protection/>
    </xf>
    <xf numFmtId="0" fontId="19" fillId="3" borderId="56" xfId="21" applyFont="1" applyFill="1" applyBorder="1" applyAlignment="1">
      <alignment vertical="center" wrapText="1"/>
      <protection/>
    </xf>
    <xf numFmtId="0" fontId="19" fillId="3" borderId="40" xfId="21" applyFont="1" applyFill="1" applyBorder="1" applyAlignment="1">
      <alignment vertical="center" wrapText="1"/>
      <protection/>
    </xf>
    <xf numFmtId="3" fontId="19" fillId="3" borderId="56" xfId="21" applyNumberFormat="1" applyFont="1" applyFill="1" applyBorder="1" applyAlignment="1">
      <alignment horizontal="center" vertical="center" wrapText="1"/>
      <protection/>
    </xf>
    <xf numFmtId="3" fontId="19" fillId="3" borderId="40" xfId="21" applyNumberFormat="1" applyFont="1" applyFill="1" applyBorder="1" applyAlignment="1">
      <alignment horizontal="center" vertical="center" wrapText="1"/>
      <protection/>
    </xf>
    <xf numFmtId="3" fontId="19" fillId="3" borderId="21" xfId="21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9" fillId="3" borderId="88" xfId="21" applyFont="1" applyFill="1" applyBorder="1" applyAlignment="1">
      <alignment horizontal="center" vertical="center" wrapText="1"/>
      <protection/>
    </xf>
    <xf numFmtId="0" fontId="19" fillId="3" borderId="44" xfId="21" applyFont="1" applyFill="1" applyBorder="1" applyAlignment="1">
      <alignment horizontal="center" vertical="center" wrapText="1"/>
      <protection/>
    </xf>
    <xf numFmtId="3" fontId="19" fillId="3" borderId="21" xfId="21" applyNumberFormat="1" applyFont="1" applyFill="1" applyBorder="1" applyAlignment="1">
      <alignment horizontal="center" vertical="center"/>
      <protection/>
    </xf>
    <xf numFmtId="0" fontId="19" fillId="3" borderId="26" xfId="2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9" fillId="3" borderId="91" xfId="21" applyFont="1" applyFill="1" applyBorder="1" applyAlignment="1">
      <alignment horizontal="center" vertical="center" wrapText="1"/>
      <protection/>
    </xf>
    <xf numFmtId="0" fontId="19" fillId="3" borderId="7" xfId="21" applyFont="1" applyFill="1" applyBorder="1" applyAlignment="1">
      <alignment horizontal="center" vertical="center" wrapText="1"/>
      <protection/>
    </xf>
    <xf numFmtId="0" fontId="19" fillId="3" borderId="92" xfId="21" applyFont="1" applyFill="1" applyBorder="1" applyAlignment="1">
      <alignment vertical="center" wrapText="1"/>
      <protection/>
    </xf>
    <xf numFmtId="0" fontId="19" fillId="3" borderId="8" xfId="21" applyFont="1" applyFill="1" applyBorder="1" applyAlignment="1">
      <alignment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8" fillId="3" borderId="56" xfId="25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5" fillId="3" borderId="21" xfId="25" applyNumberFormat="1" applyFont="1" applyFill="1" applyBorder="1" applyAlignment="1">
      <alignment horizontal="center" vertical="center" wrapText="1"/>
      <protection/>
    </xf>
    <xf numFmtId="0" fontId="0" fillId="0" borderId="26" xfId="25" applyFont="1" applyBorder="1" applyAlignment="1">
      <alignment horizontal="center" vertical="center" wrapText="1"/>
      <protection/>
    </xf>
    <xf numFmtId="0" fontId="0" fillId="0" borderId="29" xfId="25" applyFont="1" applyBorder="1" applyAlignment="1">
      <alignment horizontal="center" vertical="center" wrapText="1"/>
      <protection/>
    </xf>
    <xf numFmtId="0" fontId="4" fillId="3" borderId="56" xfId="25" applyFont="1" applyFill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8" xfId="25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3" borderId="36" xfId="25" applyFont="1" applyFill="1" applyBorder="1" applyAlignment="1">
      <alignment vertical="center" wrapText="1"/>
      <protection/>
    </xf>
    <xf numFmtId="0" fontId="8" fillId="3" borderId="34" xfId="0" applyFont="1" applyFill="1" applyBorder="1" applyAlignment="1">
      <alignment vertical="center" wrapText="1"/>
    </xf>
    <xf numFmtId="0" fontId="8" fillId="3" borderId="51" xfId="0" applyFont="1" applyFill="1" applyBorder="1" applyAlignment="1">
      <alignment vertical="center" wrapText="1"/>
    </xf>
    <xf numFmtId="0" fontId="4" fillId="3" borderId="21" xfId="25" applyFont="1" applyFill="1" applyBorder="1" applyAlignment="1">
      <alignment horizontal="center" vertical="center"/>
      <protection/>
    </xf>
    <xf numFmtId="0" fontId="0" fillId="0" borderId="93" xfId="0" applyBorder="1" applyAlignment="1">
      <alignment/>
    </xf>
    <xf numFmtId="49" fontId="5" fillId="3" borderId="56" xfId="22" applyNumberFormat="1" applyFont="1" applyFill="1" applyBorder="1" applyAlignment="1">
      <alignment vertical="center"/>
      <protection/>
    </xf>
    <xf numFmtId="49" fontId="5" fillId="3" borderId="40" xfId="22" applyNumberFormat="1" applyFont="1" applyFill="1" applyBorder="1" applyAlignment="1">
      <alignment vertical="center"/>
      <protection/>
    </xf>
    <xf numFmtId="49" fontId="5" fillId="0" borderId="56" xfId="22" applyNumberFormat="1" applyFont="1" applyBorder="1" applyAlignment="1">
      <alignment vertical="center"/>
      <protection/>
    </xf>
    <xf numFmtId="49" fontId="5" fillId="0" borderId="31" xfId="22" applyNumberFormat="1" applyFont="1" applyBorder="1" applyAlignment="1">
      <alignment vertical="center"/>
      <protection/>
    </xf>
    <xf numFmtId="49" fontId="5" fillId="0" borderId="35" xfId="22" applyNumberFormat="1" applyFont="1" applyBorder="1" applyAlignment="1">
      <alignment vertical="center"/>
      <protection/>
    </xf>
    <xf numFmtId="4" fontId="2" fillId="0" borderId="35" xfId="22" applyNumberFormat="1" applyFont="1" applyBorder="1" applyAlignment="1">
      <alignment vertical="center"/>
      <protection/>
    </xf>
    <xf numFmtId="4" fontId="2" fillId="0" borderId="31" xfId="22" applyNumberFormat="1" applyFont="1" applyBorder="1" applyAlignment="1">
      <alignment vertical="center"/>
      <protection/>
    </xf>
    <xf numFmtId="4" fontId="5" fillId="0" borderId="35" xfId="22" applyNumberFormat="1" applyFont="1" applyBorder="1" applyAlignment="1">
      <alignment vertical="center"/>
      <protection/>
    </xf>
    <xf numFmtId="4" fontId="5" fillId="0" borderId="31" xfId="22" applyNumberFormat="1" applyFont="1" applyBorder="1" applyAlignment="1">
      <alignment vertical="center"/>
      <protection/>
    </xf>
    <xf numFmtId="4" fontId="2" fillId="0" borderId="2" xfId="22" applyNumberFormat="1" applyFont="1" applyBorder="1" applyAlignment="1">
      <alignment vertical="center"/>
      <protection/>
    </xf>
    <xf numFmtId="4" fontId="2" fillId="0" borderId="12" xfId="22" applyNumberFormat="1" applyFont="1" applyBorder="1" applyAlignment="1">
      <alignment vertical="center"/>
      <protection/>
    </xf>
    <xf numFmtId="4" fontId="5" fillId="0" borderId="56" xfId="22" applyNumberFormat="1" applyFont="1" applyBorder="1" applyAlignment="1">
      <alignment vertical="center"/>
      <protection/>
    </xf>
    <xf numFmtId="4" fontId="2" fillId="0" borderId="94" xfId="22" applyNumberFormat="1" applyFont="1" applyBorder="1" applyAlignment="1">
      <alignment vertical="center"/>
      <protection/>
    </xf>
    <xf numFmtId="4" fontId="2" fillId="0" borderId="56" xfId="22" applyNumberFormat="1" applyFont="1" applyBorder="1" applyAlignment="1">
      <alignment vertical="center"/>
      <protection/>
    </xf>
    <xf numFmtId="4" fontId="5" fillId="0" borderId="38" xfId="22" applyNumberFormat="1" applyFont="1" applyBorder="1" applyAlignment="1">
      <alignment vertical="center"/>
      <protection/>
    </xf>
    <xf numFmtId="49" fontId="5" fillId="0" borderId="38" xfId="22" applyNumberFormat="1" applyFont="1" applyBorder="1" applyAlignment="1">
      <alignment vertical="center"/>
      <protection/>
    </xf>
    <xf numFmtId="4" fontId="2" fillId="0" borderId="81" xfId="22" applyNumberFormat="1" applyFont="1" applyBorder="1" applyAlignment="1">
      <alignment vertical="center"/>
      <protection/>
    </xf>
    <xf numFmtId="4" fontId="2" fillId="0" borderId="38" xfId="22" applyNumberFormat="1" applyFont="1" applyBorder="1" applyAlignment="1">
      <alignment vertical="center"/>
      <protection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4" fontId="2" fillId="0" borderId="35" xfId="27" applyNumberFormat="1" applyFont="1" applyBorder="1" applyAlignment="1">
      <alignment vertical="center"/>
      <protection/>
    </xf>
    <xf numFmtId="4" fontId="2" fillId="0" borderId="31" xfId="27" applyNumberFormat="1" applyFont="1" applyBorder="1" applyAlignment="1">
      <alignment vertical="center"/>
      <protection/>
    </xf>
    <xf numFmtId="4" fontId="5" fillId="0" borderId="35" xfId="27" applyNumberFormat="1" applyFont="1" applyBorder="1" applyAlignment="1">
      <alignment vertical="center"/>
      <protection/>
    </xf>
    <xf numFmtId="4" fontId="5" fillId="0" borderId="31" xfId="27" applyNumberFormat="1" applyFont="1" applyBorder="1" applyAlignment="1">
      <alignment vertical="center"/>
      <protection/>
    </xf>
    <xf numFmtId="49" fontId="5" fillId="0" borderId="35" xfId="27" applyNumberFormat="1" applyFont="1" applyBorder="1" applyAlignment="1">
      <alignment vertical="center"/>
      <protection/>
    </xf>
    <xf numFmtId="49" fontId="5" fillId="0" borderId="31" xfId="27" applyNumberFormat="1" applyFont="1" applyBorder="1" applyAlignment="1">
      <alignment vertical="center"/>
      <protection/>
    </xf>
    <xf numFmtId="49" fontId="5" fillId="0" borderId="38" xfId="27" applyNumberFormat="1" applyFont="1" applyBorder="1" applyAlignment="1">
      <alignment vertical="center"/>
      <protection/>
    </xf>
    <xf numFmtId="4" fontId="5" fillId="0" borderId="56" xfId="27" applyNumberFormat="1" applyFont="1" applyBorder="1" applyAlignment="1">
      <alignment vertical="center"/>
      <protection/>
    </xf>
    <xf numFmtId="4" fontId="2" fillId="0" borderId="2" xfId="27" applyNumberFormat="1" applyFont="1" applyBorder="1" applyAlignment="1">
      <alignment vertical="center"/>
      <protection/>
    </xf>
    <xf numFmtId="4" fontId="2" fillId="0" borderId="12" xfId="27" applyNumberFormat="1" applyFont="1" applyBorder="1" applyAlignment="1">
      <alignment vertical="center"/>
      <protection/>
    </xf>
    <xf numFmtId="4" fontId="2" fillId="0" borderId="3" xfId="27" applyNumberFormat="1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4" fontId="2" fillId="0" borderId="56" xfId="27" applyNumberFormat="1" applyFont="1" applyBorder="1" applyAlignment="1">
      <alignment vertical="center"/>
      <protection/>
    </xf>
    <xf numFmtId="4" fontId="2" fillId="0" borderId="94" xfId="27" applyNumberFormat="1" applyFont="1" applyBorder="1" applyAlignment="1">
      <alignment vertical="center"/>
      <protection/>
    </xf>
    <xf numFmtId="49" fontId="5" fillId="3" borderId="56" xfId="27" applyNumberFormat="1" applyFont="1" applyFill="1" applyBorder="1" applyAlignment="1">
      <alignment vertical="center"/>
      <protection/>
    </xf>
    <xf numFmtId="49" fontId="5" fillId="3" borderId="40" xfId="27" applyNumberFormat="1" applyFont="1" applyFill="1" applyBorder="1" applyAlignment="1">
      <alignment vertical="center"/>
      <protection/>
    </xf>
    <xf numFmtId="49" fontId="5" fillId="0" borderId="56" xfId="27" applyNumberFormat="1" applyFont="1" applyBorder="1" applyAlignment="1">
      <alignment vertical="center"/>
      <protection/>
    </xf>
    <xf numFmtId="0" fontId="5" fillId="3" borderId="5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wrapText="1"/>
    </xf>
    <xf numFmtId="0" fontId="0" fillId="0" borderId="88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3" borderId="56" xfId="25" applyFont="1" applyFill="1" applyBorder="1" applyAlignment="1">
      <alignment horizontal="center" vertical="center" wrapText="1"/>
      <protection/>
    </xf>
    <xf numFmtId="0" fontId="8" fillId="3" borderId="3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0" borderId="26" xfId="25" applyFont="1" applyBorder="1" applyAlignment="1">
      <alignment horizontal="center" vertical="center" wrapText="1"/>
      <protection/>
    </xf>
    <xf numFmtId="0" fontId="2" fillId="0" borderId="29" xfId="25" applyFont="1" applyBorder="1" applyAlignment="1">
      <alignment horizontal="center" vertical="center" wrapText="1"/>
      <protection/>
    </xf>
    <xf numFmtId="0" fontId="6" fillId="0" borderId="38" xfId="25" applyFont="1" applyBorder="1" applyAlignment="1">
      <alignment vertical="center"/>
      <protection/>
    </xf>
    <xf numFmtId="0" fontId="6" fillId="0" borderId="40" xfId="25" applyFont="1" applyBorder="1" applyAlignment="1">
      <alignment vertical="center"/>
      <protection/>
    </xf>
    <xf numFmtId="0" fontId="2" fillId="0" borderId="46" xfId="0" applyFont="1" applyBorder="1" applyAlignment="1">
      <alignment horizontal="center" vertical="center" wrapText="1"/>
    </xf>
    <xf numFmtId="0" fontId="15" fillId="3" borderId="21" xfId="25" applyFont="1" applyFill="1" applyBorder="1" applyAlignment="1">
      <alignment horizontal="center" vertical="center"/>
      <protection/>
    </xf>
    <xf numFmtId="0" fontId="15" fillId="3" borderId="26" xfId="0" applyFont="1" applyFill="1" applyBorder="1" applyAlignment="1">
      <alignment horizontal="center" vertical="center"/>
    </xf>
    <xf numFmtId="4" fontId="2" fillId="0" borderId="14" xfId="27" applyNumberFormat="1" applyFont="1" applyBorder="1" applyAlignment="1">
      <alignment vertical="center"/>
      <protection/>
    </xf>
    <xf numFmtId="4" fontId="2" fillId="0" borderId="4" xfId="27" applyNumberFormat="1" applyFont="1" applyBorder="1" applyAlignment="1">
      <alignment vertical="center"/>
      <protection/>
    </xf>
    <xf numFmtId="4" fontId="2" fillId="0" borderId="13" xfId="27" applyNumberFormat="1" applyFont="1" applyBorder="1" applyAlignment="1">
      <alignment vertical="center"/>
      <protection/>
    </xf>
    <xf numFmtId="0" fontId="4" fillId="0" borderId="38" xfId="25" applyFont="1" applyBorder="1" applyAlignment="1">
      <alignment vertical="center"/>
      <protection/>
    </xf>
    <xf numFmtId="0" fontId="4" fillId="0" borderId="40" xfId="25" applyFont="1" applyBorder="1" applyAlignment="1">
      <alignment vertical="center"/>
      <protection/>
    </xf>
    <xf numFmtId="0" fontId="5" fillId="3" borderId="90" xfId="25" applyFont="1" applyFill="1" applyBorder="1" applyAlignment="1">
      <alignment horizontal="center" vertical="center" wrapText="1"/>
      <protection/>
    </xf>
    <xf numFmtId="0" fontId="5" fillId="0" borderId="55" xfId="25" applyFont="1" applyBorder="1" applyAlignment="1">
      <alignment vertical="center" wrapText="1"/>
      <protection/>
    </xf>
    <xf numFmtId="0" fontId="5" fillId="0" borderId="27" xfId="25" applyFont="1" applyBorder="1" applyAlignment="1">
      <alignment vertical="center" wrapText="1"/>
      <protection/>
    </xf>
    <xf numFmtId="0" fontId="5" fillId="3" borderId="56" xfId="25" applyFont="1" applyFill="1" applyBorder="1" applyAlignment="1">
      <alignment horizontal="center" vertical="center" wrapText="1"/>
      <protection/>
    </xf>
    <xf numFmtId="0" fontId="5" fillId="3" borderId="91" xfId="25" applyFont="1" applyFill="1" applyBorder="1" applyAlignment="1">
      <alignment horizontal="center" vertical="center" wrapText="1"/>
      <protection/>
    </xf>
    <xf numFmtId="49" fontId="5" fillId="3" borderId="56" xfId="23" applyNumberFormat="1" applyFont="1" applyFill="1" applyBorder="1" applyAlignment="1">
      <alignment vertical="center"/>
      <protection/>
    </xf>
    <xf numFmtId="49" fontId="5" fillId="3" borderId="40" xfId="23" applyNumberFormat="1" applyFont="1" applyFill="1" applyBorder="1" applyAlignment="1">
      <alignment vertical="center"/>
      <protection/>
    </xf>
    <xf numFmtId="49" fontId="5" fillId="0" borderId="56" xfId="23" applyNumberFormat="1" applyFont="1" applyBorder="1" applyAlignment="1">
      <alignment vertical="center"/>
      <protection/>
    </xf>
    <xf numFmtId="49" fontId="5" fillId="0" borderId="31" xfId="23" applyNumberFormat="1" applyFont="1" applyBorder="1" applyAlignment="1">
      <alignment vertical="center"/>
      <protection/>
    </xf>
    <xf numFmtId="49" fontId="5" fillId="0" borderId="35" xfId="23" applyNumberFormat="1" applyFont="1" applyBorder="1" applyAlignment="1">
      <alignment vertical="center"/>
      <protection/>
    </xf>
    <xf numFmtId="4" fontId="2" fillId="0" borderId="4" xfId="23" applyNumberFormat="1" applyFont="1" applyBorder="1" applyAlignment="1">
      <alignment vertical="center"/>
      <protection/>
    </xf>
    <xf numFmtId="4" fontId="2" fillId="0" borderId="13" xfId="23" applyNumberFormat="1" applyFont="1" applyBorder="1" applyAlignment="1">
      <alignment vertical="center"/>
      <protection/>
    </xf>
    <xf numFmtId="4" fontId="2" fillId="0" borderId="35" xfId="23" applyNumberFormat="1" applyFont="1" applyBorder="1" applyAlignment="1">
      <alignment vertical="center"/>
      <protection/>
    </xf>
    <xf numFmtId="4" fontId="2" fillId="0" borderId="31" xfId="23" applyNumberFormat="1" applyFont="1" applyBorder="1" applyAlignment="1">
      <alignment vertical="center"/>
      <protection/>
    </xf>
    <xf numFmtId="4" fontId="5" fillId="0" borderId="35" xfId="23" applyNumberFormat="1" applyFont="1" applyBorder="1" applyAlignment="1">
      <alignment vertical="center"/>
      <protection/>
    </xf>
    <xf numFmtId="4" fontId="5" fillId="0" borderId="31" xfId="23" applyNumberFormat="1" applyFont="1" applyBorder="1" applyAlignment="1">
      <alignment vertical="center"/>
      <protection/>
    </xf>
    <xf numFmtId="4" fontId="2" fillId="0" borderId="2" xfId="23" applyNumberFormat="1" applyFont="1" applyBorder="1" applyAlignment="1">
      <alignment vertical="center"/>
      <protection/>
    </xf>
    <xf numFmtId="4" fontId="2" fillId="0" borderId="12" xfId="23" applyNumberFormat="1" applyFont="1" applyBorder="1" applyAlignment="1">
      <alignment vertical="center"/>
      <protection/>
    </xf>
    <xf numFmtId="4" fontId="2" fillId="0" borderId="38" xfId="23" applyNumberFormat="1" applyFont="1" applyBorder="1" applyAlignment="1">
      <alignment vertical="center"/>
      <protection/>
    </xf>
    <xf numFmtId="4" fontId="5" fillId="0" borderId="38" xfId="23" applyNumberFormat="1" applyFont="1" applyBorder="1" applyAlignment="1">
      <alignment vertical="center"/>
      <protection/>
    </xf>
    <xf numFmtId="49" fontId="5" fillId="0" borderId="38" xfId="23" applyNumberFormat="1" applyFont="1" applyBorder="1" applyAlignment="1">
      <alignment vertical="center"/>
      <protection/>
    </xf>
    <xf numFmtId="4" fontId="2" fillId="0" borderId="95" xfId="23" applyNumberFormat="1" applyFont="1" applyBorder="1" applyAlignment="1">
      <alignment vertical="center"/>
      <protection/>
    </xf>
    <xf numFmtId="4" fontId="2" fillId="0" borderId="81" xfId="23" applyNumberFormat="1" applyFont="1" applyBorder="1" applyAlignment="1">
      <alignment vertical="center"/>
      <protection/>
    </xf>
    <xf numFmtId="0" fontId="2" fillId="0" borderId="96" xfId="26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5" fillId="3" borderId="59" xfId="26" applyFont="1" applyFill="1" applyBorder="1" applyAlignment="1">
      <alignment horizontal="center" vertical="center" wrapText="1"/>
      <protection/>
    </xf>
    <xf numFmtId="0" fontId="5" fillId="3" borderId="44" xfId="26" applyFont="1" applyFill="1" applyBorder="1" applyAlignment="1">
      <alignment horizontal="center" vertical="center" wrapText="1"/>
      <protection/>
    </xf>
    <xf numFmtId="0" fontId="5" fillId="3" borderId="3" xfId="26" applyFont="1" applyFill="1" applyBorder="1" applyAlignment="1">
      <alignment horizontal="center" vertical="center"/>
      <protection/>
    </xf>
    <xf numFmtId="0" fontId="5" fillId="3" borderId="7" xfId="26" applyFont="1" applyFill="1" applyBorder="1" applyAlignment="1">
      <alignment horizontal="center" vertical="center"/>
      <protection/>
    </xf>
    <xf numFmtId="0" fontId="5" fillId="3" borderId="4" xfId="26" applyFont="1" applyFill="1" applyBorder="1" applyAlignment="1">
      <alignment horizontal="center" vertical="center" wrapText="1"/>
      <protection/>
    </xf>
    <xf numFmtId="0" fontId="5" fillId="3" borderId="8" xfId="26" applyFont="1" applyFill="1" applyBorder="1" applyAlignment="1">
      <alignment horizontal="center" vertical="center" wrapText="1"/>
      <protection/>
    </xf>
    <xf numFmtId="0" fontId="5" fillId="3" borderId="90" xfId="26" applyFont="1" applyFill="1" applyBorder="1" applyAlignment="1">
      <alignment horizontal="center" vertical="center"/>
      <protection/>
    </xf>
    <xf numFmtId="0" fontId="5" fillId="0" borderId="55" xfId="26" applyFont="1" applyBorder="1" applyAlignment="1">
      <alignment vertical="center"/>
      <protection/>
    </xf>
    <xf numFmtId="0" fontId="5" fillId="0" borderId="27" xfId="26" applyFont="1" applyBorder="1" applyAlignment="1">
      <alignment vertical="center"/>
      <protection/>
    </xf>
    <xf numFmtId="0" fontId="5" fillId="0" borderId="96" xfId="26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5" fillId="3" borderId="19" xfId="26" applyFont="1" applyFill="1" applyBorder="1" applyAlignment="1" quotePrefix="1">
      <alignment horizontal="center" vertical="center" wrapText="1"/>
      <protection/>
    </xf>
    <xf numFmtId="0" fontId="5" fillId="3" borderId="27" xfId="26" applyFont="1" applyFill="1" applyBorder="1" applyAlignment="1">
      <alignment horizontal="center" vertical="center" wrapText="1"/>
      <protection/>
    </xf>
    <xf numFmtId="0" fontId="5" fillId="3" borderId="3" xfId="26" applyFont="1" applyFill="1" applyBorder="1" applyAlignment="1">
      <alignment horizontal="center" vertical="center" wrapText="1"/>
      <protection/>
    </xf>
    <xf numFmtId="0" fontId="5" fillId="3" borderId="7" xfId="26" applyFont="1" applyFill="1" applyBorder="1" applyAlignment="1">
      <alignment horizontal="center" vertical="center" wrapText="1"/>
      <protection/>
    </xf>
    <xf numFmtId="0" fontId="8" fillId="0" borderId="96" xfId="26" applyFont="1" applyBorder="1" applyAlignment="1">
      <alignment wrapText="1"/>
      <protection/>
    </xf>
    <xf numFmtId="0" fontId="27" fillId="0" borderId="0" xfId="0" applyFont="1" applyBorder="1" applyAlignment="1">
      <alignment wrapText="1"/>
    </xf>
    <xf numFmtId="0" fontId="5" fillId="3" borderId="21" xfId="26" applyFont="1" applyFill="1" applyBorder="1" applyAlignment="1">
      <alignment vertical="center"/>
      <protection/>
    </xf>
    <xf numFmtId="0" fontId="0" fillId="0" borderId="29" xfId="26" applyBorder="1" applyAlignment="1">
      <alignment vertical="center"/>
      <protection/>
    </xf>
    <xf numFmtId="0" fontId="8" fillId="3" borderId="93" xfId="26" applyFont="1" applyFill="1" applyBorder="1" applyAlignment="1">
      <alignment horizontal="center" vertical="center"/>
      <protection/>
    </xf>
    <xf numFmtId="0" fontId="8" fillId="3" borderId="11" xfId="26" applyFont="1" applyFill="1" applyBorder="1" applyAlignment="1">
      <alignment horizontal="center" vertical="center"/>
      <protection/>
    </xf>
    <xf numFmtId="0" fontId="5" fillId="3" borderId="90" xfId="26" applyFont="1" applyFill="1" applyBorder="1" applyAlignment="1">
      <alignment horizontal="center" vertical="center" wrapText="1"/>
      <protection/>
    </xf>
    <xf numFmtId="0" fontId="5" fillId="3" borderId="88" xfId="26" applyFont="1" applyFill="1" applyBorder="1" applyAlignment="1">
      <alignment vertical="center" wrapText="1"/>
      <protection/>
    </xf>
    <xf numFmtId="0" fontId="5" fillId="3" borderId="10" xfId="26" applyFont="1" applyFill="1" applyBorder="1" applyAlignment="1">
      <alignment vertical="center" wrapText="1"/>
      <protection/>
    </xf>
    <xf numFmtId="0" fontId="5" fillId="3" borderId="37" xfId="26" applyFont="1" applyFill="1" applyBorder="1" applyAlignment="1">
      <alignment vertical="center" wrapText="1"/>
      <protection/>
    </xf>
    <xf numFmtId="0" fontId="0" fillId="0" borderId="93" xfId="26" applyBorder="1" applyAlignment="1">
      <alignment/>
      <protection/>
    </xf>
    <xf numFmtId="0" fontId="0" fillId="3" borderId="55" xfId="26" applyFill="1" applyBorder="1" applyAlignment="1">
      <alignment horizontal="center" vertical="center"/>
      <protection/>
    </xf>
    <xf numFmtId="0" fontId="0" fillId="0" borderId="97" xfId="26" applyBorder="1" applyAlignment="1">
      <alignment/>
      <protection/>
    </xf>
    <xf numFmtId="0" fontId="5" fillId="3" borderId="95" xfId="26" applyFont="1" applyFill="1" applyBorder="1" applyAlignment="1">
      <alignment horizontal="center" vertical="center" wrapText="1"/>
      <protection/>
    </xf>
    <xf numFmtId="0" fontId="5" fillId="3" borderId="0" xfId="26" applyFont="1" applyFill="1" applyBorder="1" applyAlignment="1">
      <alignment horizontal="center" vertical="center" wrapText="1"/>
      <protection/>
    </xf>
    <xf numFmtId="0" fontId="5" fillId="3" borderId="93" xfId="26" applyFont="1" applyFill="1" applyBorder="1" applyAlignment="1">
      <alignment vertical="center" wrapText="1"/>
      <protection/>
    </xf>
    <xf numFmtId="0" fontId="5" fillId="3" borderId="11" xfId="26" applyFont="1" applyFill="1" applyBorder="1" applyAlignment="1">
      <alignment vertical="center" wrapText="1"/>
      <protection/>
    </xf>
    <xf numFmtId="0" fontId="5" fillId="3" borderId="90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" borderId="47" xfId="26" applyFont="1" applyFill="1" applyBorder="1" applyAlignment="1">
      <alignment horizontal="center" vertical="center"/>
      <protection/>
    </xf>
    <xf numFmtId="0" fontId="16" fillId="0" borderId="0" xfId="24" applyAlignment="1">
      <alignment/>
      <protection/>
    </xf>
    <xf numFmtId="0" fontId="28" fillId="0" borderId="0" xfId="24" applyFont="1" applyAlignment="1">
      <alignment horizontal="center"/>
      <protection/>
    </xf>
    <xf numFmtId="0" fontId="29" fillId="0" borderId="0" xfId="24" applyFont="1" applyAlignment="1">
      <alignment horizontal="center"/>
      <protection/>
    </xf>
    <xf numFmtId="0" fontId="31" fillId="0" borderId="44" xfId="24" applyFont="1" applyBorder="1" applyAlignment="1">
      <alignment horizontal="left"/>
      <protection/>
    </xf>
    <xf numFmtId="0" fontId="16" fillId="0" borderId="88" xfId="24" applyBorder="1" applyAlignment="1">
      <alignment/>
      <protection/>
    </xf>
  </cellXfs>
  <cellStyles count="1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2006_kraj" xfId="20"/>
    <cellStyle name="normální_Finanční plány nemocnice" xfId="21"/>
    <cellStyle name="normální_Investice 2006 HB" xfId="22"/>
    <cellStyle name="normální_investice NMt1" xfId="23"/>
    <cellStyle name="normální_Kopie - Plán čerpání investičního fondu 2006 - I verze" xfId="24"/>
    <cellStyle name="normální_RK-10-2006-xx,př1 FP po 105%" xfId="25"/>
    <cellStyle name="normální_RK-14-2006-xxpr3 ZZS" xfId="26"/>
    <cellStyle name="normální_Sešit1" xfId="27"/>
    <cellStyle name="nový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50"/>
  <sheetViews>
    <sheetView showGridLines="0" tabSelected="1" workbookViewId="0" topLeftCell="A1">
      <selection activeCell="I2" sqref="I2"/>
    </sheetView>
  </sheetViews>
  <sheetFormatPr defaultColWidth="9.00390625" defaultRowHeight="12.75"/>
  <cols>
    <col min="1" max="1" width="14.625" style="269" customWidth="1"/>
    <col min="2" max="6" width="11.125" style="270" customWidth="1"/>
    <col min="7" max="7" width="11.625" style="270" customWidth="1"/>
    <col min="8" max="8" width="11.75390625" style="270" customWidth="1"/>
    <col min="9" max="11" width="11.125" style="269" customWidth="1"/>
    <col min="12" max="16" width="9.125" style="269" customWidth="1"/>
    <col min="17" max="17" width="0" style="269" hidden="1" customWidth="1"/>
    <col min="18" max="16384" width="9.125" style="269" customWidth="1"/>
  </cols>
  <sheetData>
    <row r="1" ht="15">
      <c r="I1" s="271" t="s">
        <v>416</v>
      </c>
    </row>
    <row r="2" spans="1:9" ht="34.5" customHeight="1" thickBot="1">
      <c r="A2" s="272" t="s">
        <v>231</v>
      </c>
      <c r="I2" s="273" t="s">
        <v>415</v>
      </c>
    </row>
    <row r="3" spans="1:17" s="274" customFormat="1" ht="15.75" customHeight="1" thickBot="1">
      <c r="A3" s="593" t="s">
        <v>73</v>
      </c>
      <c r="B3" s="597" t="s">
        <v>80</v>
      </c>
      <c r="C3" s="599" t="s">
        <v>75</v>
      </c>
      <c r="D3" s="600"/>
      <c r="E3" s="600"/>
      <c r="F3" s="600"/>
      <c r="G3" s="600"/>
      <c r="H3" s="600"/>
      <c r="I3" s="600"/>
      <c r="J3" s="600"/>
      <c r="K3" s="601"/>
      <c r="Q3" s="602" t="s">
        <v>74</v>
      </c>
    </row>
    <row r="4" spans="1:17" s="274" customFormat="1" ht="52.5" customHeight="1" thickBot="1">
      <c r="A4" s="594"/>
      <c r="B4" s="598"/>
      <c r="C4" s="316" t="s">
        <v>76</v>
      </c>
      <c r="D4" s="450" t="s">
        <v>253</v>
      </c>
      <c r="E4" s="450" t="s">
        <v>252</v>
      </c>
      <c r="F4" s="317" t="s">
        <v>77</v>
      </c>
      <c r="G4" s="317" t="s">
        <v>248</v>
      </c>
      <c r="H4" s="317" t="s">
        <v>78</v>
      </c>
      <c r="I4" s="319" t="s">
        <v>61</v>
      </c>
      <c r="J4" s="319" t="s">
        <v>160</v>
      </c>
      <c r="K4" s="320" t="s">
        <v>89</v>
      </c>
      <c r="Q4" s="603"/>
    </row>
    <row r="5" spans="1:17" s="278" customFormat="1" ht="18" customHeight="1">
      <c r="A5" s="275" t="s">
        <v>68</v>
      </c>
      <c r="B5" s="277">
        <f>+'H.Brod'!Q36</f>
        <v>-7637</v>
      </c>
      <c r="C5" s="293">
        <f>+'H.Brod'!O15</f>
        <v>21721</v>
      </c>
      <c r="D5" s="276">
        <f>1555</f>
        <v>1555</v>
      </c>
      <c r="E5" s="276">
        <f>310</f>
        <v>310</v>
      </c>
      <c r="F5" s="441">
        <v>22.854</v>
      </c>
      <c r="G5" s="441">
        <v>0</v>
      </c>
      <c r="H5" s="276">
        <f>+B15-E15</f>
        <v>19800</v>
      </c>
      <c r="I5" s="300">
        <v>5</v>
      </c>
      <c r="J5" s="444">
        <v>28.42</v>
      </c>
      <c r="K5" s="327">
        <f aca="true" t="shared" si="0" ref="K5:K10">+H5/Q5</f>
        <v>0.5722543352601156</v>
      </c>
      <c r="Q5" s="300">
        <v>34600</v>
      </c>
    </row>
    <row r="6" spans="1:17" s="278" customFormat="1" ht="18" customHeight="1">
      <c r="A6" s="279" t="s">
        <v>69</v>
      </c>
      <c r="B6" s="281">
        <f>+Jihlava!M36</f>
        <v>-0.040741854812949896</v>
      </c>
      <c r="C6" s="295">
        <f>+Jihlava!O15-6166</f>
        <v>25156.1265</v>
      </c>
      <c r="D6" s="280">
        <f>1837.7</f>
        <v>1837.7</v>
      </c>
      <c r="E6" s="280"/>
      <c r="F6" s="448">
        <v>865.196</v>
      </c>
      <c r="G6" s="441">
        <v>40.516</v>
      </c>
      <c r="H6" s="276">
        <f>+B16-E16</f>
        <v>22409.59</v>
      </c>
      <c r="I6" s="301">
        <v>0</v>
      </c>
      <c r="J6" s="445">
        <v>3.14</v>
      </c>
      <c r="K6" s="327">
        <f t="shared" si="0"/>
        <v>0.424424053030303</v>
      </c>
      <c r="Q6" s="301">
        <v>52800</v>
      </c>
    </row>
    <row r="7" spans="1:17" s="278" customFormat="1" ht="18" customHeight="1">
      <c r="A7" s="279" t="s">
        <v>70</v>
      </c>
      <c r="B7" s="281">
        <f>+Pelhřimov!O36</f>
        <v>-18386</v>
      </c>
      <c r="C7" s="295">
        <f>+Pelhřimov!O15</f>
        <v>18019</v>
      </c>
      <c r="D7" s="280">
        <v>1511</v>
      </c>
      <c r="E7" s="280"/>
      <c r="F7" s="448">
        <v>41.7</v>
      </c>
      <c r="G7" s="441">
        <v>0</v>
      </c>
      <c r="H7" s="276">
        <f>+B17-E17</f>
        <v>16250</v>
      </c>
      <c r="I7" s="301">
        <v>216.4</v>
      </c>
      <c r="J7" s="445">
        <v>0</v>
      </c>
      <c r="K7" s="327">
        <f t="shared" si="0"/>
        <v>0.5</v>
      </c>
      <c r="Q7" s="301">
        <v>32500</v>
      </c>
    </row>
    <row r="8" spans="1:17" s="278" customFormat="1" ht="18" customHeight="1">
      <c r="A8" s="279" t="s">
        <v>71</v>
      </c>
      <c r="B8" s="281">
        <f>+Třebíč!R36</f>
        <v>-7680.8184349351795</v>
      </c>
      <c r="C8" s="295">
        <f>+Třebíč!R15</f>
        <v>1981.7</v>
      </c>
      <c r="D8" s="280">
        <v>1981.7</v>
      </c>
      <c r="E8" s="280"/>
      <c r="F8" s="448">
        <v>0</v>
      </c>
      <c r="G8" s="441">
        <v>0</v>
      </c>
      <c r="H8" s="276">
        <f>+C8-D8-F8-I8</f>
        <v>0</v>
      </c>
      <c r="I8" s="301">
        <v>0</v>
      </c>
      <c r="J8" s="445">
        <v>0</v>
      </c>
      <c r="K8" s="327">
        <f t="shared" si="0"/>
        <v>0</v>
      </c>
      <c r="Q8" s="301">
        <v>24400</v>
      </c>
    </row>
    <row r="9" spans="1:17" s="278" customFormat="1" ht="27" customHeight="1" thickBot="1">
      <c r="A9" s="282" t="s">
        <v>79</v>
      </c>
      <c r="B9" s="284">
        <f>+'N.Město'!Q36</f>
        <v>-6967</v>
      </c>
      <c r="C9" s="296">
        <f>+'N.Město'!Q15</f>
        <v>18331</v>
      </c>
      <c r="D9" s="283">
        <v>1492.3</v>
      </c>
      <c r="E9" s="283"/>
      <c r="F9" s="449">
        <v>227.4</v>
      </c>
      <c r="G9" s="442">
        <v>0</v>
      </c>
      <c r="H9" s="276">
        <f>+B19-E19</f>
        <v>16321</v>
      </c>
      <c r="I9" s="303">
        <v>290</v>
      </c>
      <c r="J9" s="446">
        <v>0</v>
      </c>
      <c r="K9" s="328">
        <f t="shared" si="0"/>
        <v>0.45717086834733894</v>
      </c>
      <c r="M9" s="432"/>
      <c r="Q9" s="303">
        <v>35700</v>
      </c>
    </row>
    <row r="10" spans="1:17" s="288" customFormat="1" ht="23.25" customHeight="1" thickBot="1">
      <c r="A10" s="285" t="s">
        <v>6</v>
      </c>
      <c r="B10" s="287">
        <f aca="true" t="shared" si="1" ref="B10:J10">SUM(B5:B9)</f>
        <v>-40670.85917678999</v>
      </c>
      <c r="C10" s="298">
        <f t="shared" si="1"/>
        <v>85208.8265</v>
      </c>
      <c r="D10" s="286">
        <f t="shared" si="1"/>
        <v>8377.699999999999</v>
      </c>
      <c r="E10" s="286">
        <f t="shared" si="1"/>
        <v>310</v>
      </c>
      <c r="F10" s="443">
        <f t="shared" si="1"/>
        <v>1157.15</v>
      </c>
      <c r="G10" s="443">
        <f t="shared" si="1"/>
        <v>40.516</v>
      </c>
      <c r="H10" s="286">
        <f t="shared" si="1"/>
        <v>74780.59</v>
      </c>
      <c r="I10" s="304">
        <f t="shared" si="1"/>
        <v>511.4</v>
      </c>
      <c r="J10" s="447">
        <f t="shared" si="1"/>
        <v>31.560000000000002</v>
      </c>
      <c r="K10" s="329">
        <f t="shared" si="0"/>
        <v>0.4154477222222222</v>
      </c>
      <c r="Q10" s="304">
        <f>SUM(Q5:Q9)</f>
        <v>180000</v>
      </c>
    </row>
    <row r="11" spans="1:10" ht="8.25" customHeight="1">
      <c r="A11" s="289"/>
      <c r="B11" s="290"/>
      <c r="C11" s="290"/>
      <c r="D11" s="290"/>
      <c r="E11" s="290"/>
      <c r="F11" s="290"/>
      <c r="G11" s="290"/>
      <c r="H11" s="290"/>
      <c r="I11" s="289"/>
      <c r="J11" s="289"/>
    </row>
    <row r="12" spans="1:10" ht="8.25" customHeight="1" thickBot="1">
      <c r="A12" s="289"/>
      <c r="B12" s="290"/>
      <c r="C12" s="290"/>
      <c r="D12" s="290"/>
      <c r="E12" s="290"/>
      <c r="F12" s="290"/>
      <c r="G12" s="290"/>
      <c r="H12" s="290"/>
      <c r="I12" s="289"/>
      <c r="J12" s="289"/>
    </row>
    <row r="13" spans="1:11" ht="20.25" customHeight="1" thickBot="1">
      <c r="A13" s="595" t="s">
        <v>73</v>
      </c>
      <c r="B13" s="602" t="str">
        <f>+Q3</f>
        <v>Nájemné</v>
      </c>
      <c r="C13" s="607" t="s">
        <v>258</v>
      </c>
      <c r="D13" s="599" t="s">
        <v>62</v>
      </c>
      <c r="E13" s="612"/>
      <c r="F13" s="612"/>
      <c r="G13" s="612"/>
      <c r="H13" s="612"/>
      <c r="I13" s="612"/>
      <c r="J13" s="612"/>
      <c r="K13" s="613"/>
    </row>
    <row r="14" spans="1:11" ht="38.25" customHeight="1" thickBot="1">
      <c r="A14" s="596"/>
      <c r="B14" s="603"/>
      <c r="C14" s="608"/>
      <c r="D14" s="318" t="s">
        <v>6</v>
      </c>
      <c r="E14" s="319" t="s">
        <v>86</v>
      </c>
      <c r="F14" s="317" t="s">
        <v>87</v>
      </c>
      <c r="G14" s="317" t="s">
        <v>248</v>
      </c>
      <c r="H14" s="518" t="s">
        <v>88</v>
      </c>
      <c r="I14" s="319" t="s">
        <v>251</v>
      </c>
      <c r="J14" s="319" t="s">
        <v>250</v>
      </c>
      <c r="K14" s="310" t="s">
        <v>160</v>
      </c>
    </row>
    <row r="15" spans="1:11" ht="17.25" customHeight="1">
      <c r="A15" s="323" t="s">
        <v>68</v>
      </c>
      <c r="B15" s="313">
        <f aca="true" t="shared" si="2" ref="B15:B20">+Q5</f>
        <v>34600</v>
      </c>
      <c r="C15" s="459">
        <f>+B15/'H.Brod'!Q35</f>
        <v>0.05686898437910903</v>
      </c>
      <c r="D15" s="311">
        <f>SUM(E15:K15)</f>
        <v>26288.25</v>
      </c>
      <c r="E15" s="300">
        <v>14800</v>
      </c>
      <c r="F15" s="441"/>
      <c r="G15" s="441">
        <v>78.25</v>
      </c>
      <c r="H15" s="313">
        <v>11410</v>
      </c>
      <c r="I15" s="300"/>
      <c r="J15" s="300"/>
      <c r="K15" s="475"/>
    </row>
    <row r="16" spans="1:11" ht="17.25" customHeight="1">
      <c r="A16" s="324" t="s">
        <v>69</v>
      </c>
      <c r="B16" s="313">
        <f t="shared" si="2"/>
        <v>52800</v>
      </c>
      <c r="C16" s="294">
        <f>+B16/Jihlava!O35</f>
        <v>0.06572968877127172</v>
      </c>
      <c r="D16" s="311">
        <f>SUM(E16:K16)</f>
        <v>30432.1</v>
      </c>
      <c r="E16" s="300">
        <v>30390.41</v>
      </c>
      <c r="F16" s="448"/>
      <c r="G16" s="441">
        <v>41.69</v>
      </c>
      <c r="H16" s="302"/>
      <c r="I16" s="301"/>
      <c r="J16" s="301"/>
      <c r="K16" s="476"/>
    </row>
    <row r="17" spans="1:11" ht="17.25" customHeight="1">
      <c r="A17" s="324" t="s">
        <v>70</v>
      </c>
      <c r="B17" s="313">
        <f t="shared" si="2"/>
        <v>32500</v>
      </c>
      <c r="C17" s="294">
        <f>+B17/Pelhřimov!O35</f>
        <v>0.07447210733149254</v>
      </c>
      <c r="D17" s="311">
        <f>SUM(E17:K17)</f>
        <v>23402</v>
      </c>
      <c r="E17" s="300">
        <f>17500-1250</f>
        <v>16250</v>
      </c>
      <c r="F17" s="448"/>
      <c r="G17" s="441"/>
      <c r="H17" s="302">
        <v>7152</v>
      </c>
      <c r="I17" s="301"/>
      <c r="J17" s="301"/>
      <c r="K17" s="476"/>
    </row>
    <row r="18" spans="1:11" ht="17.25" customHeight="1">
      <c r="A18" s="324" t="s">
        <v>71</v>
      </c>
      <c r="B18" s="313">
        <f t="shared" si="2"/>
        <v>24400</v>
      </c>
      <c r="C18" s="294">
        <f>+B18/Třebíč!R35</f>
        <v>0.04299589094918061</v>
      </c>
      <c r="D18" s="311">
        <f>SUM(E18:K18)</f>
        <v>40122.198</v>
      </c>
      <c r="E18" s="300">
        <f>+Q8-H8</f>
        <v>24400</v>
      </c>
      <c r="F18" s="448">
        <v>160.298</v>
      </c>
      <c r="G18" s="441"/>
      <c r="H18" s="302">
        <f>7533</f>
        <v>7533</v>
      </c>
      <c r="I18" s="301">
        <f>1972</f>
        <v>1972</v>
      </c>
      <c r="J18" s="301">
        <v>6000</v>
      </c>
      <c r="K18" s="476">
        <v>56.9</v>
      </c>
    </row>
    <row r="19" spans="1:11" ht="25.5" customHeight="1" thickBot="1">
      <c r="A19" s="325" t="s">
        <v>79</v>
      </c>
      <c r="B19" s="313">
        <f t="shared" si="2"/>
        <v>35700</v>
      </c>
      <c r="C19" s="297">
        <f>+B19/'N.Město'!Q35</f>
        <v>0.060431143198110895</v>
      </c>
      <c r="D19" s="311">
        <f>SUM(E19:K19)</f>
        <v>40485</v>
      </c>
      <c r="E19" s="300">
        <v>19379</v>
      </c>
      <c r="F19" s="449"/>
      <c r="G19" s="442"/>
      <c r="H19" s="314">
        <f>19250</f>
        <v>19250</v>
      </c>
      <c r="I19" s="303">
        <v>1856</v>
      </c>
      <c r="J19" s="303"/>
      <c r="K19" s="477"/>
    </row>
    <row r="20" spans="1:11" ht="17.25" customHeight="1" thickBot="1">
      <c r="A20" s="326" t="s">
        <v>6</v>
      </c>
      <c r="B20" s="315">
        <f t="shared" si="2"/>
        <v>180000</v>
      </c>
      <c r="C20" s="474"/>
      <c r="D20" s="312">
        <f>SUM(D15:D19)</f>
        <v>160729.548</v>
      </c>
      <c r="E20" s="304">
        <f>SUM(E15:E19)</f>
        <v>105219.41</v>
      </c>
      <c r="F20" s="304">
        <f aca="true" t="shared" si="3" ref="F20:K20">SUM(F15:F19)</f>
        <v>160.298</v>
      </c>
      <c r="G20" s="447">
        <f t="shared" si="3"/>
        <v>119.94</v>
      </c>
      <c r="H20" s="304">
        <f t="shared" si="3"/>
        <v>45345</v>
      </c>
      <c r="I20" s="304">
        <f t="shared" si="3"/>
        <v>3828</v>
      </c>
      <c r="J20" s="304">
        <f t="shared" si="3"/>
        <v>6000</v>
      </c>
      <c r="K20" s="478">
        <f t="shared" si="3"/>
        <v>56.9</v>
      </c>
    </row>
    <row r="21" ht="13.5" customHeight="1" thickBot="1"/>
    <row r="22" spans="1:11" s="288" customFormat="1" ht="12.75" customHeight="1" thickBot="1">
      <c r="A22" s="593" t="s">
        <v>73</v>
      </c>
      <c r="B22" s="604" t="s">
        <v>82</v>
      </c>
      <c r="C22" s="605"/>
      <c r="D22" s="605"/>
      <c r="E22" s="605"/>
      <c r="F22" s="606"/>
      <c r="G22" s="604" t="s">
        <v>81</v>
      </c>
      <c r="H22" s="605"/>
      <c r="I22" s="605"/>
      <c r="J22" s="605"/>
      <c r="K22" s="606"/>
    </row>
    <row r="23" spans="1:11" s="288" customFormat="1" ht="33.75" customHeight="1" thickBot="1">
      <c r="A23" s="594"/>
      <c r="B23" s="451" t="s">
        <v>90</v>
      </c>
      <c r="C23" s="452" t="s">
        <v>91</v>
      </c>
      <c r="D23" s="453" t="s">
        <v>9</v>
      </c>
      <c r="E23" s="454" t="s">
        <v>60</v>
      </c>
      <c r="F23" s="455" t="s">
        <v>249</v>
      </c>
      <c r="G23" s="321" t="s">
        <v>90</v>
      </c>
      <c r="H23" s="322" t="s">
        <v>91</v>
      </c>
      <c r="I23" s="291" t="s">
        <v>9</v>
      </c>
      <c r="J23" s="292" t="s">
        <v>60</v>
      </c>
      <c r="K23" s="456" t="s">
        <v>249</v>
      </c>
    </row>
    <row r="24" spans="1:12" s="278" customFormat="1" ht="17.25" customHeight="1">
      <c r="A24" s="275" t="s">
        <v>68</v>
      </c>
      <c r="B24" s="293">
        <f>+'H.Brod'!J25</f>
        <v>327596</v>
      </c>
      <c r="C24" s="276">
        <f>+'H.Brod'!Q25</f>
        <v>326310</v>
      </c>
      <c r="D24" s="280">
        <f aca="true" t="shared" si="4" ref="D24:D29">+C24-B24</f>
        <v>-1286</v>
      </c>
      <c r="E24" s="294">
        <f aca="true" t="shared" si="5" ref="E24:E29">+C24/B24</f>
        <v>0.9960744331432618</v>
      </c>
      <c r="F24" s="433">
        <f>+C24/'H.Brod'!Q35</f>
        <v>0.5363271182874875</v>
      </c>
      <c r="G24" s="293">
        <f>+'H.Brod'!J17</f>
        <v>145000</v>
      </c>
      <c r="H24" s="276">
        <f>+'H.Brod'!Q17</f>
        <v>149938</v>
      </c>
      <c r="I24" s="280">
        <f aca="true" t="shared" si="6" ref="I24:I29">+H24-G24</f>
        <v>4938</v>
      </c>
      <c r="J24" s="294">
        <f aca="true" t="shared" si="7" ref="J24:J29">+H24/G24</f>
        <v>1.0340551724137932</v>
      </c>
      <c r="K24" s="457">
        <f>+H24/'H.Brod'!Q35</f>
        <v>0.24643993583337717</v>
      </c>
      <c r="L24" s="48"/>
    </row>
    <row r="25" spans="1:12" s="278" customFormat="1" ht="17.25" customHeight="1">
      <c r="A25" s="279" t="s">
        <v>69</v>
      </c>
      <c r="B25" s="295">
        <f>+Jihlava!H25</f>
        <v>382498.2542418548</v>
      </c>
      <c r="C25" s="280">
        <f>+Jihlava!O25</f>
        <v>382498.2542418549</v>
      </c>
      <c r="D25" s="280">
        <f t="shared" si="4"/>
        <v>0</v>
      </c>
      <c r="E25" s="294">
        <f t="shared" si="5"/>
        <v>1.0000000000000002</v>
      </c>
      <c r="F25" s="434">
        <f>+C25/Jihlava!O35</f>
        <v>0.4761646061907554</v>
      </c>
      <c r="G25" s="295">
        <f>+Jihlava!H17</f>
        <v>169300</v>
      </c>
      <c r="H25" s="280">
        <f>+Jihlava!O17</f>
        <v>162384</v>
      </c>
      <c r="I25" s="280">
        <f t="shared" si="6"/>
        <v>-6916</v>
      </c>
      <c r="J25" s="294">
        <f t="shared" si="7"/>
        <v>0.9591494388659185</v>
      </c>
      <c r="K25" s="330">
        <f>+H25/Jihlava!O35</f>
        <v>0.20214867010292023</v>
      </c>
      <c r="L25" s="48"/>
    </row>
    <row r="26" spans="1:12" s="278" customFormat="1" ht="17.25" customHeight="1">
      <c r="A26" s="279" t="s">
        <v>70</v>
      </c>
      <c r="B26" s="295">
        <f>+Pelhřimov!H25</f>
        <v>219885</v>
      </c>
      <c r="C26" s="280">
        <f>+Pelhřimov!O25</f>
        <v>219885</v>
      </c>
      <c r="D26" s="280">
        <f t="shared" si="4"/>
        <v>0</v>
      </c>
      <c r="E26" s="294">
        <f t="shared" si="5"/>
        <v>1</v>
      </c>
      <c r="F26" s="434">
        <f>+C26/Pelhřimov!O35</f>
        <v>0.5038553637103149</v>
      </c>
      <c r="G26" s="295">
        <f>+Pelhřimov!H17</f>
        <v>98000</v>
      </c>
      <c r="H26" s="280">
        <f>+Pelhřimov!O17</f>
        <v>98000</v>
      </c>
      <c r="I26" s="280">
        <f t="shared" si="6"/>
        <v>0</v>
      </c>
      <c r="J26" s="294">
        <f t="shared" si="7"/>
        <v>1</v>
      </c>
      <c r="K26" s="330">
        <f>+H26/Pelhřimov!O35</f>
        <v>0.22456204672265442</v>
      </c>
      <c r="L26" s="48"/>
    </row>
    <row r="27" spans="1:12" s="278" customFormat="1" ht="17.25" customHeight="1">
      <c r="A27" s="279" t="s">
        <v>71</v>
      </c>
      <c r="B27" s="295">
        <f>+Třebíč!K25</f>
        <v>302306.55700636364</v>
      </c>
      <c r="C27" s="280">
        <f>+Třebíč!R25</f>
        <v>302306.55700636364</v>
      </c>
      <c r="D27" s="280">
        <f t="shared" si="4"/>
        <v>0</v>
      </c>
      <c r="E27" s="294">
        <f t="shared" si="5"/>
        <v>1</v>
      </c>
      <c r="F27" s="434">
        <f>+C27/Třebíč!R35</f>
        <v>0.5327024491093387</v>
      </c>
      <c r="G27" s="295">
        <f>+Třebíč!K17</f>
        <v>110100</v>
      </c>
      <c r="H27" s="280">
        <f>+Třebíč!R17</f>
        <v>116010.125</v>
      </c>
      <c r="I27" s="280">
        <f t="shared" si="6"/>
        <v>5910.125</v>
      </c>
      <c r="J27" s="294">
        <f t="shared" si="7"/>
        <v>1.0536796094459582</v>
      </c>
      <c r="K27" s="330">
        <f>+H27/Třebíč!R35</f>
        <v>0.20442453620904966</v>
      </c>
      <c r="L27" s="48"/>
    </row>
    <row r="28" spans="1:12" s="278" customFormat="1" ht="27" customHeight="1" thickBot="1">
      <c r="A28" s="282" t="s">
        <v>79</v>
      </c>
      <c r="B28" s="296">
        <f>+'N.Město'!J25</f>
        <v>315064</v>
      </c>
      <c r="C28" s="283">
        <f>+'N.Město'!Q25</f>
        <v>315234</v>
      </c>
      <c r="D28" s="283">
        <f t="shared" si="4"/>
        <v>170</v>
      </c>
      <c r="E28" s="297">
        <f t="shared" si="5"/>
        <v>1.0005395729121702</v>
      </c>
      <c r="F28" s="435">
        <f>+C28/'N.Město'!Q35</f>
        <v>0.5336120726866468</v>
      </c>
      <c r="G28" s="296">
        <f>+'N.Město'!J17</f>
        <v>133039</v>
      </c>
      <c r="H28" s="283">
        <f>+'N.Město'!Q17</f>
        <v>130039</v>
      </c>
      <c r="I28" s="283">
        <f t="shared" si="6"/>
        <v>-3000</v>
      </c>
      <c r="J28" s="297">
        <f t="shared" si="7"/>
        <v>0.9774502213636603</v>
      </c>
      <c r="K28" s="458">
        <f>+H28/'N.Město'!Q35</f>
        <v>0.22012340141006</v>
      </c>
      <c r="L28" s="48"/>
    </row>
    <row r="29" spans="1:12" s="288" customFormat="1" ht="22.5" customHeight="1" thickBot="1">
      <c r="A29" s="285" t="s">
        <v>6</v>
      </c>
      <c r="B29" s="298">
        <f>SUM(B24:B28)</f>
        <v>1547349.8112482186</v>
      </c>
      <c r="C29" s="286">
        <f>SUM(C24:C28)</f>
        <v>1546233.8112482186</v>
      </c>
      <c r="D29" s="286">
        <f t="shared" si="4"/>
        <v>-1116</v>
      </c>
      <c r="E29" s="299">
        <f t="shared" si="5"/>
        <v>0.9992787668361172</v>
      </c>
      <c r="F29" s="436"/>
      <c r="G29" s="298">
        <f>SUM(G24:G28)</f>
        <v>655439</v>
      </c>
      <c r="H29" s="286">
        <f>SUM(H24:H28)</f>
        <v>656371.125</v>
      </c>
      <c r="I29" s="286">
        <f t="shared" si="6"/>
        <v>932.125</v>
      </c>
      <c r="J29" s="299">
        <f t="shared" si="7"/>
        <v>1.001422138444615</v>
      </c>
      <c r="K29" s="331"/>
      <c r="L29" s="48"/>
    </row>
    <row r="30" ht="4.5" customHeight="1"/>
    <row r="31" ht="3.75" customHeight="1" thickBot="1"/>
    <row r="32" spans="1:11" s="288" customFormat="1" ht="14.25" customHeight="1" thickBot="1">
      <c r="A32" s="609" t="s">
        <v>73</v>
      </c>
      <c r="B32" s="604" t="s">
        <v>83</v>
      </c>
      <c r="C32" s="605"/>
      <c r="D32" s="605"/>
      <c r="E32" s="605"/>
      <c r="F32" s="606"/>
      <c r="G32" s="604" t="s">
        <v>72</v>
      </c>
      <c r="H32" s="605"/>
      <c r="I32" s="605"/>
      <c r="J32" s="605"/>
      <c r="K32" s="606"/>
    </row>
    <row r="33" spans="1:11" s="288" customFormat="1" ht="33" customHeight="1" thickBot="1">
      <c r="A33" s="610"/>
      <c r="B33" s="321" t="s">
        <v>90</v>
      </c>
      <c r="C33" s="322" t="s">
        <v>91</v>
      </c>
      <c r="D33" s="291" t="s">
        <v>9</v>
      </c>
      <c r="E33" s="292" t="s">
        <v>60</v>
      </c>
      <c r="F33" s="455" t="s">
        <v>249</v>
      </c>
      <c r="G33" s="321" t="s">
        <v>90</v>
      </c>
      <c r="H33" s="322" t="s">
        <v>91</v>
      </c>
      <c r="I33" s="291" t="s">
        <v>9</v>
      </c>
      <c r="J33" s="292" t="s">
        <v>60</v>
      </c>
      <c r="K33" s="456" t="s">
        <v>249</v>
      </c>
    </row>
    <row r="34" spans="1:11" s="278" customFormat="1" ht="17.25" customHeight="1">
      <c r="A34" s="305" t="s">
        <v>68</v>
      </c>
      <c r="B34" s="293">
        <f>+'H.Brod'!J19</f>
        <v>21300</v>
      </c>
      <c r="C34" s="276">
        <f>+'H.Brod'!Q19</f>
        <v>23208</v>
      </c>
      <c r="D34" s="280">
        <f aca="true" t="shared" si="8" ref="D34:D39">+C34-B34</f>
        <v>1908</v>
      </c>
      <c r="E34" s="294">
        <f aca="true" t="shared" si="9" ref="E34:E39">+C34/B34</f>
        <v>1.0895774647887324</v>
      </c>
      <c r="F34" s="433">
        <f>+C34/'H.Brod'!Q35</f>
        <v>0.03814495345290065</v>
      </c>
      <c r="G34" s="293">
        <f>+'H.Brod'!J32</f>
        <v>2000</v>
      </c>
      <c r="H34" s="276">
        <f>+'H.Brod'!Q33</f>
        <v>2000</v>
      </c>
      <c r="I34" s="280">
        <f aca="true" t="shared" si="10" ref="I34:I39">+H34-G34</f>
        <v>0</v>
      </c>
      <c r="J34" s="294">
        <f aca="true" t="shared" si="11" ref="J34:J39">+H34/G34</f>
        <v>1</v>
      </c>
      <c r="K34" s="457">
        <f>+H34/'H.Brod'!Q35</f>
        <v>0.003287224530584337</v>
      </c>
    </row>
    <row r="35" spans="1:11" s="278" customFormat="1" ht="17.25" customHeight="1">
      <c r="A35" s="306" t="s">
        <v>69</v>
      </c>
      <c r="B35" s="295">
        <f>+Jihlava!H19</f>
        <v>34100</v>
      </c>
      <c r="C35" s="280">
        <f>+Jihlava!O19</f>
        <v>35500</v>
      </c>
      <c r="D35" s="280">
        <f t="shared" si="8"/>
        <v>1400</v>
      </c>
      <c r="E35" s="294">
        <f t="shared" si="9"/>
        <v>1.0410557184750733</v>
      </c>
      <c r="F35" s="434">
        <f>+C35/Jihlava!O35</f>
        <v>0.04419325665492701</v>
      </c>
      <c r="G35" s="295">
        <f>+Jihlava!H33</f>
        <v>2200</v>
      </c>
      <c r="H35" s="280">
        <f>+Jihlava!O33</f>
        <v>2200</v>
      </c>
      <c r="I35" s="280">
        <f t="shared" si="10"/>
        <v>0</v>
      </c>
      <c r="J35" s="294">
        <f t="shared" si="11"/>
        <v>1</v>
      </c>
      <c r="K35" s="330">
        <f>+H35/Jihlava!O35</f>
        <v>0.002738737032136322</v>
      </c>
    </row>
    <row r="36" spans="1:11" s="278" customFormat="1" ht="17.25" customHeight="1">
      <c r="A36" s="306" t="s">
        <v>70</v>
      </c>
      <c r="B36" s="295">
        <f>+Pelhřimov!H19</f>
        <v>17000</v>
      </c>
      <c r="C36" s="280">
        <f>+Pelhřimov!O19</f>
        <v>20000</v>
      </c>
      <c r="D36" s="280">
        <f t="shared" si="8"/>
        <v>3000</v>
      </c>
      <c r="E36" s="294">
        <f t="shared" si="9"/>
        <v>1.1764705882352942</v>
      </c>
      <c r="F36" s="434">
        <f>+C36/Pelhřimov!O35</f>
        <v>0.04582898912707233</v>
      </c>
      <c r="G36" s="295">
        <f>+Pelhřimov!H33</f>
        <v>1408</v>
      </c>
      <c r="H36" s="280">
        <f>+Pelhřimov!O33</f>
        <v>1408</v>
      </c>
      <c r="I36" s="280">
        <f t="shared" si="10"/>
        <v>0</v>
      </c>
      <c r="J36" s="294">
        <f t="shared" si="11"/>
        <v>1</v>
      </c>
      <c r="K36" s="330">
        <f>+H36/Pelhřimov!O35</f>
        <v>0.003226360834545892</v>
      </c>
    </row>
    <row r="37" spans="1:11" s="278" customFormat="1" ht="17.25" customHeight="1">
      <c r="A37" s="306" t="s">
        <v>71</v>
      </c>
      <c r="B37" s="295">
        <f>+Třebíč!K19</f>
        <v>22520</v>
      </c>
      <c r="C37" s="280">
        <f>+Třebíč!R19</f>
        <v>25081.847</v>
      </c>
      <c r="D37" s="280">
        <f t="shared" si="8"/>
        <v>2561.8470000000016</v>
      </c>
      <c r="E37" s="294">
        <f t="shared" si="9"/>
        <v>1.1137587477797515</v>
      </c>
      <c r="F37" s="434">
        <f>+C37/Třebíč!R35</f>
        <v>0.044197391738362006</v>
      </c>
      <c r="G37" s="295">
        <f>+Třebíč!K33</f>
        <v>5213.525</v>
      </c>
      <c r="H37" s="280">
        <f>+Třebíč!R33</f>
        <v>4810</v>
      </c>
      <c r="I37" s="280">
        <f t="shared" si="10"/>
        <v>-403.52499999999964</v>
      </c>
      <c r="J37" s="294">
        <f t="shared" si="11"/>
        <v>0.9226003519691572</v>
      </c>
      <c r="K37" s="330">
        <f>+H37/Třebíč!R35</f>
        <v>0.008475829322358965</v>
      </c>
    </row>
    <row r="38" spans="1:11" s="278" customFormat="1" ht="31.5" customHeight="1" thickBot="1">
      <c r="A38" s="307" t="s">
        <v>79</v>
      </c>
      <c r="B38" s="296">
        <f>+'N.Město'!J19+'N.Město'!J20</f>
        <v>24000</v>
      </c>
      <c r="C38" s="283">
        <f>+'N.Město'!Q20+'N.Město'!Q19</f>
        <v>24000</v>
      </c>
      <c r="D38" s="283">
        <f t="shared" si="8"/>
        <v>0</v>
      </c>
      <c r="E38" s="297">
        <f t="shared" si="9"/>
        <v>1</v>
      </c>
      <c r="F38" s="435">
        <f>+C38/'N.Město'!Q35</f>
        <v>0.04062597862057875</v>
      </c>
      <c r="G38" s="296">
        <f>+'N.Město'!J33</f>
        <v>4901</v>
      </c>
      <c r="H38" s="283">
        <f>+'N.Město'!Q33</f>
        <v>4901</v>
      </c>
      <c r="I38" s="283">
        <f t="shared" si="10"/>
        <v>0</v>
      </c>
      <c r="J38" s="297">
        <f t="shared" si="11"/>
        <v>1</v>
      </c>
      <c r="K38" s="458">
        <f>+H38/'N.Město'!Q35</f>
        <v>0.00829616338414402</v>
      </c>
    </row>
    <row r="39" spans="1:11" s="288" customFormat="1" ht="22.5" customHeight="1" thickBot="1">
      <c r="A39" s="308" t="s">
        <v>6</v>
      </c>
      <c r="B39" s="298">
        <f>SUM(B34:B38)</f>
        <v>118920</v>
      </c>
      <c r="C39" s="286">
        <f>SUM(C34:C38)</f>
        <v>127789.84700000001</v>
      </c>
      <c r="D39" s="286">
        <f t="shared" si="8"/>
        <v>8869.847000000009</v>
      </c>
      <c r="E39" s="299">
        <f t="shared" si="9"/>
        <v>1.0745866717120753</v>
      </c>
      <c r="F39" s="436"/>
      <c r="G39" s="298">
        <f>SUM(G34:G38)</f>
        <v>15722.525</v>
      </c>
      <c r="H39" s="286">
        <f>SUM(H34:H38)</f>
        <v>15319</v>
      </c>
      <c r="I39" s="286">
        <f t="shared" si="10"/>
        <v>-403.52499999999964</v>
      </c>
      <c r="J39" s="299">
        <f t="shared" si="11"/>
        <v>0.9743345932030638</v>
      </c>
      <c r="K39" s="331"/>
    </row>
    <row r="40" ht="6" customHeight="1" thickBot="1"/>
    <row r="41" spans="1:11" s="288" customFormat="1" ht="14.25" customHeight="1" thickBot="1">
      <c r="A41" s="609" t="s">
        <v>73</v>
      </c>
      <c r="B41" s="604" t="s">
        <v>84</v>
      </c>
      <c r="C41" s="605"/>
      <c r="D41" s="605"/>
      <c r="E41" s="605"/>
      <c r="F41" s="611"/>
      <c r="G41" s="604" t="s">
        <v>85</v>
      </c>
      <c r="H41" s="605"/>
      <c r="I41" s="605"/>
      <c r="J41" s="605"/>
      <c r="K41" s="606"/>
    </row>
    <row r="42" spans="1:11" s="288" customFormat="1" ht="33" customHeight="1" thickBot="1">
      <c r="A42" s="610"/>
      <c r="B42" s="321" t="s">
        <v>90</v>
      </c>
      <c r="C42" s="322" t="s">
        <v>91</v>
      </c>
      <c r="D42" s="291" t="s">
        <v>9</v>
      </c>
      <c r="E42" s="292" t="s">
        <v>60</v>
      </c>
      <c r="F42" s="455" t="s">
        <v>254</v>
      </c>
      <c r="G42" s="321" t="s">
        <v>90</v>
      </c>
      <c r="H42" s="322" t="s">
        <v>91</v>
      </c>
      <c r="I42" s="291" t="s">
        <v>9</v>
      </c>
      <c r="J42" s="292" t="s">
        <v>60</v>
      </c>
      <c r="K42" s="456" t="s">
        <v>254</v>
      </c>
    </row>
    <row r="43" spans="1:11" s="278" customFormat="1" ht="18.75" customHeight="1">
      <c r="A43" s="305" t="s">
        <v>68</v>
      </c>
      <c r="B43" s="276">
        <f>+'H.Brod'!J8</f>
        <v>501377</v>
      </c>
      <c r="C43" s="276">
        <f>+'H.Brod'!Q8</f>
        <v>506950</v>
      </c>
      <c r="D43" s="280">
        <f aca="true" t="shared" si="12" ref="D43:D48">+C43-B43</f>
        <v>5573</v>
      </c>
      <c r="E43" s="294">
        <f aca="true" t="shared" si="13" ref="E43:E48">+C43/B43</f>
        <v>1.01111538822084</v>
      </c>
      <c r="F43" s="437">
        <f>+C43/'H.Brod'!Q16</f>
        <v>0.8438211055978987</v>
      </c>
      <c r="G43" s="293">
        <f>+'H.Brod'!J9</f>
        <v>49862</v>
      </c>
      <c r="H43" s="276">
        <f>+'H.Brod'!Q9</f>
        <v>53600</v>
      </c>
      <c r="I43" s="280">
        <f aca="true" t="shared" si="14" ref="I43:I48">+H43-G43</f>
        <v>3738</v>
      </c>
      <c r="J43" s="294">
        <f aca="true" t="shared" si="15" ref="J43:J48">+H43/G43</f>
        <v>1.0749669086679234</v>
      </c>
      <c r="K43" s="459">
        <f>+H43/'H.Brod'!Q16</f>
        <v>0.08921749928010134</v>
      </c>
    </row>
    <row r="44" spans="1:11" s="278" customFormat="1" ht="18.75" customHeight="1">
      <c r="A44" s="306" t="s">
        <v>69</v>
      </c>
      <c r="B44" s="280">
        <f>+Jihlava!H8</f>
        <v>613650</v>
      </c>
      <c r="C44" s="280">
        <f>+Jihlava!O8</f>
        <v>626566.497</v>
      </c>
      <c r="D44" s="280">
        <f t="shared" si="12"/>
        <v>12916.496999999974</v>
      </c>
      <c r="E44" s="294">
        <f t="shared" si="13"/>
        <v>1.0210486384747006</v>
      </c>
      <c r="F44" s="438">
        <f>+C44/Jihlava!O16</f>
        <v>0.7800004343014713</v>
      </c>
      <c r="G44" s="295">
        <f>+Jihlava!H9</f>
        <v>99766</v>
      </c>
      <c r="H44" s="280">
        <f>+Jihlava!O9</f>
        <v>100666</v>
      </c>
      <c r="I44" s="280">
        <f t="shared" si="14"/>
        <v>900</v>
      </c>
      <c r="J44" s="294">
        <f t="shared" si="15"/>
        <v>1.0090211093959867</v>
      </c>
      <c r="K44" s="294">
        <f>+H44/Jihlava!O16</f>
        <v>0.12531714366367072</v>
      </c>
    </row>
    <row r="45" spans="1:11" s="278" customFormat="1" ht="18.75" customHeight="1">
      <c r="A45" s="306" t="s">
        <v>70</v>
      </c>
      <c r="B45" s="280">
        <f>+Pelhřimov!H8</f>
        <v>339700</v>
      </c>
      <c r="C45" s="280">
        <f>+Pelhřimov!O8</f>
        <v>339700</v>
      </c>
      <c r="D45" s="280">
        <f t="shared" si="12"/>
        <v>0</v>
      </c>
      <c r="E45" s="294">
        <f t="shared" si="13"/>
        <v>1</v>
      </c>
      <c r="F45" s="438">
        <f>+C45/Pelhřimov!O16</f>
        <v>0.8126424875424323</v>
      </c>
      <c r="G45" s="295">
        <f>+Pelhřimov!H9</f>
        <v>46000</v>
      </c>
      <c r="H45" s="280">
        <f>+Pelhřimov!O9</f>
        <v>46000</v>
      </c>
      <c r="I45" s="280">
        <f t="shared" si="14"/>
        <v>0</v>
      </c>
      <c r="J45" s="294">
        <f t="shared" si="15"/>
        <v>1</v>
      </c>
      <c r="K45" s="294">
        <f>+H45/Pelhřimov!O16</f>
        <v>0.11004284494245477</v>
      </c>
    </row>
    <row r="46" spans="1:11" s="278" customFormat="1" ht="18.75" customHeight="1">
      <c r="A46" s="306" t="s">
        <v>71</v>
      </c>
      <c r="B46" s="280">
        <f>+Třebíč!K8</f>
        <v>491662</v>
      </c>
      <c r="C46" s="280">
        <f>+Třebíč!R8</f>
        <v>510209.7482857143</v>
      </c>
      <c r="D46" s="280">
        <f t="shared" si="12"/>
        <v>18547.748285714304</v>
      </c>
      <c r="E46" s="294">
        <f t="shared" si="13"/>
        <v>1.0377245918653757</v>
      </c>
      <c r="F46" s="438">
        <f>+C46/Třebíč!R16</f>
        <v>0.9113894782711641</v>
      </c>
      <c r="G46" s="295">
        <f>+Třebíč!K9</f>
        <v>39100</v>
      </c>
      <c r="H46" s="280">
        <f>+Třebíč!R9</f>
        <v>42559.915857142856</v>
      </c>
      <c r="I46" s="280">
        <f t="shared" si="14"/>
        <v>3459.915857142856</v>
      </c>
      <c r="J46" s="294">
        <f t="shared" si="15"/>
        <v>1.0884888966021191</v>
      </c>
      <c r="K46" s="294">
        <f>+H46/Třebíč!R16</f>
        <v>0.07602492825477075</v>
      </c>
    </row>
    <row r="47" spans="1:11" s="278" customFormat="1" ht="27" customHeight="1" thickBot="1">
      <c r="A47" s="307" t="s">
        <v>79</v>
      </c>
      <c r="B47" s="283">
        <f>+'N.Město'!J8</f>
        <v>493724</v>
      </c>
      <c r="C47" s="283">
        <f>+'N.Město'!Q8</f>
        <v>497000</v>
      </c>
      <c r="D47" s="283">
        <f t="shared" si="12"/>
        <v>3276</v>
      </c>
      <c r="E47" s="297">
        <f t="shared" si="13"/>
        <v>1.0066352861112686</v>
      </c>
      <c r="F47" s="439">
        <f>+C47/'N.Město'!Q16</f>
        <v>0.8513364440516078</v>
      </c>
      <c r="G47" s="296">
        <f>+'N.Město'!J9</f>
        <v>50457</v>
      </c>
      <c r="H47" s="283">
        <f>+'N.Město'!Q9</f>
        <v>50457</v>
      </c>
      <c r="I47" s="283">
        <f t="shared" si="14"/>
        <v>0</v>
      </c>
      <c r="J47" s="297">
        <f t="shared" si="15"/>
        <v>1</v>
      </c>
      <c r="K47" s="297">
        <f>+H47/'N.Město'!Q16</f>
        <v>0.0864303480030422</v>
      </c>
    </row>
    <row r="48" spans="1:11" s="288" customFormat="1" ht="22.5" customHeight="1" thickBot="1">
      <c r="A48" s="308" t="s">
        <v>6</v>
      </c>
      <c r="B48" s="286">
        <f>SUM(B43:B47)</f>
        <v>2440113</v>
      </c>
      <c r="C48" s="286">
        <f>SUM(C43:C47)</f>
        <v>2480426.245285714</v>
      </c>
      <c r="D48" s="286">
        <f t="shared" si="12"/>
        <v>40313.245285714045</v>
      </c>
      <c r="E48" s="299">
        <f t="shared" si="13"/>
        <v>1.0165210567238951</v>
      </c>
      <c r="F48" s="440"/>
      <c r="G48" s="298">
        <f>SUM(G43:G47)</f>
        <v>285185</v>
      </c>
      <c r="H48" s="286">
        <f>SUM(H43:H47)</f>
        <v>293282.9158571429</v>
      </c>
      <c r="I48" s="286">
        <f t="shared" si="14"/>
        <v>8097.915857142885</v>
      </c>
      <c r="J48" s="299">
        <f t="shared" si="15"/>
        <v>1.028395307807714</v>
      </c>
      <c r="K48" s="299"/>
    </row>
    <row r="49" ht="15" customHeight="1">
      <c r="A49" s="309"/>
    </row>
    <row r="50" spans="1:8" s="462" customFormat="1" ht="12.75">
      <c r="A50" s="460"/>
      <c r="B50" s="461"/>
      <c r="C50" s="461"/>
      <c r="D50" s="461"/>
      <c r="E50" s="461"/>
      <c r="F50" s="461"/>
      <c r="G50" s="461"/>
      <c r="H50" s="461"/>
    </row>
  </sheetData>
  <mergeCells count="17">
    <mergeCell ref="Q3:Q4"/>
    <mergeCell ref="G32:K32"/>
    <mergeCell ref="G41:K41"/>
    <mergeCell ref="D13:K13"/>
    <mergeCell ref="A41:A42"/>
    <mergeCell ref="A32:A33"/>
    <mergeCell ref="B32:F32"/>
    <mergeCell ref="B41:F41"/>
    <mergeCell ref="A22:A23"/>
    <mergeCell ref="B13:B14"/>
    <mergeCell ref="B22:F22"/>
    <mergeCell ref="G22:K22"/>
    <mergeCell ref="C13:C14"/>
    <mergeCell ref="A3:A4"/>
    <mergeCell ref="A13:A14"/>
    <mergeCell ref="B3:B4"/>
    <mergeCell ref="C3:K3"/>
  </mergeCells>
  <printOptions horizontalCentered="1"/>
  <pageMargins left="0.17" right="0.2362204724409449" top="0.47" bottom="0.3" header="0.34" footer="0.1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A38"/>
  <sheetViews>
    <sheetView workbookViewId="0" topLeftCell="L3">
      <selection activeCell="V52" sqref="V52"/>
    </sheetView>
  </sheetViews>
  <sheetFormatPr defaultColWidth="9.00390625" defaultRowHeight="12.75"/>
  <cols>
    <col min="1" max="1" width="32.25390625" style="109" customWidth="1"/>
    <col min="2" max="2" width="2.625" style="44" customWidth="1"/>
    <col min="3" max="3" width="10.125" style="112" hidden="1" customWidth="1"/>
    <col min="4" max="5" width="10.00390625" style="112" hidden="1" customWidth="1"/>
    <col min="6" max="6" width="9.625" style="112" hidden="1" customWidth="1"/>
    <col min="7" max="7" width="10.00390625" style="112" customWidth="1"/>
    <col min="8" max="8" width="8.875" style="181" customWidth="1"/>
    <col min="9" max="9" width="9.375" style="109" customWidth="1"/>
    <col min="10" max="10" width="9.625" style="109" customWidth="1"/>
    <col min="11" max="11" width="8.875" style="181" customWidth="1"/>
    <col min="12" max="12" width="9.375" style="109" customWidth="1"/>
    <col min="13" max="13" width="9.625" style="109" customWidth="1"/>
    <col min="14" max="14" width="7.875" style="109" customWidth="1"/>
    <col min="15" max="15" width="8.875" style="109" customWidth="1"/>
    <col min="16" max="17" width="9.125" style="48" customWidth="1"/>
    <col min="18" max="19" width="8.25390625" style="48" customWidth="1"/>
    <col min="20" max="20" width="29.125" style="48" customWidth="1"/>
    <col min="21" max="16384" width="9.125" style="48" customWidth="1"/>
  </cols>
  <sheetData>
    <row r="1" ht="1.5" customHeight="1">
      <c r="O1" s="47"/>
    </row>
    <row r="2" spans="1:15" ht="15.75" customHeight="1" thickBot="1">
      <c r="A2" s="4" t="s">
        <v>49</v>
      </c>
      <c r="B2" s="4"/>
      <c r="C2" s="49"/>
      <c r="D2" s="49"/>
      <c r="E2" s="49"/>
      <c r="F2" s="49"/>
      <c r="G2" s="49"/>
      <c r="O2" s="47"/>
    </row>
    <row r="3" spans="1:20" ht="23.25" customHeight="1" thickBot="1">
      <c r="A3" s="620" t="s">
        <v>0</v>
      </c>
      <c r="B3" s="614" t="s">
        <v>67</v>
      </c>
      <c r="C3" s="630" t="s">
        <v>56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3"/>
    </row>
    <row r="4" spans="1:27" ht="23.25" customHeight="1">
      <c r="A4" s="701"/>
      <c r="B4" s="615"/>
      <c r="C4" s="703" t="s">
        <v>1</v>
      </c>
      <c r="D4" s="706" t="s">
        <v>2</v>
      </c>
      <c r="E4" s="149" t="s">
        <v>3</v>
      </c>
      <c r="F4" s="50"/>
      <c r="G4" s="707" t="s">
        <v>48</v>
      </c>
      <c r="H4" s="623" t="s">
        <v>365</v>
      </c>
      <c r="I4" s="590"/>
      <c r="J4" s="624"/>
      <c r="K4" s="653" t="s">
        <v>46</v>
      </c>
      <c r="L4" s="654"/>
      <c r="M4" s="654"/>
      <c r="N4" s="252" t="s">
        <v>64</v>
      </c>
      <c r="O4" s="653" t="s">
        <v>44</v>
      </c>
      <c r="P4" s="654"/>
      <c r="Q4" s="655"/>
      <c r="R4" s="684" t="s">
        <v>45</v>
      </c>
      <c r="S4" s="655"/>
      <c r="T4" s="627" t="s">
        <v>65</v>
      </c>
      <c r="U4" s="44"/>
      <c r="V4" s="44"/>
      <c r="W4" s="44"/>
      <c r="X4" s="44"/>
      <c r="Y4" s="44"/>
      <c r="Z4" s="44"/>
      <c r="AA4" s="44"/>
    </row>
    <row r="5" spans="1:20" s="107" customFormat="1" ht="12.75" customHeight="1">
      <c r="A5" s="701"/>
      <c r="B5" s="615"/>
      <c r="C5" s="704"/>
      <c r="D5" s="589"/>
      <c r="E5" s="150" t="s">
        <v>55</v>
      </c>
      <c r="F5" s="151" t="s">
        <v>5</v>
      </c>
      <c r="G5" s="586"/>
      <c r="H5" s="8" t="s">
        <v>4</v>
      </c>
      <c r="I5" s="6" t="s">
        <v>5</v>
      </c>
      <c r="J5" s="7" t="s">
        <v>6</v>
      </c>
      <c r="K5" s="8" t="s">
        <v>4</v>
      </c>
      <c r="L5" s="6" t="s">
        <v>5</v>
      </c>
      <c r="M5" s="222" t="s">
        <v>6</v>
      </c>
      <c r="N5" s="253" t="s">
        <v>7</v>
      </c>
      <c r="O5" s="8" t="s">
        <v>4</v>
      </c>
      <c r="P5" s="6" t="s">
        <v>5</v>
      </c>
      <c r="Q5" s="7" t="s">
        <v>6</v>
      </c>
      <c r="R5" s="9" t="s">
        <v>6</v>
      </c>
      <c r="S5" s="7" t="s">
        <v>7</v>
      </c>
      <c r="T5" s="628"/>
    </row>
    <row r="6" spans="1:20" s="107" customFormat="1" ht="10.5" customHeight="1" thickBot="1">
      <c r="A6" s="702"/>
      <c r="B6" s="616"/>
      <c r="C6" s="705"/>
      <c r="D6" s="538"/>
      <c r="E6" s="182" t="s">
        <v>8</v>
      </c>
      <c r="F6" s="183" t="s">
        <v>8</v>
      </c>
      <c r="G6" s="587"/>
      <c r="H6" s="12" t="s">
        <v>8</v>
      </c>
      <c r="I6" s="10" t="s">
        <v>8</v>
      </c>
      <c r="J6" s="11"/>
      <c r="K6" s="12" t="s">
        <v>8</v>
      </c>
      <c r="L6" s="10" t="s">
        <v>8</v>
      </c>
      <c r="M6" s="223"/>
      <c r="N6" s="254" t="s">
        <v>10</v>
      </c>
      <c r="O6" s="12" t="s">
        <v>8</v>
      </c>
      <c r="P6" s="10" t="s">
        <v>8</v>
      </c>
      <c r="Q6" s="11"/>
      <c r="R6" s="13" t="s">
        <v>9</v>
      </c>
      <c r="S6" s="11" t="s">
        <v>10</v>
      </c>
      <c r="T6" s="629"/>
    </row>
    <row r="7" spans="1:20" s="45" customFormat="1" ht="9.75" customHeight="1">
      <c r="A7" s="184" t="s">
        <v>11</v>
      </c>
      <c r="B7" s="250">
        <v>1</v>
      </c>
      <c r="C7" s="85">
        <v>0</v>
      </c>
      <c r="D7" s="217">
        <v>0</v>
      </c>
      <c r="E7" s="100"/>
      <c r="F7" s="101"/>
      <c r="G7" s="185"/>
      <c r="H7" s="180"/>
      <c r="I7" s="101"/>
      <c r="J7" s="185">
        <v>0</v>
      </c>
      <c r="K7" s="180"/>
      <c r="L7" s="101"/>
      <c r="M7" s="185"/>
      <c r="N7" s="255"/>
      <c r="O7" s="56"/>
      <c r="P7" s="57"/>
      <c r="Q7" s="58"/>
      <c r="R7" s="19"/>
      <c r="S7" s="20"/>
      <c r="T7" s="241"/>
    </row>
    <row r="8" spans="1:20" s="45" customFormat="1" ht="18" customHeight="1">
      <c r="A8" s="186" t="s">
        <v>12</v>
      </c>
      <c r="B8" s="251">
        <v>2</v>
      </c>
      <c r="C8" s="85">
        <v>431570</v>
      </c>
      <c r="D8" s="217">
        <v>439420.29</v>
      </c>
      <c r="E8" s="104">
        <v>472314</v>
      </c>
      <c r="F8" s="103">
        <v>932</v>
      </c>
      <c r="G8" s="187">
        <f aca="true" t="shared" si="0" ref="G8:G35">E8+F8</f>
        <v>473246</v>
      </c>
      <c r="H8" s="102">
        <f>485594+800*9</f>
        <v>492794</v>
      </c>
      <c r="I8" s="103">
        <v>930</v>
      </c>
      <c r="J8" s="187">
        <f>+H8+I8</f>
        <v>493724</v>
      </c>
      <c r="K8" s="102">
        <v>242276.96</v>
      </c>
      <c r="L8" s="103">
        <v>494.34</v>
      </c>
      <c r="M8" s="187">
        <f>+K8+L8</f>
        <v>242771.3</v>
      </c>
      <c r="N8" s="256">
        <f>+M8/J8</f>
        <v>0.49171460168029096</v>
      </c>
      <c r="O8" s="102">
        <v>496070</v>
      </c>
      <c r="P8" s="103">
        <v>930</v>
      </c>
      <c r="Q8" s="263">
        <f>+O8+P8</f>
        <v>497000</v>
      </c>
      <c r="R8" s="19">
        <f aca="true" t="shared" si="1" ref="R8:R35">+Q8-J8</f>
        <v>3276</v>
      </c>
      <c r="S8" s="25">
        <f aca="true" t="shared" si="2" ref="S8:S13">+Q8/J8</f>
        <v>1.0066352861112686</v>
      </c>
      <c r="T8" s="146" t="s">
        <v>362</v>
      </c>
    </row>
    <row r="9" spans="1:20" s="45" customFormat="1" ht="18" customHeight="1">
      <c r="A9" s="186" t="s">
        <v>13</v>
      </c>
      <c r="B9" s="248">
        <v>3</v>
      </c>
      <c r="C9" s="85">
        <v>41027</v>
      </c>
      <c r="D9" s="217">
        <v>49432.27</v>
      </c>
      <c r="E9" s="104">
        <v>45669</v>
      </c>
      <c r="F9" s="103">
        <v>2524</v>
      </c>
      <c r="G9" s="187">
        <f t="shared" si="0"/>
        <v>48193</v>
      </c>
      <c r="H9" s="102">
        <v>48257</v>
      </c>
      <c r="I9" s="103">
        <v>2200</v>
      </c>
      <c r="J9" s="187">
        <v>50457</v>
      </c>
      <c r="K9" s="102">
        <v>25234.71</v>
      </c>
      <c r="L9" s="103">
        <v>1738.27</v>
      </c>
      <c r="M9" s="187">
        <f aca="true" t="shared" si="3" ref="M9:M15">+K9+L9</f>
        <v>26972.98</v>
      </c>
      <c r="N9" s="256">
        <f aca="true" t="shared" si="4" ref="N9:N36">+M9/J9</f>
        <v>0.5345735973204907</v>
      </c>
      <c r="O9" s="102">
        <v>48257</v>
      </c>
      <c r="P9" s="103">
        <v>2200</v>
      </c>
      <c r="Q9" s="263">
        <f aca="true" t="shared" si="5" ref="Q9:Q15">+O9+P9</f>
        <v>50457</v>
      </c>
      <c r="R9" s="19">
        <f t="shared" si="1"/>
        <v>0</v>
      </c>
      <c r="S9" s="25">
        <f t="shared" si="2"/>
        <v>1</v>
      </c>
      <c r="T9" s="146"/>
    </row>
    <row r="10" spans="1:20" s="45" customFormat="1" ht="18" customHeight="1">
      <c r="A10" s="186" t="s">
        <v>14</v>
      </c>
      <c r="B10" s="251">
        <v>4</v>
      </c>
      <c r="C10" s="85">
        <v>13827</v>
      </c>
      <c r="D10" s="217">
        <v>13075.16</v>
      </c>
      <c r="E10" s="104">
        <v>10917</v>
      </c>
      <c r="F10" s="103">
        <v>0</v>
      </c>
      <c r="G10" s="187">
        <f t="shared" si="0"/>
        <v>10917</v>
      </c>
      <c r="H10" s="102">
        <v>11000</v>
      </c>
      <c r="I10" s="103"/>
      <c r="J10" s="187">
        <v>11000</v>
      </c>
      <c r="K10" s="102">
        <v>4991.2</v>
      </c>
      <c r="L10" s="103"/>
      <c r="M10" s="187">
        <f t="shared" si="3"/>
        <v>4991.2</v>
      </c>
      <c r="N10" s="256">
        <f t="shared" si="4"/>
        <v>0.4537454545454545</v>
      </c>
      <c r="O10" s="102">
        <v>11000</v>
      </c>
      <c r="P10" s="103">
        <v>0</v>
      </c>
      <c r="Q10" s="263">
        <f t="shared" si="5"/>
        <v>11000</v>
      </c>
      <c r="R10" s="19">
        <f t="shared" si="1"/>
        <v>0</v>
      </c>
      <c r="S10" s="25">
        <f t="shared" si="2"/>
        <v>1</v>
      </c>
      <c r="T10" s="146"/>
    </row>
    <row r="11" spans="1:20" s="45" customFormat="1" ht="18" customHeight="1">
      <c r="A11" s="186" t="s">
        <v>15</v>
      </c>
      <c r="B11" s="248">
        <v>5</v>
      </c>
      <c r="C11" s="85">
        <v>5219</v>
      </c>
      <c r="D11" s="217">
        <v>2139.75</v>
      </c>
      <c r="E11" s="104">
        <v>2607</v>
      </c>
      <c r="F11" s="103">
        <v>299</v>
      </c>
      <c r="G11" s="187">
        <f t="shared" si="0"/>
        <v>2906</v>
      </c>
      <c r="H11" s="102">
        <v>2700</v>
      </c>
      <c r="I11" s="103">
        <v>300</v>
      </c>
      <c r="J11" s="187">
        <v>3000</v>
      </c>
      <c r="K11" s="102">
        <f>198.15+35.18+3173.9+842.36</f>
        <v>4249.59</v>
      </c>
      <c r="L11" s="103">
        <v>152.3</v>
      </c>
      <c r="M11" s="187">
        <f t="shared" si="3"/>
        <v>4401.89</v>
      </c>
      <c r="N11" s="256">
        <f t="shared" si="4"/>
        <v>1.4672966666666667</v>
      </c>
      <c r="O11" s="102">
        <v>2700</v>
      </c>
      <c r="P11" s="103">
        <v>300</v>
      </c>
      <c r="Q11" s="263">
        <f t="shared" si="5"/>
        <v>3000</v>
      </c>
      <c r="R11" s="19">
        <f t="shared" si="1"/>
        <v>0</v>
      </c>
      <c r="S11" s="25">
        <f t="shared" si="2"/>
        <v>1</v>
      </c>
      <c r="T11" s="146"/>
    </row>
    <row r="12" spans="1:20" s="45" customFormat="1" ht="18" customHeight="1">
      <c r="A12" s="186" t="s">
        <v>16</v>
      </c>
      <c r="B12" s="251">
        <v>6</v>
      </c>
      <c r="C12" s="85">
        <v>0</v>
      </c>
      <c r="D12" s="217">
        <v>0</v>
      </c>
      <c r="E12" s="104"/>
      <c r="F12" s="103"/>
      <c r="G12" s="187">
        <f t="shared" si="0"/>
        <v>0</v>
      </c>
      <c r="H12" s="102"/>
      <c r="I12" s="103"/>
      <c r="J12" s="187">
        <v>0</v>
      </c>
      <c r="K12" s="102">
        <v>3173.9</v>
      </c>
      <c r="L12" s="103"/>
      <c r="M12" s="187">
        <f t="shared" si="3"/>
        <v>3173.9</v>
      </c>
      <c r="N12" s="256"/>
      <c r="O12" s="102"/>
      <c r="P12" s="103"/>
      <c r="Q12" s="263">
        <f t="shared" si="5"/>
        <v>0</v>
      </c>
      <c r="R12" s="19">
        <f t="shared" si="1"/>
        <v>0</v>
      </c>
      <c r="S12" s="25" t="e">
        <f t="shared" si="2"/>
        <v>#DIV/0!</v>
      </c>
      <c r="T12" s="146"/>
    </row>
    <row r="13" spans="1:20" s="45" customFormat="1" ht="18" customHeight="1">
      <c r="A13" s="186" t="s">
        <v>17</v>
      </c>
      <c r="B13" s="248">
        <v>7</v>
      </c>
      <c r="C13" s="85">
        <v>6081</v>
      </c>
      <c r="D13" s="217">
        <v>4831.66</v>
      </c>
      <c r="E13" s="104">
        <v>4149</v>
      </c>
      <c r="F13" s="103">
        <v>20</v>
      </c>
      <c r="G13" s="187">
        <f t="shared" si="0"/>
        <v>4169</v>
      </c>
      <c r="H13" s="102">
        <v>3980</v>
      </c>
      <c r="I13" s="103">
        <v>20</v>
      </c>
      <c r="J13" s="187">
        <v>4000</v>
      </c>
      <c r="K13" s="102">
        <v>1715.06</v>
      </c>
      <c r="L13" s="103"/>
      <c r="M13" s="187">
        <f t="shared" si="3"/>
        <v>1715.06</v>
      </c>
      <c r="N13" s="256">
        <f t="shared" si="4"/>
        <v>0.428765</v>
      </c>
      <c r="O13" s="102">
        <v>3980</v>
      </c>
      <c r="P13" s="103">
        <v>20</v>
      </c>
      <c r="Q13" s="263">
        <f t="shared" si="5"/>
        <v>4000</v>
      </c>
      <c r="R13" s="19">
        <f t="shared" si="1"/>
        <v>0</v>
      </c>
      <c r="S13" s="25">
        <f t="shared" si="2"/>
        <v>1</v>
      </c>
      <c r="T13" s="146"/>
    </row>
    <row r="14" spans="1:20" s="45" customFormat="1" ht="20.25" customHeight="1">
      <c r="A14" s="186" t="s">
        <v>18</v>
      </c>
      <c r="B14" s="248">
        <v>8</v>
      </c>
      <c r="C14" s="85">
        <v>0</v>
      </c>
      <c r="D14" s="217">
        <v>0</v>
      </c>
      <c r="E14" s="104"/>
      <c r="F14" s="103"/>
      <c r="G14" s="187">
        <f t="shared" si="0"/>
        <v>0</v>
      </c>
      <c r="H14" s="102"/>
      <c r="I14" s="103"/>
      <c r="J14" s="187"/>
      <c r="K14" s="102"/>
      <c r="L14" s="103"/>
      <c r="M14" s="187"/>
      <c r="N14" s="256"/>
      <c r="O14" s="102"/>
      <c r="P14" s="103"/>
      <c r="Q14" s="263">
        <f t="shared" si="5"/>
        <v>0</v>
      </c>
      <c r="R14" s="19">
        <f t="shared" si="1"/>
        <v>0</v>
      </c>
      <c r="S14" s="25"/>
      <c r="T14" s="146"/>
    </row>
    <row r="15" spans="1:20" s="45" customFormat="1" ht="22.5" customHeight="1" thickBot="1">
      <c r="A15" s="188" t="s">
        <v>19</v>
      </c>
      <c r="B15" s="251">
        <v>9</v>
      </c>
      <c r="C15" s="85">
        <v>24713</v>
      </c>
      <c r="D15" s="217">
        <v>25252</v>
      </c>
      <c r="E15" s="189">
        <v>17481</v>
      </c>
      <c r="F15" s="190"/>
      <c r="G15" s="187">
        <f t="shared" si="0"/>
        <v>17481</v>
      </c>
      <c r="H15" s="191">
        <f>18741-2500+281.237+10</f>
        <v>16532.237</v>
      </c>
      <c r="I15" s="190"/>
      <c r="J15" s="187">
        <f>SUM(H15:I15)</f>
        <v>16532.237</v>
      </c>
      <c r="K15" s="191">
        <v>9206.68</v>
      </c>
      <c r="L15" s="190"/>
      <c r="M15" s="187">
        <f t="shared" si="3"/>
        <v>9206.68</v>
      </c>
      <c r="N15" s="257">
        <f t="shared" si="4"/>
        <v>0.5568925729772686</v>
      </c>
      <c r="O15" s="191">
        <v>18331</v>
      </c>
      <c r="P15" s="264">
        <v>0</v>
      </c>
      <c r="Q15" s="263">
        <f t="shared" si="5"/>
        <v>18331</v>
      </c>
      <c r="R15" s="19">
        <f t="shared" si="1"/>
        <v>1798.762999999999</v>
      </c>
      <c r="S15" s="25">
        <f>+Q15/J15</f>
        <v>1.1088033639972619</v>
      </c>
      <c r="T15" s="173"/>
    </row>
    <row r="16" spans="1:20" s="45" customFormat="1" ht="21.75" customHeight="1" thickBot="1">
      <c r="A16" s="88" t="s">
        <v>20</v>
      </c>
      <c r="B16" s="247">
        <v>10</v>
      </c>
      <c r="C16" s="79">
        <v>522437</v>
      </c>
      <c r="D16" s="77">
        <v>534151.13</v>
      </c>
      <c r="E16" s="89">
        <f>SUM(E7+E8+E9+E10+E11+E13+E15)</f>
        <v>553137</v>
      </c>
      <c r="F16" s="79">
        <f>SUM(F7+F8+F9+F10+F11+F13+F15)</f>
        <v>3775</v>
      </c>
      <c r="G16" s="77">
        <f t="shared" si="0"/>
        <v>556912</v>
      </c>
      <c r="H16" s="89">
        <f aca="true" t="shared" si="6" ref="H16:M16">SUM(H7+H8+H9+H10+H11+H13+H15)</f>
        <v>575263.237</v>
      </c>
      <c r="I16" s="91">
        <f t="shared" si="6"/>
        <v>3450</v>
      </c>
      <c r="J16" s="116">
        <f t="shared" si="6"/>
        <v>578713.237</v>
      </c>
      <c r="K16" s="89">
        <f t="shared" si="6"/>
        <v>287674.2</v>
      </c>
      <c r="L16" s="91">
        <f t="shared" si="6"/>
        <v>2384.9100000000003</v>
      </c>
      <c r="M16" s="116">
        <f t="shared" si="6"/>
        <v>290059.11</v>
      </c>
      <c r="N16" s="258">
        <f t="shared" si="4"/>
        <v>0.5012138853150165</v>
      </c>
      <c r="O16" s="89">
        <f>SUM(O7+O8+O9+O10+O11+O13+O15)</f>
        <v>580338</v>
      </c>
      <c r="P16" s="91">
        <f>SUM(P7+P8+P9+P10+P11+P13+P15)</f>
        <v>3450</v>
      </c>
      <c r="Q16" s="116">
        <f>SUM(Q7+Q8+Q9+Q10+Q11+Q13+Q15)</f>
        <v>583788</v>
      </c>
      <c r="R16" s="214">
        <f t="shared" si="1"/>
        <v>5074.763000000035</v>
      </c>
      <c r="S16" s="213">
        <f>+Q16/J16</f>
        <v>1.008769046006805</v>
      </c>
      <c r="T16" s="242"/>
    </row>
    <row r="17" spans="1:20" s="45" customFormat="1" ht="19.5" customHeight="1">
      <c r="A17" s="192" t="s">
        <v>21</v>
      </c>
      <c r="B17" s="250">
        <v>11</v>
      </c>
      <c r="C17" s="85">
        <v>139211</v>
      </c>
      <c r="D17" s="217">
        <v>135955.2</v>
      </c>
      <c r="E17" s="100">
        <v>133946</v>
      </c>
      <c r="F17" s="101">
        <v>437</v>
      </c>
      <c r="G17" s="187">
        <f t="shared" si="0"/>
        <v>134383</v>
      </c>
      <c r="H17" s="180">
        <v>132611</v>
      </c>
      <c r="I17" s="101">
        <v>428</v>
      </c>
      <c r="J17" s="187">
        <v>133039</v>
      </c>
      <c r="K17" s="180">
        <v>63538.85</v>
      </c>
      <c r="L17" s="101">
        <v>307.84</v>
      </c>
      <c r="M17" s="187">
        <f>+K17+L17</f>
        <v>63846.689999999995</v>
      </c>
      <c r="N17" s="255">
        <f t="shared" si="4"/>
        <v>0.47990957538766826</v>
      </c>
      <c r="O17" s="265">
        <v>129611</v>
      </c>
      <c r="P17" s="266">
        <v>428</v>
      </c>
      <c r="Q17" s="266">
        <f>+O17+P17</f>
        <v>130039</v>
      </c>
      <c r="R17" s="19">
        <f t="shared" si="1"/>
        <v>-3000</v>
      </c>
      <c r="S17" s="20">
        <f>+Q17/J17</f>
        <v>0.9774502213636603</v>
      </c>
      <c r="T17" s="243" t="s">
        <v>363</v>
      </c>
    </row>
    <row r="18" spans="1:20" s="45" customFormat="1" ht="19.5" customHeight="1">
      <c r="A18" s="186" t="s">
        <v>22</v>
      </c>
      <c r="B18" s="248">
        <v>12</v>
      </c>
      <c r="C18" s="85">
        <v>4365</v>
      </c>
      <c r="D18" s="217">
        <v>5266</v>
      </c>
      <c r="E18" s="100">
        <v>6176</v>
      </c>
      <c r="F18" s="101"/>
      <c r="G18" s="187">
        <f t="shared" si="0"/>
        <v>6176</v>
      </c>
      <c r="H18" s="180">
        <v>6000</v>
      </c>
      <c r="I18" s="101"/>
      <c r="J18" s="187">
        <v>6000</v>
      </c>
      <c r="K18" s="180"/>
      <c r="L18" s="101"/>
      <c r="M18" s="187">
        <f aca="true" t="shared" si="7" ref="M18:M34">+K18+L18</f>
        <v>0</v>
      </c>
      <c r="N18" s="256">
        <f t="shared" si="4"/>
        <v>0</v>
      </c>
      <c r="O18" s="180">
        <v>6000</v>
      </c>
      <c r="P18" s="101"/>
      <c r="Q18" s="101">
        <f aca="true" t="shared" si="8" ref="Q18:Q34">+O18+P18</f>
        <v>6000</v>
      </c>
      <c r="R18" s="19">
        <f t="shared" si="1"/>
        <v>0</v>
      </c>
      <c r="S18" s="20">
        <f>+Q18/J18</f>
        <v>1</v>
      </c>
      <c r="T18" s="146"/>
    </row>
    <row r="19" spans="1:20" s="45" customFormat="1" ht="19.5" customHeight="1">
      <c r="A19" s="186" t="s">
        <v>23</v>
      </c>
      <c r="B19" s="250">
        <v>13</v>
      </c>
      <c r="C19" s="85">
        <v>5482</v>
      </c>
      <c r="D19" s="217">
        <v>5797.31</v>
      </c>
      <c r="E19" s="193">
        <v>6517</v>
      </c>
      <c r="F19" s="103">
        <v>3</v>
      </c>
      <c r="G19" s="187">
        <f t="shared" si="0"/>
        <v>6520</v>
      </c>
      <c r="H19" s="194">
        <v>7996</v>
      </c>
      <c r="I19" s="195">
        <v>4</v>
      </c>
      <c r="J19" s="196">
        <f>SUM(H19:I19)</f>
        <v>8000</v>
      </c>
      <c r="K19" s="194">
        <v>3709.27</v>
      </c>
      <c r="L19" s="195">
        <v>1.38</v>
      </c>
      <c r="M19" s="187">
        <f t="shared" si="7"/>
        <v>3710.65</v>
      </c>
      <c r="N19" s="256">
        <f t="shared" si="4"/>
        <v>0.46383125000000003</v>
      </c>
      <c r="O19" s="102">
        <v>7996</v>
      </c>
      <c r="P19" s="103">
        <v>4</v>
      </c>
      <c r="Q19" s="103">
        <f t="shared" si="8"/>
        <v>8000</v>
      </c>
      <c r="R19" s="19">
        <f t="shared" si="1"/>
        <v>0</v>
      </c>
      <c r="S19" s="20">
        <f>+Q19/J19</f>
        <v>1</v>
      </c>
      <c r="T19" s="146"/>
    </row>
    <row r="20" spans="1:20" s="45" customFormat="1" ht="19.5" customHeight="1">
      <c r="A20" s="186" t="s">
        <v>24</v>
      </c>
      <c r="B20" s="251">
        <v>14</v>
      </c>
      <c r="C20" s="85">
        <v>12705</v>
      </c>
      <c r="D20" s="217">
        <v>13547.61</v>
      </c>
      <c r="E20" s="104">
        <v>14221</v>
      </c>
      <c r="F20" s="103">
        <v>138</v>
      </c>
      <c r="G20" s="187">
        <f t="shared" si="0"/>
        <v>14359</v>
      </c>
      <c r="H20" s="197">
        <v>15860</v>
      </c>
      <c r="I20" s="195">
        <v>140</v>
      </c>
      <c r="J20" s="196">
        <f>SUM(H20:I20)</f>
        <v>16000</v>
      </c>
      <c r="K20" s="197">
        <v>10490.85</v>
      </c>
      <c r="L20" s="195">
        <v>0.54</v>
      </c>
      <c r="M20" s="187">
        <f t="shared" si="7"/>
        <v>10491.390000000001</v>
      </c>
      <c r="N20" s="256">
        <f t="shared" si="4"/>
        <v>0.655711875</v>
      </c>
      <c r="O20" s="102">
        <v>15860</v>
      </c>
      <c r="P20" s="103">
        <v>140</v>
      </c>
      <c r="Q20" s="103">
        <f t="shared" si="8"/>
        <v>16000</v>
      </c>
      <c r="R20" s="19">
        <f t="shared" si="1"/>
        <v>0</v>
      </c>
      <c r="S20" s="20"/>
      <c r="T20" s="146"/>
    </row>
    <row r="21" spans="1:20" s="45" customFormat="1" ht="19.5" customHeight="1">
      <c r="A21" s="186" t="s">
        <v>25</v>
      </c>
      <c r="B21" s="248">
        <v>15</v>
      </c>
      <c r="C21" s="85">
        <v>32256</v>
      </c>
      <c r="D21" s="217">
        <v>41095.47</v>
      </c>
      <c r="E21" s="104">
        <v>38804</v>
      </c>
      <c r="F21" s="103">
        <v>2100</v>
      </c>
      <c r="G21" s="187">
        <f t="shared" si="0"/>
        <v>40904</v>
      </c>
      <c r="H21" s="102">
        <v>40950</v>
      </c>
      <c r="I21" s="103">
        <v>2000</v>
      </c>
      <c r="J21" s="187">
        <v>42950</v>
      </c>
      <c r="K21" s="102">
        <v>21527.05</v>
      </c>
      <c r="L21" s="103">
        <v>1447.23</v>
      </c>
      <c r="M21" s="187">
        <f t="shared" si="7"/>
        <v>22974.28</v>
      </c>
      <c r="N21" s="256">
        <f t="shared" si="4"/>
        <v>0.5349075669383003</v>
      </c>
      <c r="O21" s="102">
        <v>40950</v>
      </c>
      <c r="P21" s="103">
        <v>2000</v>
      </c>
      <c r="Q21" s="103">
        <f t="shared" si="8"/>
        <v>42950</v>
      </c>
      <c r="R21" s="19">
        <f t="shared" si="1"/>
        <v>0</v>
      </c>
      <c r="S21" s="20">
        <f aca="true" t="shared" si="9" ref="S21:S33">+Q21/J21</f>
        <v>1</v>
      </c>
      <c r="T21" s="146"/>
    </row>
    <row r="22" spans="1:20" s="45" customFormat="1" ht="19.5" customHeight="1">
      <c r="A22" s="186" t="s">
        <v>26</v>
      </c>
      <c r="B22" s="251">
        <v>16</v>
      </c>
      <c r="C22" s="85">
        <v>56070</v>
      </c>
      <c r="D22" s="217">
        <v>58955.79</v>
      </c>
      <c r="E22" s="104">
        <v>66391</v>
      </c>
      <c r="F22" s="103">
        <v>27</v>
      </c>
      <c r="G22" s="187">
        <f t="shared" si="0"/>
        <v>66418</v>
      </c>
      <c r="H22" s="102">
        <f>66388+2000+10</f>
        <v>68398</v>
      </c>
      <c r="I22" s="103">
        <v>30</v>
      </c>
      <c r="J22" s="187">
        <f>SUM(H22:I22)</f>
        <v>68428</v>
      </c>
      <c r="K22" s="102">
        <f>7094.19+296.71+24.88+28063.48</f>
        <v>35479.26</v>
      </c>
      <c r="L22" s="103">
        <f>0.05+3.9</f>
        <v>3.9499999999999997</v>
      </c>
      <c r="M22" s="187">
        <f t="shared" si="7"/>
        <v>35483.21</v>
      </c>
      <c r="N22" s="256">
        <f t="shared" si="4"/>
        <v>0.5185481089612439</v>
      </c>
      <c r="O22" s="102">
        <v>68398</v>
      </c>
      <c r="P22" s="103">
        <v>30</v>
      </c>
      <c r="Q22" s="103">
        <f t="shared" si="8"/>
        <v>68428</v>
      </c>
      <c r="R22" s="19">
        <f t="shared" si="1"/>
        <v>0</v>
      </c>
      <c r="S22" s="20">
        <f t="shared" si="9"/>
        <v>1</v>
      </c>
      <c r="T22" s="146"/>
    </row>
    <row r="23" spans="1:20" s="45" customFormat="1" ht="19.5" customHeight="1">
      <c r="A23" s="186" t="s">
        <v>27</v>
      </c>
      <c r="B23" s="248">
        <v>17</v>
      </c>
      <c r="C23" s="85">
        <v>5532</v>
      </c>
      <c r="D23" s="217">
        <v>7201.7</v>
      </c>
      <c r="E23" s="198">
        <v>7769</v>
      </c>
      <c r="F23" s="103">
        <v>3</v>
      </c>
      <c r="G23" s="187">
        <f t="shared" si="0"/>
        <v>7772</v>
      </c>
      <c r="H23" s="197">
        <f>9769</f>
        <v>9769</v>
      </c>
      <c r="I23" s="195">
        <v>3</v>
      </c>
      <c r="J23" s="196">
        <f>SUM(H23:I23)</f>
        <v>9772</v>
      </c>
      <c r="K23" s="197">
        <v>7094.19</v>
      </c>
      <c r="L23" s="195">
        <v>0.05</v>
      </c>
      <c r="M23" s="187">
        <f t="shared" si="7"/>
        <v>7094.24</v>
      </c>
      <c r="N23" s="256">
        <f t="shared" si="4"/>
        <v>0.7259762586983217</v>
      </c>
      <c r="O23" s="102">
        <v>9769</v>
      </c>
      <c r="P23" s="103">
        <v>3</v>
      </c>
      <c r="Q23" s="103">
        <f t="shared" si="8"/>
        <v>9772</v>
      </c>
      <c r="R23" s="19">
        <f t="shared" si="1"/>
        <v>0</v>
      </c>
      <c r="S23" s="20">
        <f t="shared" si="9"/>
        <v>1</v>
      </c>
      <c r="T23" s="146"/>
    </row>
    <row r="24" spans="1:20" s="45" customFormat="1" ht="19.5" customHeight="1">
      <c r="A24" s="186" t="s">
        <v>28</v>
      </c>
      <c r="B24" s="248">
        <v>18</v>
      </c>
      <c r="C24" s="85">
        <v>49883</v>
      </c>
      <c r="D24" s="217">
        <v>50968.96</v>
      </c>
      <c r="E24" s="198">
        <v>57857</v>
      </c>
      <c r="F24" s="103">
        <v>24</v>
      </c>
      <c r="G24" s="187">
        <f t="shared" si="0"/>
        <v>57881</v>
      </c>
      <c r="H24" s="197">
        <v>57856</v>
      </c>
      <c r="I24" s="103">
        <v>25</v>
      </c>
      <c r="J24" s="187">
        <v>57881</v>
      </c>
      <c r="K24" s="197">
        <v>28063.48</v>
      </c>
      <c r="L24" s="103">
        <v>3.9</v>
      </c>
      <c r="M24" s="187">
        <f t="shared" si="7"/>
        <v>28067.38</v>
      </c>
      <c r="N24" s="256">
        <f t="shared" si="4"/>
        <v>0.48491525716556383</v>
      </c>
      <c r="O24" s="102">
        <v>57856</v>
      </c>
      <c r="P24" s="103">
        <v>25</v>
      </c>
      <c r="Q24" s="103">
        <f t="shared" si="8"/>
        <v>57881</v>
      </c>
      <c r="R24" s="19">
        <f t="shared" si="1"/>
        <v>0</v>
      </c>
      <c r="S24" s="20">
        <f t="shared" si="9"/>
        <v>1</v>
      </c>
      <c r="T24" s="146"/>
    </row>
    <row r="25" spans="1:20" s="45" customFormat="1" ht="19.5" customHeight="1">
      <c r="A25" s="199" t="s">
        <v>29</v>
      </c>
      <c r="B25" s="250">
        <v>19</v>
      </c>
      <c r="C25" s="85">
        <v>270021</v>
      </c>
      <c r="D25" s="217">
        <v>266987.76</v>
      </c>
      <c r="E25" s="193">
        <v>286315</v>
      </c>
      <c r="F25" s="103">
        <v>107</v>
      </c>
      <c r="G25" s="187">
        <f t="shared" si="0"/>
        <v>286422</v>
      </c>
      <c r="H25" s="200">
        <v>314954</v>
      </c>
      <c r="I25" s="103">
        <v>110</v>
      </c>
      <c r="J25" s="196">
        <v>315064</v>
      </c>
      <c r="K25" s="200">
        <f>108814.55+38046.99+2174.9</f>
        <v>149036.44</v>
      </c>
      <c r="L25" s="103">
        <f>3.5+0.2+9.99</f>
        <v>13.690000000000001</v>
      </c>
      <c r="M25" s="187">
        <f t="shared" si="7"/>
        <v>149050.13</v>
      </c>
      <c r="N25" s="256">
        <f t="shared" si="4"/>
        <v>0.4730788982555925</v>
      </c>
      <c r="O25" s="197">
        <v>315124</v>
      </c>
      <c r="P25" s="103">
        <v>110</v>
      </c>
      <c r="Q25" s="103">
        <f t="shared" si="8"/>
        <v>315234</v>
      </c>
      <c r="R25" s="19">
        <f t="shared" si="1"/>
        <v>170</v>
      </c>
      <c r="S25" s="20">
        <f t="shared" si="9"/>
        <v>1.0005395729121702</v>
      </c>
      <c r="T25" s="146" t="s">
        <v>364</v>
      </c>
    </row>
    <row r="26" spans="1:20" s="45" customFormat="1" ht="19.5" customHeight="1">
      <c r="A26" s="186" t="s">
        <v>30</v>
      </c>
      <c r="B26" s="248">
        <v>20</v>
      </c>
      <c r="C26" s="85">
        <v>197052</v>
      </c>
      <c r="D26" s="217">
        <v>194945.12</v>
      </c>
      <c r="E26" s="201">
        <v>208995</v>
      </c>
      <c r="F26" s="195">
        <v>78</v>
      </c>
      <c r="G26" s="187">
        <f t="shared" si="0"/>
        <v>209073</v>
      </c>
      <c r="H26" s="194">
        <v>229900</v>
      </c>
      <c r="I26" s="195">
        <v>80</v>
      </c>
      <c r="J26" s="196">
        <v>229980</v>
      </c>
      <c r="K26" s="194">
        <v>108814.55</v>
      </c>
      <c r="L26" s="195">
        <v>9.99</v>
      </c>
      <c r="M26" s="187">
        <f>+K26+L26</f>
        <v>108824.54000000001</v>
      </c>
      <c r="N26" s="256">
        <f t="shared" si="4"/>
        <v>0.47319132098443345</v>
      </c>
      <c r="O26" s="197">
        <v>230024</v>
      </c>
      <c r="P26" s="195">
        <v>80</v>
      </c>
      <c r="Q26" s="195">
        <f t="shared" si="8"/>
        <v>230104</v>
      </c>
      <c r="R26" s="19">
        <f t="shared" si="1"/>
        <v>124</v>
      </c>
      <c r="S26" s="20">
        <f t="shared" si="9"/>
        <v>1.000539177319767</v>
      </c>
      <c r="T26" s="146"/>
    </row>
    <row r="27" spans="1:20" s="45" customFormat="1" ht="19.5" customHeight="1">
      <c r="A27" s="199" t="s">
        <v>31</v>
      </c>
      <c r="B27" s="250">
        <v>21</v>
      </c>
      <c r="C27" s="85">
        <v>196348</v>
      </c>
      <c r="D27" s="217">
        <v>193724</v>
      </c>
      <c r="E27" s="193">
        <v>207630</v>
      </c>
      <c r="F27" s="103">
        <v>78</v>
      </c>
      <c r="G27" s="187">
        <f t="shared" si="0"/>
        <v>207708</v>
      </c>
      <c r="H27" s="200">
        <f>+J27-I27</f>
        <v>228426</v>
      </c>
      <c r="I27" s="103">
        <v>80</v>
      </c>
      <c r="J27" s="196">
        <f>+J26-J28</f>
        <v>228506</v>
      </c>
      <c r="K27" s="200"/>
      <c r="L27" s="103"/>
      <c r="M27" s="187">
        <f t="shared" si="7"/>
        <v>0</v>
      </c>
      <c r="N27" s="256">
        <f t="shared" si="4"/>
        <v>0</v>
      </c>
      <c r="O27" s="197">
        <v>228550</v>
      </c>
      <c r="P27" s="103">
        <v>80</v>
      </c>
      <c r="Q27" s="103">
        <f t="shared" si="8"/>
        <v>228630</v>
      </c>
      <c r="R27" s="19">
        <f t="shared" si="1"/>
        <v>124</v>
      </c>
      <c r="S27" s="20">
        <f t="shared" si="9"/>
        <v>1.0005426553350896</v>
      </c>
      <c r="T27" s="146"/>
    </row>
    <row r="28" spans="1:20" s="45" customFormat="1" ht="19.5" customHeight="1">
      <c r="A28" s="186" t="s">
        <v>32</v>
      </c>
      <c r="B28" s="251">
        <v>22</v>
      </c>
      <c r="C28" s="85">
        <v>704</v>
      </c>
      <c r="D28" s="217">
        <v>1221</v>
      </c>
      <c r="E28" s="193">
        <v>1365</v>
      </c>
      <c r="F28" s="103"/>
      <c r="G28" s="187">
        <f t="shared" si="0"/>
        <v>1365</v>
      </c>
      <c r="H28" s="200">
        <v>1474</v>
      </c>
      <c r="I28" s="103"/>
      <c r="J28" s="196">
        <v>1474</v>
      </c>
      <c r="K28" s="200"/>
      <c r="L28" s="103"/>
      <c r="M28" s="187">
        <f t="shared" si="7"/>
        <v>0</v>
      </c>
      <c r="N28" s="256">
        <f t="shared" si="4"/>
        <v>0</v>
      </c>
      <c r="O28" s="197">
        <v>1474</v>
      </c>
      <c r="P28" s="103"/>
      <c r="Q28" s="103">
        <f t="shared" si="8"/>
        <v>1474</v>
      </c>
      <c r="R28" s="19">
        <f t="shared" si="1"/>
        <v>0</v>
      </c>
      <c r="S28" s="20">
        <f t="shared" si="9"/>
        <v>1</v>
      </c>
      <c r="T28" s="146"/>
    </row>
    <row r="29" spans="1:20" s="45" customFormat="1" ht="19.5" customHeight="1">
      <c r="A29" s="186" t="s">
        <v>33</v>
      </c>
      <c r="B29" s="248">
        <v>23</v>
      </c>
      <c r="C29" s="85">
        <v>73269</v>
      </c>
      <c r="D29" s="217">
        <v>72042.64</v>
      </c>
      <c r="E29" s="193">
        <v>77320</v>
      </c>
      <c r="F29" s="103">
        <v>29</v>
      </c>
      <c r="G29" s="187">
        <f t="shared" si="0"/>
        <v>77349</v>
      </c>
      <c r="H29" s="200">
        <f>+J29-I29</f>
        <v>85054</v>
      </c>
      <c r="I29" s="103">
        <v>30</v>
      </c>
      <c r="J29" s="196">
        <f>+J25-J26</f>
        <v>85084</v>
      </c>
      <c r="K29" s="200">
        <f>38046.99+2174.9</f>
        <v>40221.89</v>
      </c>
      <c r="L29" s="103">
        <f>3.5+0.2</f>
        <v>3.7</v>
      </c>
      <c r="M29" s="187">
        <f t="shared" si="7"/>
        <v>40225.59</v>
      </c>
      <c r="N29" s="256">
        <f t="shared" si="4"/>
        <v>0.472775022330873</v>
      </c>
      <c r="O29" s="102">
        <v>85100</v>
      </c>
      <c r="P29" s="103">
        <v>30</v>
      </c>
      <c r="Q29" s="103">
        <f t="shared" si="8"/>
        <v>85130</v>
      </c>
      <c r="R29" s="19">
        <f t="shared" si="1"/>
        <v>46</v>
      </c>
      <c r="S29" s="20">
        <f t="shared" si="9"/>
        <v>1.0005406421888956</v>
      </c>
      <c r="T29" s="146"/>
    </row>
    <row r="30" spans="1:20" s="45" customFormat="1" ht="19.5" customHeight="1">
      <c r="A30" s="199" t="s">
        <v>34</v>
      </c>
      <c r="B30" s="248">
        <v>24</v>
      </c>
      <c r="C30" s="85">
        <v>0</v>
      </c>
      <c r="D30" s="217">
        <v>0</v>
      </c>
      <c r="E30" s="104"/>
      <c r="F30" s="103"/>
      <c r="G30" s="187">
        <f t="shared" si="0"/>
        <v>0</v>
      </c>
      <c r="H30" s="102"/>
      <c r="I30" s="103"/>
      <c r="J30" s="187"/>
      <c r="K30" s="102"/>
      <c r="L30" s="103"/>
      <c r="M30" s="187"/>
      <c r="N30" s="256"/>
      <c r="O30" s="102"/>
      <c r="P30" s="103"/>
      <c r="Q30" s="103">
        <f t="shared" si="8"/>
        <v>0</v>
      </c>
      <c r="R30" s="19">
        <f t="shared" si="1"/>
        <v>0</v>
      </c>
      <c r="S30" s="20" t="e">
        <f t="shared" si="9"/>
        <v>#DIV/0!</v>
      </c>
      <c r="T30" s="146"/>
    </row>
    <row r="31" spans="1:20" s="45" customFormat="1" ht="19.5" customHeight="1">
      <c r="A31" s="199" t="s">
        <v>35</v>
      </c>
      <c r="B31" s="250">
        <v>25</v>
      </c>
      <c r="C31" s="85">
        <v>1892</v>
      </c>
      <c r="D31" s="217">
        <v>2328.86</v>
      </c>
      <c r="E31" s="104">
        <v>2017</v>
      </c>
      <c r="F31" s="103">
        <v>1</v>
      </c>
      <c r="G31" s="187">
        <f t="shared" si="0"/>
        <v>2018</v>
      </c>
      <c r="H31" s="102">
        <v>2000</v>
      </c>
      <c r="I31" s="103"/>
      <c r="J31" s="187">
        <v>2000</v>
      </c>
      <c r="K31" s="102">
        <f>56.33+1063.66</f>
        <v>1119.99</v>
      </c>
      <c r="L31" s="103"/>
      <c r="M31" s="187">
        <f t="shared" si="7"/>
        <v>1119.99</v>
      </c>
      <c r="N31" s="256">
        <f t="shared" si="4"/>
        <v>0.559995</v>
      </c>
      <c r="O31" s="102">
        <v>2000</v>
      </c>
      <c r="P31" s="103"/>
      <c r="Q31" s="103">
        <f>+O31+P31</f>
        <v>2000</v>
      </c>
      <c r="R31" s="19">
        <f t="shared" si="1"/>
        <v>0</v>
      </c>
      <c r="S31" s="20">
        <f t="shared" si="9"/>
        <v>1</v>
      </c>
      <c r="T31" s="146"/>
    </row>
    <row r="32" spans="1:20" s="45" customFormat="1" ht="19.5" customHeight="1">
      <c r="A32" s="186" t="s">
        <v>36</v>
      </c>
      <c r="B32" s="248">
        <v>26</v>
      </c>
      <c r="C32" s="85">
        <v>7103</v>
      </c>
      <c r="D32" s="217">
        <v>9351.13</v>
      </c>
      <c r="E32" s="198">
        <v>5804</v>
      </c>
      <c r="F32" s="103">
        <v>3</v>
      </c>
      <c r="G32" s="187">
        <f t="shared" si="0"/>
        <v>5807</v>
      </c>
      <c r="H32" s="197">
        <v>8104</v>
      </c>
      <c r="I32" s="103"/>
      <c r="J32" s="187">
        <v>8104</v>
      </c>
      <c r="K32" s="197">
        <f>1788.77+1536.37</f>
        <v>3325.14</v>
      </c>
      <c r="L32" s="103">
        <f>0.35+0.24</f>
        <v>0.59</v>
      </c>
      <c r="M32" s="187">
        <f t="shared" si="7"/>
        <v>3325.73</v>
      </c>
      <c r="N32" s="256">
        <f t="shared" si="4"/>
        <v>0.4103812931885489</v>
      </c>
      <c r="O32" s="102">
        <v>8104</v>
      </c>
      <c r="P32" s="103"/>
      <c r="Q32" s="103">
        <f t="shared" si="8"/>
        <v>8104</v>
      </c>
      <c r="R32" s="19">
        <f t="shared" si="1"/>
        <v>0</v>
      </c>
      <c r="S32" s="20">
        <f t="shared" si="9"/>
        <v>1</v>
      </c>
      <c r="T32" s="146"/>
    </row>
    <row r="33" spans="1:20" s="45" customFormat="1" ht="21" customHeight="1">
      <c r="A33" s="186" t="s">
        <v>37</v>
      </c>
      <c r="B33" s="250">
        <v>27</v>
      </c>
      <c r="C33" s="85">
        <v>1418</v>
      </c>
      <c r="D33" s="217">
        <v>4905.14</v>
      </c>
      <c r="E33" s="198">
        <v>2308</v>
      </c>
      <c r="F33" s="103">
        <v>1</v>
      </c>
      <c r="G33" s="187">
        <f t="shared" si="0"/>
        <v>2309</v>
      </c>
      <c r="H33" s="197">
        <v>4901</v>
      </c>
      <c r="I33" s="103"/>
      <c r="J33" s="187">
        <v>4901</v>
      </c>
      <c r="K33" s="197">
        <v>1788.77</v>
      </c>
      <c r="L33" s="103">
        <v>0.35</v>
      </c>
      <c r="M33" s="187">
        <f t="shared" si="7"/>
        <v>1789.12</v>
      </c>
      <c r="N33" s="256">
        <f t="shared" si="4"/>
        <v>0.36505203019791876</v>
      </c>
      <c r="O33" s="102">
        <v>4901</v>
      </c>
      <c r="P33" s="103"/>
      <c r="Q33" s="267">
        <f t="shared" si="8"/>
        <v>4901</v>
      </c>
      <c r="R33" s="19">
        <f t="shared" si="1"/>
        <v>0</v>
      </c>
      <c r="S33" s="20">
        <f t="shared" si="9"/>
        <v>1</v>
      </c>
      <c r="T33" s="146"/>
    </row>
    <row r="34" spans="1:20" s="45" customFormat="1" ht="16.5" customHeight="1" thickBot="1">
      <c r="A34" s="202" t="s">
        <v>38</v>
      </c>
      <c r="B34" s="251">
        <v>28</v>
      </c>
      <c r="C34" s="85">
        <v>0</v>
      </c>
      <c r="D34" s="217">
        <v>0</v>
      </c>
      <c r="E34" s="105"/>
      <c r="F34" s="190"/>
      <c r="G34" s="187">
        <f t="shared" si="0"/>
        <v>0</v>
      </c>
      <c r="H34" s="106"/>
      <c r="I34" s="190"/>
      <c r="J34" s="187">
        <v>0</v>
      </c>
      <c r="K34" s="106"/>
      <c r="L34" s="190"/>
      <c r="M34" s="187">
        <f t="shared" si="7"/>
        <v>0</v>
      </c>
      <c r="N34" s="257"/>
      <c r="O34" s="106"/>
      <c r="P34" s="190"/>
      <c r="Q34" s="268">
        <f t="shared" si="8"/>
        <v>0</v>
      </c>
      <c r="R34" s="19">
        <f t="shared" si="1"/>
        <v>0</v>
      </c>
      <c r="S34" s="20"/>
      <c r="T34" s="173"/>
    </row>
    <row r="35" spans="1:20" s="45" customFormat="1" ht="22.5" customHeight="1" thickBot="1">
      <c r="A35" s="88" t="s">
        <v>39</v>
      </c>
      <c r="B35" s="249">
        <v>29</v>
      </c>
      <c r="C35" s="79">
        <v>524740</v>
      </c>
      <c r="D35" s="77">
        <v>534019.13</v>
      </c>
      <c r="E35" s="89">
        <f>SUM(E17+E19+E20+E21+E22+E25+E30+E31+E32+E34)</f>
        <v>554015</v>
      </c>
      <c r="F35" s="79">
        <f>SUM(F17+F19+F20+F21+F22+F25+F30+F31+F32+F34)</f>
        <v>2816</v>
      </c>
      <c r="G35" s="77">
        <f t="shared" si="0"/>
        <v>556831</v>
      </c>
      <c r="H35" s="78">
        <f aca="true" t="shared" si="10" ref="H35:M35">SUM(H17+H19+H20+H21+H22+H25+H30+H31+H32+H34)</f>
        <v>590873</v>
      </c>
      <c r="I35" s="91">
        <f t="shared" si="10"/>
        <v>2712</v>
      </c>
      <c r="J35" s="116">
        <f t="shared" si="10"/>
        <v>593585</v>
      </c>
      <c r="K35" s="78">
        <f t="shared" si="10"/>
        <v>288226.85</v>
      </c>
      <c r="L35" s="91">
        <f t="shared" si="10"/>
        <v>1775.22</v>
      </c>
      <c r="M35" s="116">
        <f t="shared" si="10"/>
        <v>290002.06999999995</v>
      </c>
      <c r="N35" s="259">
        <f t="shared" si="4"/>
        <v>0.4885603072853929</v>
      </c>
      <c r="O35" s="78">
        <f>SUM(O17+O19+O20+O21+O22+O25+O30+O31+O32+O34)</f>
        <v>588043</v>
      </c>
      <c r="P35" s="91">
        <f>SUM(P17+P19+P20+P21+P22+P25+P30+P31+P32+P34)</f>
        <v>2712</v>
      </c>
      <c r="Q35" s="116">
        <f>SUM(Q17+Q19+Q20+Q21+Q22+Q25+Q30+Q31+Q32+Q34)</f>
        <v>590755</v>
      </c>
      <c r="R35" s="214">
        <f t="shared" si="1"/>
        <v>-2830</v>
      </c>
      <c r="S35" s="213">
        <f>+Q35/J35</f>
        <v>0.9952323593082709</v>
      </c>
      <c r="T35" s="242"/>
    </row>
    <row r="36" spans="1:20" ht="21.75" customHeight="1" thickBot="1">
      <c r="A36" s="76" t="s">
        <v>40</v>
      </c>
      <c r="B36" s="247">
        <v>30</v>
      </c>
      <c r="C36" s="78">
        <f>+C16-C35</f>
        <v>-2303</v>
      </c>
      <c r="D36" s="77">
        <f>+D16-D35</f>
        <v>132</v>
      </c>
      <c r="E36" s="141">
        <f>+G16-G35</f>
        <v>81</v>
      </c>
      <c r="F36" s="209"/>
      <c r="G36" s="80">
        <f aca="true" t="shared" si="11" ref="G36:M36">+G16-G35</f>
        <v>81</v>
      </c>
      <c r="H36" s="203">
        <f t="shared" si="11"/>
        <v>-15609.763000000035</v>
      </c>
      <c r="I36" s="204">
        <f t="shared" si="11"/>
        <v>738</v>
      </c>
      <c r="J36" s="205">
        <f t="shared" si="11"/>
        <v>-14871.763000000035</v>
      </c>
      <c r="K36" s="203">
        <f t="shared" si="11"/>
        <v>-552.6499999999651</v>
      </c>
      <c r="L36" s="204">
        <f t="shared" si="11"/>
        <v>609.6900000000003</v>
      </c>
      <c r="M36" s="203">
        <f t="shared" si="11"/>
        <v>57.04000000003725</v>
      </c>
      <c r="N36" s="260">
        <f t="shared" si="4"/>
        <v>-0.003835456495644606</v>
      </c>
      <c r="O36" s="93">
        <f>O16-O35</f>
        <v>-7705</v>
      </c>
      <c r="P36" s="94">
        <f>P16-P35</f>
        <v>738</v>
      </c>
      <c r="Q36" s="95">
        <f>Q16-Q35</f>
        <v>-6967</v>
      </c>
      <c r="R36" s="215"/>
      <c r="S36" s="216"/>
      <c r="T36" s="244"/>
    </row>
    <row r="37" spans="1:20" ht="21" customHeight="1" thickBot="1">
      <c r="A37" s="97" t="s">
        <v>41</v>
      </c>
      <c r="B37" s="247">
        <v>31</v>
      </c>
      <c r="C37" s="206">
        <v>-16728.18</v>
      </c>
      <c r="D37" s="218">
        <v>-19030.78</v>
      </c>
      <c r="E37" s="141">
        <v>0</v>
      </c>
      <c r="F37" s="209"/>
      <c r="G37" s="80">
        <v>0</v>
      </c>
      <c r="H37" s="48"/>
      <c r="I37" s="48"/>
      <c r="J37" s="48"/>
      <c r="K37" s="48"/>
      <c r="L37" s="48"/>
      <c r="M37" s="48"/>
      <c r="N37" s="48"/>
      <c r="O37" s="48"/>
      <c r="T37" s="625"/>
    </row>
    <row r="38" spans="1:20" ht="19.5" customHeight="1" thickBot="1">
      <c r="A38" s="97" t="s">
        <v>42</v>
      </c>
      <c r="B38" s="247">
        <v>32</v>
      </c>
      <c r="C38" s="78">
        <v>-19031.18</v>
      </c>
      <c r="D38" s="80">
        <v>-18898.78</v>
      </c>
      <c r="E38" s="141">
        <f>+E36+E37</f>
        <v>81</v>
      </c>
      <c r="F38" s="209"/>
      <c r="G38" s="80">
        <f>+G36+G37</f>
        <v>81</v>
      </c>
      <c r="H38" s="48"/>
      <c r="I38" s="48"/>
      <c r="J38" s="48"/>
      <c r="K38" s="48"/>
      <c r="L38" s="48"/>
      <c r="M38" s="48"/>
      <c r="N38" s="48"/>
      <c r="O38" s="48"/>
      <c r="T38" s="626"/>
    </row>
  </sheetData>
  <mergeCells count="12">
    <mergeCell ref="T4:T6"/>
    <mergeCell ref="T37:T38"/>
    <mergeCell ref="C3:T3"/>
    <mergeCell ref="R4:S4"/>
    <mergeCell ref="H4:J4"/>
    <mergeCell ref="K4:M4"/>
    <mergeCell ref="O4:Q4"/>
    <mergeCell ref="A3:A6"/>
    <mergeCell ref="C4:C6"/>
    <mergeCell ref="D4:D6"/>
    <mergeCell ref="G4:G6"/>
    <mergeCell ref="B3:B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F122"/>
  <sheetViews>
    <sheetView workbookViewId="0" topLeftCell="A43">
      <selection activeCell="H15" sqref="H15"/>
    </sheetView>
  </sheetViews>
  <sheetFormatPr defaultColWidth="9.00390625" defaultRowHeight="21.75" customHeight="1"/>
  <cols>
    <col min="1" max="1" width="37.25390625" style="333" customWidth="1"/>
    <col min="2" max="6" width="12.75390625" style="333" customWidth="1"/>
    <col min="7" max="12" width="9.125" style="333" customWidth="1"/>
    <col min="13" max="13" width="12.75390625" style="333" customWidth="1"/>
    <col min="14" max="16384" width="9.125" style="333" customWidth="1"/>
  </cols>
  <sheetData>
    <row r="1" spans="1:5" ht="21.75" customHeight="1">
      <c r="A1" s="332" t="s">
        <v>178</v>
      </c>
      <c r="E1" s="332"/>
    </row>
    <row r="2" ht="2.25" customHeight="1" thickBot="1">
      <c r="A2" s="334"/>
    </row>
    <row r="3" spans="1:6" ht="49.5" customHeight="1">
      <c r="A3" s="708" t="s">
        <v>92</v>
      </c>
      <c r="B3" s="335" t="s">
        <v>93</v>
      </c>
      <c r="C3" s="336" t="s">
        <v>104</v>
      </c>
      <c r="D3" s="337" t="s">
        <v>94</v>
      </c>
      <c r="E3" s="337" t="s">
        <v>95</v>
      </c>
      <c r="F3" s="335" t="s">
        <v>96</v>
      </c>
    </row>
    <row r="4" spans="1:6" ht="14.25" customHeight="1" thickBot="1">
      <c r="A4" s="709"/>
      <c r="B4" s="338"/>
      <c r="C4" s="339" t="s">
        <v>105</v>
      </c>
      <c r="D4" s="340" t="s">
        <v>97</v>
      </c>
      <c r="E4" s="340" t="s">
        <v>98</v>
      </c>
      <c r="F4" s="338" t="s">
        <v>99</v>
      </c>
    </row>
    <row r="5" spans="1:6" ht="10.5" customHeight="1">
      <c r="A5" s="710" t="s">
        <v>106</v>
      </c>
      <c r="B5" s="341"/>
      <c r="C5" s="342"/>
      <c r="D5" s="343">
        <v>0</v>
      </c>
      <c r="E5" s="344"/>
      <c r="F5" s="345">
        <v>0</v>
      </c>
    </row>
    <row r="6" spans="1:6" ht="10.5" customHeight="1">
      <c r="A6" s="711"/>
      <c r="B6" s="346"/>
      <c r="C6" s="347"/>
      <c r="D6" s="348">
        <v>44356.4</v>
      </c>
      <c r="E6" s="348"/>
      <c r="F6" s="349">
        <v>44356.4</v>
      </c>
    </row>
    <row r="7" spans="1:6" ht="10.5" customHeight="1">
      <c r="A7" s="712" t="s">
        <v>107</v>
      </c>
      <c r="B7" s="715"/>
      <c r="C7" s="713"/>
      <c r="D7" s="719">
        <v>2000000</v>
      </c>
      <c r="E7" s="719"/>
      <c r="F7" s="717">
        <v>2000000</v>
      </c>
    </row>
    <row r="8" spans="1:6" ht="10.5" customHeight="1">
      <c r="A8" s="711"/>
      <c r="B8" s="716"/>
      <c r="C8" s="714"/>
      <c r="D8" s="720"/>
      <c r="E8" s="720"/>
      <c r="F8" s="718"/>
    </row>
    <row r="9" spans="1:6" ht="10.5" customHeight="1">
      <c r="A9" s="712" t="s">
        <v>108</v>
      </c>
      <c r="B9" s="350"/>
      <c r="C9" s="351"/>
      <c r="D9" s="352">
        <v>0</v>
      </c>
      <c r="E9" s="353"/>
      <c r="F9" s="354">
        <v>0</v>
      </c>
    </row>
    <row r="10" spans="1:6" ht="10.5" customHeight="1">
      <c r="A10" s="711"/>
      <c r="B10" s="346"/>
      <c r="C10" s="347"/>
      <c r="D10" s="348">
        <v>101947</v>
      </c>
      <c r="E10" s="348"/>
      <c r="F10" s="349">
        <v>101947</v>
      </c>
    </row>
    <row r="11" spans="1:6" ht="10.5" customHeight="1">
      <c r="A11" s="712" t="s">
        <v>109</v>
      </c>
      <c r="B11" s="715"/>
      <c r="C11" s="713"/>
      <c r="D11" s="719">
        <v>280000</v>
      </c>
      <c r="E11" s="719"/>
      <c r="F11" s="717">
        <v>280000</v>
      </c>
    </row>
    <row r="12" spans="1:6" ht="10.5" customHeight="1">
      <c r="A12" s="711"/>
      <c r="B12" s="716"/>
      <c r="C12" s="714"/>
      <c r="D12" s="720"/>
      <c r="E12" s="720"/>
      <c r="F12" s="718"/>
    </row>
    <row r="13" spans="1:6" ht="10.5" customHeight="1">
      <c r="A13" s="712" t="s">
        <v>110</v>
      </c>
      <c r="B13" s="715"/>
      <c r="C13" s="713"/>
      <c r="D13" s="719">
        <v>200000</v>
      </c>
      <c r="E13" s="719"/>
      <c r="F13" s="717">
        <v>200000</v>
      </c>
    </row>
    <row r="14" spans="1:6" ht="10.5" customHeight="1">
      <c r="A14" s="711"/>
      <c r="B14" s="716"/>
      <c r="C14" s="714"/>
      <c r="D14" s="720"/>
      <c r="E14" s="720"/>
      <c r="F14" s="718"/>
    </row>
    <row r="15" spans="1:6" ht="10.5" customHeight="1">
      <c r="A15" s="712" t="s">
        <v>111</v>
      </c>
      <c r="B15" s="350"/>
      <c r="C15" s="351"/>
      <c r="D15" s="352">
        <v>0</v>
      </c>
      <c r="E15" s="353"/>
      <c r="F15" s="354">
        <v>0</v>
      </c>
    </row>
    <row r="16" spans="1:6" ht="10.5" customHeight="1">
      <c r="A16" s="711"/>
      <c r="B16" s="346"/>
      <c r="C16" s="347"/>
      <c r="D16" s="348">
        <v>62396.5</v>
      </c>
      <c r="E16" s="348"/>
      <c r="F16" s="349">
        <v>62396.5</v>
      </c>
    </row>
    <row r="17" spans="1:6" ht="10.5" customHeight="1">
      <c r="A17" s="712" t="s">
        <v>112</v>
      </c>
      <c r="B17" s="715"/>
      <c r="C17" s="713"/>
      <c r="D17" s="719">
        <v>250000</v>
      </c>
      <c r="E17" s="719"/>
      <c r="F17" s="717">
        <v>250000</v>
      </c>
    </row>
    <row r="18" spans="1:6" ht="10.5" customHeight="1">
      <c r="A18" s="711"/>
      <c r="B18" s="716"/>
      <c r="C18" s="714"/>
      <c r="D18" s="720"/>
      <c r="E18" s="720"/>
      <c r="F18" s="718"/>
    </row>
    <row r="19" spans="1:6" ht="10.5" customHeight="1">
      <c r="A19" s="712" t="s">
        <v>113</v>
      </c>
      <c r="B19" s="715"/>
      <c r="C19" s="713"/>
      <c r="D19" s="719">
        <v>1000000</v>
      </c>
      <c r="E19" s="719"/>
      <c r="F19" s="717">
        <v>1000000</v>
      </c>
    </row>
    <row r="20" spans="1:6" ht="10.5" customHeight="1">
      <c r="A20" s="711"/>
      <c r="B20" s="716"/>
      <c r="C20" s="714"/>
      <c r="D20" s="720"/>
      <c r="E20" s="720"/>
      <c r="F20" s="718"/>
    </row>
    <row r="21" spans="1:6" ht="10.5" customHeight="1">
      <c r="A21" s="712" t="s">
        <v>114</v>
      </c>
      <c r="B21" s="350"/>
      <c r="C21" s="351"/>
      <c r="D21" s="352">
        <v>1000000</v>
      </c>
      <c r="E21" s="352">
        <v>0</v>
      </c>
      <c r="F21" s="354">
        <v>1000000</v>
      </c>
    </row>
    <row r="22" spans="1:6" ht="10.5" customHeight="1">
      <c r="A22" s="711"/>
      <c r="B22" s="346"/>
      <c r="C22" s="347"/>
      <c r="D22" s="348">
        <v>0</v>
      </c>
      <c r="E22" s="348">
        <v>800000</v>
      </c>
      <c r="F22" s="349">
        <v>800000</v>
      </c>
    </row>
    <row r="23" spans="1:6" ht="10.5" customHeight="1">
      <c r="A23" s="712" t="s">
        <v>115</v>
      </c>
      <c r="B23" s="715"/>
      <c r="C23" s="713"/>
      <c r="D23" s="719">
        <v>75000</v>
      </c>
      <c r="E23" s="719"/>
      <c r="F23" s="717">
        <v>75000</v>
      </c>
    </row>
    <row r="24" spans="1:6" ht="10.5" customHeight="1">
      <c r="A24" s="711"/>
      <c r="B24" s="716"/>
      <c r="C24" s="714"/>
      <c r="D24" s="720"/>
      <c r="E24" s="720"/>
      <c r="F24" s="718"/>
    </row>
    <row r="25" spans="1:6" ht="10.5" customHeight="1">
      <c r="A25" s="712" t="s">
        <v>116</v>
      </c>
      <c r="B25" s="715"/>
      <c r="C25" s="713"/>
      <c r="D25" s="719">
        <v>40000</v>
      </c>
      <c r="E25" s="719"/>
      <c r="F25" s="717">
        <v>40000</v>
      </c>
    </row>
    <row r="26" spans="1:6" ht="10.5" customHeight="1">
      <c r="A26" s="711"/>
      <c r="B26" s="716"/>
      <c r="C26" s="714"/>
      <c r="D26" s="720"/>
      <c r="E26" s="720"/>
      <c r="F26" s="718"/>
    </row>
    <row r="27" spans="1:6" ht="10.5" customHeight="1">
      <c r="A27" s="712" t="s">
        <v>117</v>
      </c>
      <c r="B27" s="715"/>
      <c r="C27" s="713"/>
      <c r="D27" s="719">
        <v>140000</v>
      </c>
      <c r="E27" s="719"/>
      <c r="F27" s="717">
        <v>140000</v>
      </c>
    </row>
    <row r="28" spans="1:6" ht="10.5" customHeight="1">
      <c r="A28" s="711"/>
      <c r="B28" s="716"/>
      <c r="C28" s="714"/>
      <c r="D28" s="720"/>
      <c r="E28" s="720"/>
      <c r="F28" s="718"/>
    </row>
    <row r="29" spans="1:6" ht="10.5" customHeight="1">
      <c r="A29" s="712" t="s">
        <v>118</v>
      </c>
      <c r="B29" s="350"/>
      <c r="C29" s="351"/>
      <c r="D29" s="353"/>
      <c r="E29" s="352">
        <v>7725000</v>
      </c>
      <c r="F29" s="354">
        <v>7725000</v>
      </c>
    </row>
    <row r="30" spans="1:6" ht="10.5" customHeight="1">
      <c r="A30" s="711"/>
      <c r="B30" s="346"/>
      <c r="C30" s="347"/>
      <c r="D30" s="348"/>
      <c r="E30" s="348">
        <v>5525000</v>
      </c>
      <c r="F30" s="349">
        <v>5525000</v>
      </c>
    </row>
    <row r="31" spans="1:6" ht="10.5" customHeight="1">
      <c r="A31" s="712" t="s">
        <v>119</v>
      </c>
      <c r="B31" s="715"/>
      <c r="C31" s="713"/>
      <c r="D31" s="719">
        <v>300000</v>
      </c>
      <c r="E31" s="719"/>
      <c r="F31" s="717">
        <v>300000</v>
      </c>
    </row>
    <row r="32" spans="1:6" ht="10.5" customHeight="1">
      <c r="A32" s="711"/>
      <c r="B32" s="716"/>
      <c r="C32" s="714"/>
      <c r="D32" s="720"/>
      <c r="E32" s="720"/>
      <c r="F32" s="718"/>
    </row>
    <row r="33" spans="1:6" ht="10.5" customHeight="1">
      <c r="A33" s="712" t="s">
        <v>120</v>
      </c>
      <c r="B33" s="715"/>
      <c r="C33" s="713"/>
      <c r="D33" s="719">
        <v>550000</v>
      </c>
      <c r="E33" s="719"/>
      <c r="F33" s="717">
        <v>550000</v>
      </c>
    </row>
    <row r="34" spans="1:6" ht="10.5" customHeight="1">
      <c r="A34" s="711"/>
      <c r="B34" s="716"/>
      <c r="C34" s="714"/>
      <c r="D34" s="720"/>
      <c r="E34" s="720"/>
      <c r="F34" s="718"/>
    </row>
    <row r="35" spans="1:6" ht="10.5" customHeight="1">
      <c r="A35" s="712" t="s">
        <v>121</v>
      </c>
      <c r="B35" s="715"/>
      <c r="C35" s="713"/>
      <c r="D35" s="719">
        <v>160000</v>
      </c>
      <c r="E35" s="719"/>
      <c r="F35" s="717">
        <v>160000</v>
      </c>
    </row>
    <row r="36" spans="1:6" ht="10.5" customHeight="1">
      <c r="A36" s="711"/>
      <c r="B36" s="716"/>
      <c r="C36" s="714"/>
      <c r="D36" s="720"/>
      <c r="E36" s="720"/>
      <c r="F36" s="718"/>
    </row>
    <row r="37" spans="1:6" ht="10.5" customHeight="1">
      <c r="A37" s="712" t="s">
        <v>122</v>
      </c>
      <c r="B37" s="715"/>
      <c r="C37" s="713"/>
      <c r="D37" s="719">
        <v>670000</v>
      </c>
      <c r="E37" s="719"/>
      <c r="F37" s="717">
        <v>670000</v>
      </c>
    </row>
    <row r="38" spans="1:6" ht="10.5" customHeight="1">
      <c r="A38" s="711"/>
      <c r="B38" s="716"/>
      <c r="C38" s="714"/>
      <c r="D38" s="720"/>
      <c r="E38" s="720"/>
      <c r="F38" s="718"/>
    </row>
    <row r="39" spans="1:6" ht="10.5" customHeight="1">
      <c r="A39" s="712" t="s">
        <v>123</v>
      </c>
      <c r="B39" s="350"/>
      <c r="C39" s="351"/>
      <c r="D39" s="352">
        <v>1400000</v>
      </c>
      <c r="E39" s="353"/>
      <c r="F39" s="354">
        <v>1400000</v>
      </c>
    </row>
    <row r="40" spans="1:6" ht="10.5" customHeight="1">
      <c r="A40" s="711"/>
      <c r="B40" s="346"/>
      <c r="C40" s="347"/>
      <c r="D40" s="348">
        <v>1333206.3</v>
      </c>
      <c r="E40" s="348"/>
      <c r="F40" s="349">
        <v>1333206.3</v>
      </c>
    </row>
    <row r="41" spans="1:6" ht="10.5" customHeight="1">
      <c r="A41" s="712" t="s">
        <v>124</v>
      </c>
      <c r="B41" s="715"/>
      <c r="C41" s="713"/>
      <c r="D41" s="719">
        <v>70000</v>
      </c>
      <c r="E41" s="719"/>
      <c r="F41" s="717">
        <v>70000</v>
      </c>
    </row>
    <row r="42" spans="1:6" ht="10.5" customHeight="1">
      <c r="A42" s="711"/>
      <c r="B42" s="716"/>
      <c r="C42" s="714"/>
      <c r="D42" s="720"/>
      <c r="E42" s="720"/>
      <c r="F42" s="718"/>
    </row>
    <row r="43" spans="1:6" ht="10.5" customHeight="1">
      <c r="A43" s="712" t="s">
        <v>125</v>
      </c>
      <c r="B43" s="715"/>
      <c r="C43" s="713"/>
      <c r="D43" s="719">
        <v>60000</v>
      </c>
      <c r="E43" s="719"/>
      <c r="F43" s="717">
        <v>60000</v>
      </c>
    </row>
    <row r="44" spans="1:6" ht="10.5" customHeight="1">
      <c r="A44" s="711"/>
      <c r="B44" s="716"/>
      <c r="C44" s="714"/>
      <c r="D44" s="720"/>
      <c r="E44" s="720"/>
      <c r="F44" s="718"/>
    </row>
    <row r="45" spans="1:6" ht="10.5" customHeight="1">
      <c r="A45" s="712" t="s">
        <v>126</v>
      </c>
      <c r="B45" s="715"/>
      <c r="C45" s="713"/>
      <c r="D45" s="719">
        <v>100000</v>
      </c>
      <c r="E45" s="719"/>
      <c r="F45" s="717">
        <v>100000</v>
      </c>
    </row>
    <row r="46" spans="1:6" ht="10.5" customHeight="1">
      <c r="A46" s="711"/>
      <c r="B46" s="716"/>
      <c r="C46" s="714"/>
      <c r="D46" s="720"/>
      <c r="E46" s="720"/>
      <c r="F46" s="718"/>
    </row>
    <row r="47" spans="1:6" ht="10.5" customHeight="1">
      <c r="A47" s="712" t="s">
        <v>127</v>
      </c>
      <c r="B47" s="715"/>
      <c r="C47" s="713"/>
      <c r="D47" s="719">
        <v>100000</v>
      </c>
      <c r="E47" s="719"/>
      <c r="F47" s="717">
        <v>100000</v>
      </c>
    </row>
    <row r="48" spans="1:6" ht="10.5" customHeight="1">
      <c r="A48" s="711"/>
      <c r="B48" s="716"/>
      <c r="C48" s="714"/>
      <c r="D48" s="720"/>
      <c r="E48" s="720"/>
      <c r="F48" s="718"/>
    </row>
    <row r="49" spans="1:6" ht="10.5" customHeight="1">
      <c r="A49" s="712" t="s">
        <v>128</v>
      </c>
      <c r="B49" s="350"/>
      <c r="C49" s="351"/>
      <c r="D49" s="352">
        <v>1000000</v>
      </c>
      <c r="E49" s="353">
        <v>1000000</v>
      </c>
      <c r="F49" s="354">
        <v>2000000</v>
      </c>
    </row>
    <row r="50" spans="1:6" ht="10.5" customHeight="1">
      <c r="A50" s="711"/>
      <c r="B50" s="346"/>
      <c r="C50" s="347"/>
      <c r="D50" s="348">
        <v>1034880</v>
      </c>
      <c r="E50" s="348"/>
      <c r="F50" s="349">
        <v>2034880</v>
      </c>
    </row>
    <row r="51" spans="1:6" ht="10.5" customHeight="1">
      <c r="A51" s="712" t="s">
        <v>129</v>
      </c>
      <c r="B51" s="715"/>
      <c r="C51" s="713"/>
      <c r="D51" s="719">
        <v>70000</v>
      </c>
      <c r="E51" s="719"/>
      <c r="F51" s="717">
        <v>70000</v>
      </c>
    </row>
    <row r="52" spans="1:6" ht="10.5" customHeight="1">
      <c r="A52" s="711"/>
      <c r="B52" s="716"/>
      <c r="C52" s="714"/>
      <c r="D52" s="720"/>
      <c r="E52" s="720"/>
      <c r="F52" s="718"/>
    </row>
    <row r="53" spans="1:6" ht="10.5" customHeight="1">
      <c r="A53" s="712" t="s">
        <v>130</v>
      </c>
      <c r="B53" s="715"/>
      <c r="C53" s="713"/>
      <c r="D53" s="719">
        <v>70000</v>
      </c>
      <c r="E53" s="719"/>
      <c r="F53" s="717">
        <v>70000</v>
      </c>
    </row>
    <row r="54" spans="1:6" ht="10.5" customHeight="1">
      <c r="A54" s="711"/>
      <c r="B54" s="716"/>
      <c r="C54" s="714"/>
      <c r="D54" s="720"/>
      <c r="E54" s="720"/>
      <c r="F54" s="718"/>
    </row>
    <row r="55" spans="1:6" ht="10.5" customHeight="1">
      <c r="A55" s="712" t="s">
        <v>131</v>
      </c>
      <c r="B55" s="715"/>
      <c r="C55" s="713"/>
      <c r="D55" s="719">
        <v>25000</v>
      </c>
      <c r="E55" s="719"/>
      <c r="F55" s="717">
        <v>25000</v>
      </c>
    </row>
    <row r="56" spans="1:6" ht="10.5" customHeight="1">
      <c r="A56" s="711"/>
      <c r="B56" s="716"/>
      <c r="C56" s="714"/>
      <c r="D56" s="720"/>
      <c r="E56" s="720"/>
      <c r="F56" s="718"/>
    </row>
    <row r="57" spans="1:6" ht="10.5" customHeight="1">
      <c r="A57" s="712" t="s">
        <v>132</v>
      </c>
      <c r="B57" s="715"/>
      <c r="C57" s="713"/>
      <c r="D57" s="719">
        <v>70000</v>
      </c>
      <c r="E57" s="719"/>
      <c r="F57" s="717">
        <v>70000</v>
      </c>
    </row>
    <row r="58" spans="1:6" ht="10.5" customHeight="1">
      <c r="A58" s="711"/>
      <c r="B58" s="716"/>
      <c r="C58" s="714"/>
      <c r="D58" s="720"/>
      <c r="E58" s="720"/>
      <c r="F58" s="718"/>
    </row>
    <row r="59" spans="1:6" ht="10.5" customHeight="1">
      <c r="A59" s="712" t="s">
        <v>133</v>
      </c>
      <c r="B59" s="350"/>
      <c r="C59" s="351"/>
      <c r="D59" s="353"/>
      <c r="E59" s="352">
        <v>1000000</v>
      </c>
      <c r="F59" s="354">
        <v>1000000</v>
      </c>
    </row>
    <row r="60" spans="1:6" ht="10.5" customHeight="1">
      <c r="A60" s="711"/>
      <c r="B60" s="346"/>
      <c r="C60" s="347"/>
      <c r="D60" s="348"/>
      <c r="E60" s="348">
        <v>200000</v>
      </c>
      <c r="F60" s="349">
        <v>200000</v>
      </c>
    </row>
    <row r="61" spans="1:6" ht="10.5" customHeight="1">
      <c r="A61" s="712" t="s">
        <v>134</v>
      </c>
      <c r="B61" s="350"/>
      <c r="C61" s="713">
        <v>1856000</v>
      </c>
      <c r="D61" s="353"/>
      <c r="E61" s="353"/>
      <c r="F61" s="354">
        <v>0</v>
      </c>
    </row>
    <row r="62" spans="1:6" ht="10.5" customHeight="1">
      <c r="A62" s="711"/>
      <c r="B62" s="346"/>
      <c r="C62" s="714">
        <v>1856000</v>
      </c>
      <c r="D62" s="348"/>
      <c r="E62" s="348"/>
      <c r="F62" s="349">
        <v>1856000</v>
      </c>
    </row>
    <row r="63" spans="1:6" ht="10.5" customHeight="1">
      <c r="A63" s="712" t="s">
        <v>135</v>
      </c>
      <c r="B63" s="715"/>
      <c r="C63" s="713"/>
      <c r="D63" s="719">
        <v>100000</v>
      </c>
      <c r="E63" s="719"/>
      <c r="F63" s="717">
        <v>100000</v>
      </c>
    </row>
    <row r="64" spans="1:6" ht="10.5" customHeight="1">
      <c r="A64" s="711"/>
      <c r="B64" s="716"/>
      <c r="C64" s="714"/>
      <c r="D64" s="720"/>
      <c r="E64" s="720"/>
      <c r="F64" s="718"/>
    </row>
    <row r="65" spans="1:6" ht="10.5" customHeight="1">
      <c r="A65" s="712" t="s">
        <v>136</v>
      </c>
      <c r="B65" s="715"/>
      <c r="C65" s="713"/>
      <c r="D65" s="719"/>
      <c r="E65" s="719">
        <v>375000</v>
      </c>
      <c r="F65" s="717">
        <v>375000</v>
      </c>
    </row>
    <row r="66" spans="1:6" ht="10.5" customHeight="1">
      <c r="A66" s="711"/>
      <c r="B66" s="716"/>
      <c r="C66" s="714"/>
      <c r="D66" s="720"/>
      <c r="E66" s="720"/>
      <c r="F66" s="718"/>
    </row>
    <row r="67" spans="1:6" ht="10.5" customHeight="1">
      <c r="A67" s="712" t="s">
        <v>137</v>
      </c>
      <c r="B67" s="715">
        <v>650000</v>
      </c>
      <c r="C67" s="713"/>
      <c r="D67" s="719"/>
      <c r="E67" s="719"/>
      <c r="F67" s="717"/>
    </row>
    <row r="68" spans="1:6" ht="10.5" customHeight="1">
      <c r="A68" s="711"/>
      <c r="B68" s="716"/>
      <c r="C68" s="714"/>
      <c r="D68" s="720"/>
      <c r="E68" s="720"/>
      <c r="F68" s="718"/>
    </row>
    <row r="69" spans="1:6" ht="10.5" customHeight="1">
      <c r="A69" s="712" t="s">
        <v>138</v>
      </c>
      <c r="B69" s="715"/>
      <c r="C69" s="713"/>
      <c r="D69" s="719">
        <v>150000</v>
      </c>
      <c r="E69" s="719"/>
      <c r="F69" s="717">
        <v>150000</v>
      </c>
    </row>
    <row r="70" spans="1:6" ht="10.5" customHeight="1">
      <c r="A70" s="711"/>
      <c r="B70" s="716"/>
      <c r="C70" s="714"/>
      <c r="D70" s="720"/>
      <c r="E70" s="720"/>
      <c r="F70" s="718"/>
    </row>
    <row r="71" spans="1:6" ht="10.5" customHeight="1">
      <c r="A71" s="712" t="s">
        <v>139</v>
      </c>
      <c r="B71" s="350"/>
      <c r="C71" s="351"/>
      <c r="D71" s="352">
        <v>0</v>
      </c>
      <c r="E71" s="353"/>
      <c r="F71" s="354">
        <v>0</v>
      </c>
    </row>
    <row r="72" spans="1:6" ht="10.5" customHeight="1">
      <c r="A72" s="711"/>
      <c r="B72" s="346"/>
      <c r="C72" s="347"/>
      <c r="D72" s="348">
        <v>131239.5</v>
      </c>
      <c r="E72" s="348"/>
      <c r="F72" s="349">
        <v>131239.5</v>
      </c>
    </row>
    <row r="73" spans="1:6" ht="10.5" customHeight="1">
      <c r="A73" s="712" t="s">
        <v>140</v>
      </c>
      <c r="B73" s="715"/>
      <c r="C73" s="713"/>
      <c r="D73" s="719">
        <v>700000</v>
      </c>
      <c r="E73" s="719"/>
      <c r="F73" s="717">
        <v>700000</v>
      </c>
    </row>
    <row r="74" spans="1:6" ht="10.5" customHeight="1">
      <c r="A74" s="711"/>
      <c r="B74" s="716"/>
      <c r="C74" s="714"/>
      <c r="D74" s="720"/>
      <c r="E74" s="720"/>
      <c r="F74" s="718"/>
    </row>
    <row r="75" spans="1:6" ht="10.5" customHeight="1">
      <c r="A75" s="712" t="s">
        <v>141</v>
      </c>
      <c r="B75" s="350"/>
      <c r="C75" s="351"/>
      <c r="D75" s="352">
        <v>0</v>
      </c>
      <c r="E75" s="353"/>
      <c r="F75" s="354">
        <v>0</v>
      </c>
    </row>
    <row r="76" spans="1:6" ht="10.5" customHeight="1">
      <c r="A76" s="711"/>
      <c r="B76" s="346"/>
      <c r="C76" s="347"/>
      <c r="D76" s="348">
        <v>489609.3</v>
      </c>
      <c r="E76" s="348"/>
      <c r="F76" s="349">
        <v>489609.3</v>
      </c>
    </row>
    <row r="77" spans="1:6" ht="10.5" customHeight="1">
      <c r="A77" s="712" t="s">
        <v>142</v>
      </c>
      <c r="B77" s="715"/>
      <c r="C77" s="713"/>
      <c r="D77" s="719">
        <v>200000</v>
      </c>
      <c r="E77" s="719"/>
      <c r="F77" s="717">
        <v>200000</v>
      </c>
    </row>
    <row r="78" spans="1:6" ht="10.5" customHeight="1">
      <c r="A78" s="711"/>
      <c r="B78" s="716"/>
      <c r="C78" s="714"/>
      <c r="D78" s="720"/>
      <c r="E78" s="720"/>
      <c r="F78" s="718"/>
    </row>
    <row r="79" spans="1:6" ht="10.5" customHeight="1">
      <c r="A79" s="712" t="s">
        <v>143</v>
      </c>
      <c r="B79" s="715"/>
      <c r="C79" s="713"/>
      <c r="D79" s="719"/>
      <c r="E79" s="719">
        <v>1500000</v>
      </c>
      <c r="F79" s="717">
        <v>1500000</v>
      </c>
    </row>
    <row r="80" spans="1:6" ht="10.5" customHeight="1" thickBot="1">
      <c r="A80" s="723"/>
      <c r="B80" s="721"/>
      <c r="C80" s="724"/>
      <c r="D80" s="725"/>
      <c r="E80" s="725"/>
      <c r="F80" s="722"/>
    </row>
    <row r="81" spans="1:6" ht="21.75" customHeight="1" thickBot="1">
      <c r="A81" s="355" t="s">
        <v>101</v>
      </c>
      <c r="B81" s="356">
        <v>650000</v>
      </c>
      <c r="C81" s="357">
        <v>1856000</v>
      </c>
      <c r="D81" s="358">
        <v>10780000</v>
      </c>
      <c r="E81" s="358">
        <f>13456000-1856000</f>
        <v>11600000</v>
      </c>
      <c r="F81" s="356">
        <f>24236000-1856000</f>
        <v>22380000</v>
      </c>
    </row>
    <row r="82" spans="1:6" ht="21.75" customHeight="1" thickBot="1">
      <c r="A82" s="355" t="s">
        <v>101</v>
      </c>
      <c r="B82" s="356">
        <v>650000</v>
      </c>
      <c r="C82" s="357">
        <v>1856000</v>
      </c>
      <c r="D82" s="358">
        <v>10577635</v>
      </c>
      <c r="E82" s="358">
        <f>11256000-1856000</f>
        <v>9400000</v>
      </c>
      <c r="F82" s="356">
        <f>23689635-1856000</f>
        <v>21833635</v>
      </c>
    </row>
    <row r="83" ht="6.75" customHeight="1" thickBot="1"/>
    <row r="84" spans="1:6" ht="43.5" customHeight="1">
      <c r="A84" s="708" t="s">
        <v>102</v>
      </c>
      <c r="B84" s="335" t="s">
        <v>93</v>
      </c>
      <c r="C84" s="336" t="s">
        <v>104</v>
      </c>
      <c r="D84" s="337" t="s">
        <v>94</v>
      </c>
      <c r="E84" s="337" t="s">
        <v>95</v>
      </c>
      <c r="F84" s="335" t="s">
        <v>96</v>
      </c>
    </row>
    <row r="85" spans="1:6" ht="21.75" customHeight="1" thickBot="1">
      <c r="A85" s="709"/>
      <c r="B85" s="338"/>
      <c r="C85" s="339" t="s">
        <v>105</v>
      </c>
      <c r="D85" s="340" t="s">
        <v>97</v>
      </c>
      <c r="E85" s="340" t="s">
        <v>98</v>
      </c>
      <c r="F85" s="338" t="s">
        <v>99</v>
      </c>
    </row>
    <row r="86" spans="1:6" ht="10.5" customHeight="1">
      <c r="A86" s="710" t="s">
        <v>144</v>
      </c>
      <c r="B86" s="341"/>
      <c r="C86" s="342"/>
      <c r="D86" s="344"/>
      <c r="E86" s="343">
        <v>0</v>
      </c>
      <c r="F86" s="345">
        <v>0</v>
      </c>
    </row>
    <row r="87" spans="1:6" ht="10.5" customHeight="1">
      <c r="A87" s="711"/>
      <c r="B87" s="346"/>
      <c r="C87" s="347"/>
      <c r="D87" s="348"/>
      <c r="E87" s="348">
        <v>2200000</v>
      </c>
      <c r="F87" s="349">
        <v>2200000</v>
      </c>
    </row>
    <row r="88" spans="1:6" ht="10.5" customHeight="1">
      <c r="A88" s="712" t="s">
        <v>145</v>
      </c>
      <c r="B88" s="715"/>
      <c r="C88" s="713"/>
      <c r="D88" s="719"/>
      <c r="E88" s="719">
        <v>6500000</v>
      </c>
      <c r="F88" s="717">
        <v>6500000</v>
      </c>
    </row>
    <row r="89" spans="1:6" ht="10.5" customHeight="1">
      <c r="A89" s="711"/>
      <c r="B89" s="716"/>
      <c r="C89" s="714"/>
      <c r="D89" s="720"/>
      <c r="E89" s="720"/>
      <c r="F89" s="718"/>
    </row>
    <row r="90" spans="1:6" ht="10.5" customHeight="1">
      <c r="A90" s="712" t="s">
        <v>146</v>
      </c>
      <c r="B90" s="715">
        <v>354974</v>
      </c>
      <c r="C90" s="713"/>
      <c r="D90" s="719">
        <v>245026</v>
      </c>
      <c r="E90" s="719"/>
      <c r="F90" s="717">
        <v>245026</v>
      </c>
    </row>
    <row r="91" spans="1:6" ht="10.5" customHeight="1">
      <c r="A91" s="711"/>
      <c r="B91" s="716"/>
      <c r="C91" s="714"/>
      <c r="D91" s="720"/>
      <c r="E91" s="720"/>
      <c r="F91" s="718"/>
    </row>
    <row r="92" spans="1:6" ht="10.5" customHeight="1">
      <c r="A92" s="712" t="s">
        <v>147</v>
      </c>
      <c r="B92" s="350"/>
      <c r="C92" s="351"/>
      <c r="D92" s="352">
        <v>3129000</v>
      </c>
      <c r="E92" s="353"/>
      <c r="F92" s="354">
        <v>3129000</v>
      </c>
    </row>
    <row r="93" spans="1:6" ht="10.5" customHeight="1">
      <c r="A93" s="711"/>
      <c r="B93" s="346"/>
      <c r="C93" s="347"/>
      <c r="D93" s="348">
        <v>2752329</v>
      </c>
      <c r="E93" s="348"/>
      <c r="F93" s="349">
        <v>2752329</v>
      </c>
    </row>
    <row r="94" spans="1:6" ht="10.5" customHeight="1">
      <c r="A94" s="712" t="s">
        <v>148</v>
      </c>
      <c r="B94" s="350"/>
      <c r="C94" s="351"/>
      <c r="D94" s="352">
        <v>0</v>
      </c>
      <c r="E94" s="353"/>
      <c r="F94" s="354">
        <v>0</v>
      </c>
    </row>
    <row r="95" spans="1:6" ht="10.5" customHeight="1">
      <c r="A95" s="711"/>
      <c r="B95" s="346"/>
      <c r="C95" s="347"/>
      <c r="D95" s="348">
        <v>6624</v>
      </c>
      <c r="E95" s="348"/>
      <c r="F95" s="349">
        <v>6624</v>
      </c>
    </row>
    <row r="96" spans="1:6" ht="10.5" customHeight="1">
      <c r="A96" s="712" t="s">
        <v>149</v>
      </c>
      <c r="B96" s="715">
        <v>86500</v>
      </c>
      <c r="C96" s="713"/>
      <c r="D96" s="719">
        <v>213500</v>
      </c>
      <c r="E96" s="719"/>
      <c r="F96" s="717">
        <v>213500</v>
      </c>
    </row>
    <row r="97" spans="1:6" ht="10.5" customHeight="1">
      <c r="A97" s="711"/>
      <c r="B97" s="716"/>
      <c r="C97" s="714"/>
      <c r="D97" s="720"/>
      <c r="E97" s="720"/>
      <c r="F97" s="718"/>
    </row>
    <row r="98" spans="1:6" ht="10.5" customHeight="1">
      <c r="A98" s="712" t="s">
        <v>150</v>
      </c>
      <c r="B98" s="715"/>
      <c r="C98" s="713"/>
      <c r="D98" s="719">
        <v>1900000</v>
      </c>
      <c r="E98" s="719"/>
      <c r="F98" s="717">
        <v>1900000</v>
      </c>
    </row>
    <row r="99" spans="1:6" ht="10.5" customHeight="1">
      <c r="A99" s="711"/>
      <c r="B99" s="716"/>
      <c r="C99" s="714"/>
      <c r="D99" s="720"/>
      <c r="E99" s="720"/>
      <c r="F99" s="718"/>
    </row>
    <row r="100" spans="1:6" ht="10.5" customHeight="1">
      <c r="A100" s="712" t="s">
        <v>151</v>
      </c>
      <c r="B100" s="715">
        <v>32130</v>
      </c>
      <c r="C100" s="713"/>
      <c r="D100" s="719">
        <v>1867870</v>
      </c>
      <c r="E100" s="719"/>
      <c r="F100" s="717">
        <v>1867870</v>
      </c>
    </row>
    <row r="101" spans="1:6" ht="10.5" customHeight="1">
      <c r="A101" s="711"/>
      <c r="B101" s="716"/>
      <c r="C101" s="714"/>
      <c r="D101" s="720"/>
      <c r="E101" s="720"/>
      <c r="F101" s="718"/>
    </row>
    <row r="102" spans="1:6" ht="10.5" customHeight="1">
      <c r="A102" s="712" t="s">
        <v>152</v>
      </c>
      <c r="B102" s="715"/>
      <c r="C102" s="713"/>
      <c r="D102" s="719">
        <v>350000</v>
      </c>
      <c r="E102" s="719"/>
      <c r="F102" s="717">
        <v>350000</v>
      </c>
    </row>
    <row r="103" spans="1:6" ht="10.5" customHeight="1">
      <c r="A103" s="711"/>
      <c r="B103" s="716"/>
      <c r="C103" s="714"/>
      <c r="D103" s="720"/>
      <c r="E103" s="720"/>
      <c r="F103" s="718"/>
    </row>
    <row r="104" spans="1:6" ht="10.5" customHeight="1">
      <c r="A104" s="712" t="s">
        <v>153</v>
      </c>
      <c r="B104" s="350"/>
      <c r="C104" s="351"/>
      <c r="D104" s="352">
        <v>804259</v>
      </c>
      <c r="E104" s="353"/>
      <c r="F104" s="354">
        <v>804259</v>
      </c>
    </row>
    <row r="105" spans="1:6" ht="10.5" customHeight="1">
      <c r="A105" s="711"/>
      <c r="B105" s="346"/>
      <c r="C105" s="347"/>
      <c r="D105" s="348">
        <v>0</v>
      </c>
      <c r="E105" s="348"/>
      <c r="F105" s="349">
        <v>0</v>
      </c>
    </row>
    <row r="106" spans="1:6" ht="10.5" customHeight="1">
      <c r="A106" s="712" t="s">
        <v>154</v>
      </c>
      <c r="B106" s="350">
        <v>330655</v>
      </c>
      <c r="C106" s="351"/>
      <c r="D106" s="352">
        <v>869345</v>
      </c>
      <c r="E106" s="353"/>
      <c r="F106" s="354">
        <v>869345</v>
      </c>
    </row>
    <row r="107" spans="1:6" ht="10.5" customHeight="1">
      <c r="A107" s="711"/>
      <c r="B107" s="346"/>
      <c r="C107" s="347"/>
      <c r="D107" s="348">
        <v>1230680.6</v>
      </c>
      <c r="E107" s="348"/>
      <c r="F107" s="349">
        <v>1230680.6</v>
      </c>
    </row>
    <row r="108" spans="1:6" ht="10.5" customHeight="1">
      <c r="A108" s="712" t="s">
        <v>155</v>
      </c>
      <c r="B108" s="350"/>
      <c r="C108" s="351"/>
      <c r="D108" s="352">
        <v>100000</v>
      </c>
      <c r="E108" s="353"/>
      <c r="F108" s="354">
        <v>100000</v>
      </c>
    </row>
    <row r="109" spans="1:6" ht="10.5" customHeight="1">
      <c r="A109" s="711"/>
      <c r="B109" s="346"/>
      <c r="C109" s="347"/>
      <c r="D109" s="348">
        <v>115335.4</v>
      </c>
      <c r="E109" s="348"/>
      <c r="F109" s="349">
        <v>115335.4</v>
      </c>
    </row>
    <row r="110" spans="1:6" ht="10.5" customHeight="1">
      <c r="A110" s="712" t="s">
        <v>156</v>
      </c>
      <c r="B110" s="715"/>
      <c r="C110" s="713"/>
      <c r="D110" s="719"/>
      <c r="E110" s="719">
        <v>80000</v>
      </c>
      <c r="F110" s="717">
        <v>80000</v>
      </c>
    </row>
    <row r="111" spans="1:6" ht="10.5" customHeight="1">
      <c r="A111" s="711"/>
      <c r="B111" s="716"/>
      <c r="C111" s="714"/>
      <c r="D111" s="720"/>
      <c r="E111" s="720"/>
      <c r="F111" s="718"/>
    </row>
    <row r="112" spans="1:6" ht="10.5" customHeight="1">
      <c r="A112" s="712" t="s">
        <v>157</v>
      </c>
      <c r="B112" s="715"/>
      <c r="C112" s="713"/>
      <c r="D112" s="719"/>
      <c r="E112" s="719">
        <v>220000</v>
      </c>
      <c r="F112" s="717">
        <v>220000</v>
      </c>
    </row>
    <row r="113" spans="1:6" ht="10.5" customHeight="1">
      <c r="A113" s="711"/>
      <c r="B113" s="716"/>
      <c r="C113" s="714"/>
      <c r="D113" s="720"/>
      <c r="E113" s="720"/>
      <c r="F113" s="718"/>
    </row>
    <row r="114" spans="1:6" ht="10.5" customHeight="1">
      <c r="A114" s="712" t="s">
        <v>158</v>
      </c>
      <c r="B114" s="715"/>
      <c r="C114" s="713"/>
      <c r="D114" s="719"/>
      <c r="E114" s="719">
        <v>850000</v>
      </c>
      <c r="F114" s="717">
        <v>850000</v>
      </c>
    </row>
    <row r="115" spans="1:6" ht="10.5" customHeight="1">
      <c r="A115" s="711"/>
      <c r="B115" s="716"/>
      <c r="C115" s="714"/>
      <c r="D115" s="720"/>
      <c r="E115" s="720"/>
      <c r="F115" s="718"/>
    </row>
    <row r="116" spans="1:6" ht="10.5" customHeight="1">
      <c r="A116" s="712" t="s">
        <v>159</v>
      </c>
      <c r="B116" s="715"/>
      <c r="C116" s="713"/>
      <c r="D116" s="719">
        <v>120000</v>
      </c>
      <c r="E116" s="719"/>
      <c r="F116" s="717">
        <v>120000</v>
      </c>
    </row>
    <row r="117" spans="1:6" ht="10.5" customHeight="1" thickBot="1">
      <c r="A117" s="723"/>
      <c r="B117" s="721"/>
      <c r="C117" s="724"/>
      <c r="D117" s="725"/>
      <c r="E117" s="725"/>
      <c r="F117" s="722"/>
    </row>
    <row r="118" spans="1:6" ht="21.75" customHeight="1" thickBot="1">
      <c r="A118" s="355" t="s">
        <v>103</v>
      </c>
      <c r="B118" s="356">
        <v>804259</v>
      </c>
      <c r="C118" s="357"/>
      <c r="D118" s="358">
        <v>9599000</v>
      </c>
      <c r="E118" s="358">
        <v>7650000</v>
      </c>
      <c r="F118" s="356">
        <v>17249000</v>
      </c>
    </row>
    <row r="119" spans="1:6" ht="21.75" customHeight="1" thickBot="1">
      <c r="A119" s="355" t="s">
        <v>103</v>
      </c>
      <c r="B119" s="356">
        <v>804259</v>
      </c>
      <c r="C119" s="357"/>
      <c r="D119" s="358">
        <v>8801365</v>
      </c>
      <c r="E119" s="358">
        <v>9850000</v>
      </c>
      <c r="F119" s="356">
        <v>18651365</v>
      </c>
    </row>
    <row r="120" ht="21.75" customHeight="1" thickBot="1"/>
    <row r="121" spans="1:6" ht="21.75" customHeight="1" thickBot="1">
      <c r="A121" s="355" t="s">
        <v>63</v>
      </c>
      <c r="B121" s="356">
        <v>1454259</v>
      </c>
      <c r="C121" s="357">
        <v>1856000</v>
      </c>
      <c r="D121" s="358">
        <v>20379000</v>
      </c>
      <c r="E121" s="358">
        <f>21106000-1856000</f>
        <v>19250000</v>
      </c>
      <c r="F121" s="356">
        <f>41485000</f>
        <v>41485000</v>
      </c>
    </row>
    <row r="122" spans="1:6" ht="21.75" customHeight="1" thickBot="1">
      <c r="A122" s="355" t="s">
        <v>63</v>
      </c>
      <c r="B122" s="356">
        <v>1454259</v>
      </c>
      <c r="C122" s="357">
        <v>1856000</v>
      </c>
      <c r="D122" s="358">
        <v>19379000</v>
      </c>
      <c r="E122" s="358">
        <f>21106000-1856000</f>
        <v>19250000</v>
      </c>
      <c r="F122" s="356">
        <f>42341000-1856000</f>
        <v>40485000</v>
      </c>
    </row>
  </sheetData>
  <mergeCells count="242">
    <mergeCell ref="A112:A113"/>
    <mergeCell ref="C112:C113"/>
    <mergeCell ref="D112:D113"/>
    <mergeCell ref="F116:F117"/>
    <mergeCell ref="F114:F115"/>
    <mergeCell ref="A116:A117"/>
    <mergeCell ref="C116:C117"/>
    <mergeCell ref="D116:D117"/>
    <mergeCell ref="E116:E117"/>
    <mergeCell ref="B116:B117"/>
    <mergeCell ref="A114:A115"/>
    <mergeCell ref="C114:C115"/>
    <mergeCell ref="D114:D115"/>
    <mergeCell ref="E114:E115"/>
    <mergeCell ref="B114:B115"/>
    <mergeCell ref="B112:B113"/>
    <mergeCell ref="B110:B111"/>
    <mergeCell ref="F110:F111"/>
    <mergeCell ref="D110:D111"/>
    <mergeCell ref="E110:E111"/>
    <mergeCell ref="F112:F113"/>
    <mergeCell ref="E112:E113"/>
    <mergeCell ref="A106:A107"/>
    <mergeCell ref="A108:A109"/>
    <mergeCell ref="A110:A111"/>
    <mergeCell ref="C110:C111"/>
    <mergeCell ref="B102:B103"/>
    <mergeCell ref="F102:F103"/>
    <mergeCell ref="A104:A105"/>
    <mergeCell ref="B100:B101"/>
    <mergeCell ref="F100:F101"/>
    <mergeCell ref="A102:A103"/>
    <mergeCell ref="C102:C103"/>
    <mergeCell ref="D102:D103"/>
    <mergeCell ref="E102:E103"/>
    <mergeCell ref="A100:A101"/>
    <mergeCell ref="C100:C101"/>
    <mergeCell ref="D100:D101"/>
    <mergeCell ref="E100:E101"/>
    <mergeCell ref="F96:F97"/>
    <mergeCell ref="E96:E97"/>
    <mergeCell ref="F98:F99"/>
    <mergeCell ref="A98:A99"/>
    <mergeCell ref="C98:C99"/>
    <mergeCell ref="D98:D99"/>
    <mergeCell ref="E98:E99"/>
    <mergeCell ref="B98:B99"/>
    <mergeCell ref="A94:A95"/>
    <mergeCell ref="A96:A97"/>
    <mergeCell ref="C96:C97"/>
    <mergeCell ref="D96:D97"/>
    <mergeCell ref="B96:B97"/>
    <mergeCell ref="B90:B91"/>
    <mergeCell ref="F90:F91"/>
    <mergeCell ref="A92:A93"/>
    <mergeCell ref="B88:B89"/>
    <mergeCell ref="F88:F89"/>
    <mergeCell ref="A90:A91"/>
    <mergeCell ref="C90:C91"/>
    <mergeCell ref="D90:D91"/>
    <mergeCell ref="E90:E91"/>
    <mergeCell ref="E88:E89"/>
    <mergeCell ref="A86:A87"/>
    <mergeCell ref="A88:A89"/>
    <mergeCell ref="C88:C89"/>
    <mergeCell ref="D88:D89"/>
    <mergeCell ref="E77:E78"/>
    <mergeCell ref="B79:B80"/>
    <mergeCell ref="F79:F80"/>
    <mergeCell ref="A84:A85"/>
    <mergeCell ref="B77:B78"/>
    <mergeCell ref="F77:F78"/>
    <mergeCell ref="A79:A80"/>
    <mergeCell ref="C79:C80"/>
    <mergeCell ref="D79:D80"/>
    <mergeCell ref="E79:E80"/>
    <mergeCell ref="A75:A76"/>
    <mergeCell ref="A77:A78"/>
    <mergeCell ref="C77:C78"/>
    <mergeCell ref="D77:D78"/>
    <mergeCell ref="F69:F70"/>
    <mergeCell ref="A71:A72"/>
    <mergeCell ref="A73:A74"/>
    <mergeCell ref="C73:C74"/>
    <mergeCell ref="D73:D74"/>
    <mergeCell ref="E73:E74"/>
    <mergeCell ref="B73:B74"/>
    <mergeCell ref="F73:F74"/>
    <mergeCell ref="A69:A70"/>
    <mergeCell ref="C69:C70"/>
    <mergeCell ref="D69:D70"/>
    <mergeCell ref="E69:E70"/>
    <mergeCell ref="B69:B70"/>
    <mergeCell ref="D63:D64"/>
    <mergeCell ref="E65:E66"/>
    <mergeCell ref="B65:B66"/>
    <mergeCell ref="B63:B64"/>
    <mergeCell ref="F65:F66"/>
    <mergeCell ref="A67:A68"/>
    <mergeCell ref="C67:C68"/>
    <mergeCell ref="D67:D68"/>
    <mergeCell ref="E67:E68"/>
    <mergeCell ref="B67:B68"/>
    <mergeCell ref="F67:F68"/>
    <mergeCell ref="A65:A66"/>
    <mergeCell ref="C65:C66"/>
    <mergeCell ref="D65:D66"/>
    <mergeCell ref="B57:B58"/>
    <mergeCell ref="F57:F58"/>
    <mergeCell ref="A59:A60"/>
    <mergeCell ref="A61:A62"/>
    <mergeCell ref="C61:C62"/>
    <mergeCell ref="A57:A58"/>
    <mergeCell ref="C57:C58"/>
    <mergeCell ref="D57:D58"/>
    <mergeCell ref="E57:E58"/>
    <mergeCell ref="F63:F64"/>
    <mergeCell ref="E63:E64"/>
    <mergeCell ref="A63:A64"/>
    <mergeCell ref="C63:C64"/>
    <mergeCell ref="F53:F54"/>
    <mergeCell ref="A55:A56"/>
    <mergeCell ref="C55:C56"/>
    <mergeCell ref="D55:D56"/>
    <mergeCell ref="E55:E56"/>
    <mergeCell ref="B55:B56"/>
    <mergeCell ref="F55:F56"/>
    <mergeCell ref="A53:A54"/>
    <mergeCell ref="C53:C54"/>
    <mergeCell ref="D53:D54"/>
    <mergeCell ref="E53:E54"/>
    <mergeCell ref="B53:B54"/>
    <mergeCell ref="F47:F48"/>
    <mergeCell ref="A49:A50"/>
    <mergeCell ref="A51:A52"/>
    <mergeCell ref="C51:C52"/>
    <mergeCell ref="D51:D52"/>
    <mergeCell ref="E51:E52"/>
    <mergeCell ref="B51:B52"/>
    <mergeCell ref="F51:F52"/>
    <mergeCell ref="A47:A48"/>
    <mergeCell ref="C47:C48"/>
    <mergeCell ref="D47:D48"/>
    <mergeCell ref="E47:E48"/>
    <mergeCell ref="B47:B48"/>
    <mergeCell ref="F43:F44"/>
    <mergeCell ref="A45:A46"/>
    <mergeCell ref="C45:C46"/>
    <mergeCell ref="D45:D46"/>
    <mergeCell ref="E45:E46"/>
    <mergeCell ref="B45:B46"/>
    <mergeCell ref="F45:F46"/>
    <mergeCell ref="A43:A44"/>
    <mergeCell ref="C43:C44"/>
    <mergeCell ref="D43:D44"/>
    <mergeCell ref="E43:E44"/>
    <mergeCell ref="B43:B44"/>
    <mergeCell ref="B41:B42"/>
    <mergeCell ref="B37:B38"/>
    <mergeCell ref="F37:F38"/>
    <mergeCell ref="A39:A40"/>
    <mergeCell ref="F41:F42"/>
    <mergeCell ref="E41:E42"/>
    <mergeCell ref="A41:A42"/>
    <mergeCell ref="C41:C42"/>
    <mergeCell ref="D41:D42"/>
    <mergeCell ref="F35:F36"/>
    <mergeCell ref="A37:A38"/>
    <mergeCell ref="C37:C38"/>
    <mergeCell ref="D37:D38"/>
    <mergeCell ref="E37:E38"/>
    <mergeCell ref="A35:A36"/>
    <mergeCell ref="C35:C36"/>
    <mergeCell ref="D35:D36"/>
    <mergeCell ref="E35:E36"/>
    <mergeCell ref="B35:B36"/>
    <mergeCell ref="E31:E32"/>
    <mergeCell ref="B31:B32"/>
    <mergeCell ref="F31:F32"/>
    <mergeCell ref="A33:A34"/>
    <mergeCell ref="C33:C34"/>
    <mergeCell ref="D33:D34"/>
    <mergeCell ref="E33:E34"/>
    <mergeCell ref="B33:B34"/>
    <mergeCell ref="F33:F34"/>
    <mergeCell ref="A29:A30"/>
    <mergeCell ref="A31:A32"/>
    <mergeCell ref="C31:C32"/>
    <mergeCell ref="D31:D32"/>
    <mergeCell ref="F25:F26"/>
    <mergeCell ref="A27:A28"/>
    <mergeCell ref="C27:C28"/>
    <mergeCell ref="D27:D28"/>
    <mergeCell ref="E27:E28"/>
    <mergeCell ref="B27:B28"/>
    <mergeCell ref="F27:F28"/>
    <mergeCell ref="A25:A26"/>
    <mergeCell ref="C25:C26"/>
    <mergeCell ref="D25:D26"/>
    <mergeCell ref="E25:E26"/>
    <mergeCell ref="B25:B26"/>
    <mergeCell ref="F19:F20"/>
    <mergeCell ref="A21:A22"/>
    <mergeCell ref="A23:A24"/>
    <mergeCell ref="C23:C24"/>
    <mergeCell ref="D23:D24"/>
    <mergeCell ref="E23:E24"/>
    <mergeCell ref="B23:B24"/>
    <mergeCell ref="F23:F24"/>
    <mergeCell ref="A19:A20"/>
    <mergeCell ref="C19:C20"/>
    <mergeCell ref="D19:D20"/>
    <mergeCell ref="E19:E20"/>
    <mergeCell ref="B19:B20"/>
    <mergeCell ref="B17:B18"/>
    <mergeCell ref="B13:B14"/>
    <mergeCell ref="F13:F14"/>
    <mergeCell ref="A15:A16"/>
    <mergeCell ref="F17:F18"/>
    <mergeCell ref="E17:E18"/>
    <mergeCell ref="A17:A18"/>
    <mergeCell ref="C17:C18"/>
    <mergeCell ref="D17:D18"/>
    <mergeCell ref="F11:F12"/>
    <mergeCell ref="A13:A14"/>
    <mergeCell ref="C13:C14"/>
    <mergeCell ref="D13:D14"/>
    <mergeCell ref="E13:E14"/>
    <mergeCell ref="E11:E12"/>
    <mergeCell ref="A11:A12"/>
    <mergeCell ref="C11:C12"/>
    <mergeCell ref="D11:D12"/>
    <mergeCell ref="B11:B12"/>
    <mergeCell ref="F7:F8"/>
    <mergeCell ref="D7:D8"/>
    <mergeCell ref="E7:E8"/>
    <mergeCell ref="A9:A10"/>
    <mergeCell ref="A3:A4"/>
    <mergeCell ref="A5:A6"/>
    <mergeCell ref="A7:A8"/>
    <mergeCell ref="C7:C8"/>
    <mergeCell ref="B7:B8"/>
  </mergeCells>
  <printOptions horizontalCentered="1"/>
  <pageMargins left="0.35433070866141736" right="0.35433070866141736" top="0.4330708661417323" bottom="0.43307086614173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Q52"/>
  <sheetViews>
    <sheetView workbookViewId="0" topLeftCell="A1">
      <selection activeCell="H13" sqref="H13"/>
    </sheetView>
  </sheetViews>
  <sheetFormatPr defaultColWidth="9.00390625" defaultRowHeight="12.75"/>
  <cols>
    <col min="1" max="1" width="33.125" style="479" customWidth="1"/>
    <col min="2" max="2" width="2.625" style="44" customWidth="1"/>
    <col min="3" max="3" width="9.75390625" style="480" hidden="1" customWidth="1"/>
    <col min="4" max="4" width="9.25390625" style="480" hidden="1" customWidth="1"/>
    <col min="5" max="5" width="10.25390625" style="480" customWidth="1"/>
    <col min="6" max="6" width="10.125" style="480" customWidth="1"/>
    <col min="7" max="7" width="8.875" style="480" customWidth="1"/>
    <col min="8" max="8" width="9.75390625" style="480" customWidth="1"/>
    <col min="9" max="9" width="10.125" style="480" customWidth="1"/>
    <col min="10" max="10" width="8.875" style="480" customWidth="1"/>
    <col min="11" max="11" width="9.75390625" style="480" customWidth="1"/>
    <col min="12" max="12" width="7.875" style="482" customWidth="1"/>
    <col min="13" max="13" width="9.125" style="479" customWidth="1"/>
    <col min="14" max="14" width="9.25390625" style="479" customWidth="1"/>
    <col min="15" max="15" width="9.125" style="479" customWidth="1"/>
    <col min="16" max="17" width="7.625" style="479" customWidth="1"/>
    <col min="18" max="16384" width="9.125" style="479" customWidth="1"/>
  </cols>
  <sheetData>
    <row r="1" spans="8:11" ht="4.5" customHeight="1">
      <c r="H1" s="481" t="s">
        <v>259</v>
      </c>
      <c r="K1" s="481"/>
    </row>
    <row r="2" spans="1:2" ht="16.5" thickBot="1">
      <c r="A2" s="4" t="s">
        <v>260</v>
      </c>
      <c r="B2" s="4"/>
    </row>
    <row r="3" spans="1:17" s="481" customFormat="1" ht="20.25" customHeight="1">
      <c r="A3" s="734" t="s">
        <v>261</v>
      </c>
      <c r="B3" s="614" t="s">
        <v>67</v>
      </c>
      <c r="C3" s="749" t="s">
        <v>48</v>
      </c>
      <c r="D3" s="750"/>
      <c r="E3" s="758"/>
      <c r="F3" s="749" t="s">
        <v>262</v>
      </c>
      <c r="G3" s="750"/>
      <c r="H3" s="750"/>
      <c r="I3" s="760" t="s">
        <v>46</v>
      </c>
      <c r="J3" s="761"/>
      <c r="K3" s="762"/>
      <c r="L3" s="747" t="s">
        <v>64</v>
      </c>
      <c r="M3" s="749" t="s">
        <v>263</v>
      </c>
      <c r="N3" s="750"/>
      <c r="O3" s="750"/>
      <c r="P3" s="734" t="s">
        <v>264</v>
      </c>
      <c r="Q3" s="753"/>
    </row>
    <row r="4" spans="1:17" s="481" customFormat="1" ht="6" customHeight="1">
      <c r="A4" s="735"/>
      <c r="B4" s="615"/>
      <c r="C4" s="751"/>
      <c r="D4" s="752"/>
      <c r="E4" s="759"/>
      <c r="F4" s="751"/>
      <c r="G4" s="752"/>
      <c r="H4" s="752"/>
      <c r="I4" s="763"/>
      <c r="J4" s="764"/>
      <c r="K4" s="765"/>
      <c r="L4" s="748"/>
      <c r="M4" s="751"/>
      <c r="N4" s="752"/>
      <c r="O4" s="752"/>
      <c r="P4" s="754"/>
      <c r="Q4" s="755"/>
    </row>
    <row r="5" spans="1:17" s="481" customFormat="1" ht="12.75" customHeight="1">
      <c r="A5" s="735"/>
      <c r="B5" s="615"/>
      <c r="C5" s="756" t="s">
        <v>265</v>
      </c>
      <c r="D5" s="757" t="s">
        <v>266</v>
      </c>
      <c r="E5" s="730" t="s">
        <v>267</v>
      </c>
      <c r="F5" s="732" t="s">
        <v>265</v>
      </c>
      <c r="G5" s="728" t="s">
        <v>266</v>
      </c>
      <c r="H5" s="730" t="s">
        <v>267</v>
      </c>
      <c r="I5" s="756" t="s">
        <v>265</v>
      </c>
      <c r="J5" s="757" t="s">
        <v>266</v>
      </c>
      <c r="K5" s="766" t="s">
        <v>267</v>
      </c>
      <c r="L5" s="741" t="s">
        <v>60</v>
      </c>
      <c r="M5" s="732" t="s">
        <v>265</v>
      </c>
      <c r="N5" s="728" t="s">
        <v>266</v>
      </c>
      <c r="O5" s="730" t="s">
        <v>267</v>
      </c>
      <c r="P5" s="739" t="s">
        <v>268</v>
      </c>
      <c r="Q5" s="741" t="s">
        <v>60</v>
      </c>
    </row>
    <row r="6" spans="1:17" s="481" customFormat="1" ht="13.5" customHeight="1" thickBot="1">
      <c r="A6" s="736"/>
      <c r="B6" s="616"/>
      <c r="C6" s="733"/>
      <c r="D6" s="729"/>
      <c r="E6" s="731"/>
      <c r="F6" s="733"/>
      <c r="G6" s="729"/>
      <c r="H6" s="731"/>
      <c r="I6" s="733"/>
      <c r="J6" s="729"/>
      <c r="K6" s="731"/>
      <c r="L6" s="742"/>
      <c r="M6" s="733"/>
      <c r="N6" s="729"/>
      <c r="O6" s="731"/>
      <c r="P6" s="740"/>
      <c r="Q6" s="742"/>
    </row>
    <row r="7" spans="1:17" s="481" customFormat="1" ht="16.5" customHeight="1">
      <c r="A7" s="483" t="s">
        <v>11</v>
      </c>
      <c r="B7" s="250">
        <v>1</v>
      </c>
      <c r="C7" s="484">
        <v>0</v>
      </c>
      <c r="D7" s="485"/>
      <c r="E7" s="486"/>
      <c r="F7" s="484"/>
      <c r="G7" s="485"/>
      <c r="H7" s="486"/>
      <c r="I7" s="484"/>
      <c r="J7" s="485"/>
      <c r="K7" s="486"/>
      <c r="L7" s="487"/>
      <c r="M7" s="484">
        <v>0</v>
      </c>
      <c r="N7" s="485"/>
      <c r="O7" s="486"/>
      <c r="P7" s="488"/>
      <c r="Q7" s="487"/>
    </row>
    <row r="8" spans="1:17" s="481" customFormat="1" ht="16.5" customHeight="1">
      <c r="A8" s="489" t="s">
        <v>12</v>
      </c>
      <c r="B8" s="251">
        <v>2</v>
      </c>
      <c r="C8" s="490">
        <v>55950</v>
      </c>
      <c r="D8" s="485"/>
      <c r="E8" s="486">
        <v>55950</v>
      </c>
      <c r="F8" s="490">
        <v>56500</v>
      </c>
      <c r="G8" s="485"/>
      <c r="H8" s="486">
        <f>+F8+G8</f>
        <v>56500</v>
      </c>
      <c r="I8" s="490">
        <v>28397.04</v>
      </c>
      <c r="J8" s="485"/>
      <c r="K8" s="486">
        <f>+I8+J8</f>
        <v>28397.04</v>
      </c>
      <c r="L8" s="491">
        <f>+K8/H8</f>
        <v>0.5026024778761062</v>
      </c>
      <c r="M8" s="490">
        <v>57762</v>
      </c>
      <c r="N8" s="485"/>
      <c r="O8" s="486">
        <f>+M8+N8</f>
        <v>57762</v>
      </c>
      <c r="P8" s="484">
        <f aca="true" t="shared" si="0" ref="P8:P35">+O8-H8</f>
        <v>1262</v>
      </c>
      <c r="Q8" s="491">
        <f>+O8/H8</f>
        <v>1.0223362831858407</v>
      </c>
    </row>
    <row r="9" spans="1:17" s="481" customFormat="1" ht="16.5" customHeight="1">
      <c r="A9" s="489" t="s">
        <v>13</v>
      </c>
      <c r="B9" s="248">
        <v>3</v>
      </c>
      <c r="C9" s="490">
        <v>0</v>
      </c>
      <c r="D9" s="485"/>
      <c r="E9" s="486"/>
      <c r="F9" s="490"/>
      <c r="G9" s="485"/>
      <c r="H9" s="486"/>
      <c r="I9" s="490"/>
      <c r="J9" s="485"/>
      <c r="K9" s="486"/>
      <c r="L9" s="491"/>
      <c r="M9" s="490">
        <v>0</v>
      </c>
      <c r="N9" s="485"/>
      <c r="O9" s="486"/>
      <c r="P9" s="484">
        <f t="shared" si="0"/>
        <v>0</v>
      </c>
      <c r="Q9" s="491"/>
    </row>
    <row r="10" spans="1:17" s="481" customFormat="1" ht="16.5" customHeight="1">
      <c r="A10" s="489" t="s">
        <v>14</v>
      </c>
      <c r="B10" s="251">
        <v>4</v>
      </c>
      <c r="C10" s="490">
        <v>0</v>
      </c>
      <c r="D10" s="485"/>
      <c r="E10" s="486"/>
      <c r="F10" s="490"/>
      <c r="G10" s="485"/>
      <c r="H10" s="486"/>
      <c r="I10" s="490"/>
      <c r="J10" s="485"/>
      <c r="K10" s="486"/>
      <c r="L10" s="491"/>
      <c r="M10" s="490">
        <v>0</v>
      </c>
      <c r="N10" s="485"/>
      <c r="O10" s="486"/>
      <c r="P10" s="484">
        <f t="shared" si="0"/>
        <v>0</v>
      </c>
      <c r="Q10" s="491"/>
    </row>
    <row r="11" spans="1:17" s="481" customFormat="1" ht="16.5" customHeight="1">
      <c r="A11" s="489" t="s">
        <v>15</v>
      </c>
      <c r="B11" s="248">
        <v>5</v>
      </c>
      <c r="C11" s="490">
        <v>1774</v>
      </c>
      <c r="D11" s="485"/>
      <c r="E11" s="486">
        <v>1774</v>
      </c>
      <c r="F11" s="490">
        <v>1000</v>
      </c>
      <c r="G11" s="485"/>
      <c r="H11" s="486">
        <f>+F11+G11</f>
        <v>1000</v>
      </c>
      <c r="I11" s="490">
        <f>78.15+64.11+990.37</f>
        <v>1132.63</v>
      </c>
      <c r="J11" s="485"/>
      <c r="K11" s="486">
        <f>+I11+J11</f>
        <v>1132.63</v>
      </c>
      <c r="L11" s="491">
        <f>+K11/H11</f>
        <v>1.13263</v>
      </c>
      <c r="M11" s="490">
        <v>2170</v>
      </c>
      <c r="N11" s="485"/>
      <c r="O11" s="486">
        <f>+M11+N11</f>
        <v>2170</v>
      </c>
      <c r="P11" s="484">
        <f t="shared" si="0"/>
        <v>1170</v>
      </c>
      <c r="Q11" s="491">
        <f>+O11/H11</f>
        <v>2.17</v>
      </c>
    </row>
    <row r="12" spans="1:17" s="481" customFormat="1" ht="16.5" customHeight="1">
      <c r="A12" s="489" t="s">
        <v>16</v>
      </c>
      <c r="B12" s="251">
        <v>6</v>
      </c>
      <c r="C12" s="490">
        <v>313</v>
      </c>
      <c r="D12" s="485"/>
      <c r="E12" s="486">
        <v>313</v>
      </c>
      <c r="F12" s="490">
        <v>200</v>
      </c>
      <c r="G12" s="485"/>
      <c r="H12" s="486">
        <v>200</v>
      </c>
      <c r="I12" s="490">
        <v>64.11</v>
      </c>
      <c r="J12" s="485"/>
      <c r="K12" s="486">
        <f>+I12+J12</f>
        <v>64.11</v>
      </c>
      <c r="L12" s="491">
        <f>+K12/H12</f>
        <v>0.32055</v>
      </c>
      <c r="M12" s="490">
        <v>200</v>
      </c>
      <c r="N12" s="485"/>
      <c r="O12" s="486">
        <f>+M12+N12</f>
        <v>200</v>
      </c>
      <c r="P12" s="484">
        <f t="shared" si="0"/>
        <v>0</v>
      </c>
      <c r="Q12" s="491">
        <f>+O12/H12</f>
        <v>1</v>
      </c>
    </row>
    <row r="13" spans="1:17" s="481" customFormat="1" ht="16.5" customHeight="1">
      <c r="A13" s="489" t="s">
        <v>17</v>
      </c>
      <c r="B13" s="248">
        <v>7</v>
      </c>
      <c r="C13" s="490"/>
      <c r="D13" s="485"/>
      <c r="E13" s="486"/>
      <c r="F13" s="490"/>
      <c r="G13" s="485"/>
      <c r="H13" s="486"/>
      <c r="I13" s="490"/>
      <c r="J13" s="485"/>
      <c r="K13" s="486"/>
      <c r="L13" s="491"/>
      <c r="M13" s="490">
        <v>0</v>
      </c>
      <c r="N13" s="485"/>
      <c r="O13" s="486"/>
      <c r="P13" s="484">
        <f t="shared" si="0"/>
        <v>0</v>
      </c>
      <c r="Q13" s="491"/>
    </row>
    <row r="14" spans="1:17" s="481" customFormat="1" ht="16.5" customHeight="1">
      <c r="A14" s="489" t="s">
        <v>18</v>
      </c>
      <c r="B14" s="248">
        <v>8</v>
      </c>
      <c r="C14" s="490"/>
      <c r="D14" s="485"/>
      <c r="E14" s="486"/>
      <c r="F14" s="490"/>
      <c r="G14" s="485"/>
      <c r="H14" s="486"/>
      <c r="I14" s="490"/>
      <c r="J14" s="485"/>
      <c r="K14" s="486"/>
      <c r="L14" s="491"/>
      <c r="M14" s="490">
        <v>0</v>
      </c>
      <c r="N14" s="485"/>
      <c r="O14" s="486"/>
      <c r="P14" s="484">
        <f t="shared" si="0"/>
        <v>0</v>
      </c>
      <c r="Q14" s="491"/>
    </row>
    <row r="15" spans="1:17" s="481" customFormat="1" ht="16.5" customHeight="1" thickBot="1">
      <c r="A15" s="492" t="s">
        <v>19</v>
      </c>
      <c r="B15" s="251">
        <v>9</v>
      </c>
      <c r="C15" s="490">
        <v>111657</v>
      </c>
      <c r="D15" s="485"/>
      <c r="E15" s="486">
        <v>111657</v>
      </c>
      <c r="F15" s="490">
        <v>128138</v>
      </c>
      <c r="G15" s="485"/>
      <c r="H15" s="486">
        <f>+F15+G15</f>
        <v>128138</v>
      </c>
      <c r="I15" s="490">
        <v>64068</v>
      </c>
      <c r="J15" s="485"/>
      <c r="K15" s="486">
        <f>+I15+J15</f>
        <v>64068</v>
      </c>
      <c r="L15" s="491">
        <f>+K15/H15</f>
        <v>0.49999219591378047</v>
      </c>
      <c r="M15" s="490">
        <v>128138</v>
      </c>
      <c r="N15" s="485"/>
      <c r="O15" s="486">
        <f>+M15+N15</f>
        <v>128138</v>
      </c>
      <c r="P15" s="484">
        <f t="shared" si="0"/>
        <v>0</v>
      </c>
      <c r="Q15" s="491">
        <f>+O15/H15</f>
        <v>1</v>
      </c>
    </row>
    <row r="16" spans="1:17" s="513" customFormat="1" ht="17.25" customHeight="1" thickBot="1">
      <c r="A16" s="493" t="s">
        <v>20</v>
      </c>
      <c r="B16" s="247">
        <v>10</v>
      </c>
      <c r="C16" s="509">
        <v>169381</v>
      </c>
      <c r="D16" s="510"/>
      <c r="E16" s="511">
        <v>169381</v>
      </c>
      <c r="F16" s="509">
        <f>+F8+F11+F15</f>
        <v>185638</v>
      </c>
      <c r="G16" s="510"/>
      <c r="H16" s="511">
        <f>+H8+H11+H15</f>
        <v>185638</v>
      </c>
      <c r="I16" s="509">
        <f>+I8+I11+I15</f>
        <v>93597.67</v>
      </c>
      <c r="J16" s="510"/>
      <c r="K16" s="511">
        <f>+K8+K11+K15</f>
        <v>93597.67</v>
      </c>
      <c r="L16" s="529">
        <f>+K16/H16</f>
        <v>0.5041945614583221</v>
      </c>
      <c r="M16" s="509">
        <f>+M8+M11+M15</f>
        <v>188070</v>
      </c>
      <c r="N16" s="510"/>
      <c r="O16" s="511">
        <f>+O8+O11+O15</f>
        <v>188070</v>
      </c>
      <c r="P16" s="530">
        <f t="shared" si="0"/>
        <v>2432</v>
      </c>
      <c r="Q16" s="529">
        <f>+O16/H16</f>
        <v>1.0131007660069598</v>
      </c>
    </row>
    <row r="17" spans="1:17" s="481" customFormat="1" ht="12" customHeight="1">
      <c r="A17" s="494" t="s">
        <v>21</v>
      </c>
      <c r="B17" s="250">
        <v>11</v>
      </c>
      <c r="C17" s="495">
        <v>15073</v>
      </c>
      <c r="D17" s="496"/>
      <c r="E17" s="497">
        <f>+C17+D17</f>
        <v>15073</v>
      </c>
      <c r="F17" s="495">
        <v>15161</v>
      </c>
      <c r="G17" s="496"/>
      <c r="H17" s="498">
        <f aca="true" t="shared" si="1" ref="H17:H34">+F17+G17</f>
        <v>15161</v>
      </c>
      <c r="I17" s="495">
        <v>6621.37</v>
      </c>
      <c r="J17" s="496"/>
      <c r="K17" s="498">
        <f>+I17+J17</f>
        <v>6621.37</v>
      </c>
      <c r="L17" s="499">
        <f>+K17/H17</f>
        <v>0.43673702262383746</v>
      </c>
      <c r="M17" s="495">
        <v>13011</v>
      </c>
      <c r="N17" s="496"/>
      <c r="O17" s="498">
        <f aca="true" t="shared" si="2" ref="O17:O33">+M17+N17</f>
        <v>13011</v>
      </c>
      <c r="P17" s="484">
        <f t="shared" si="0"/>
        <v>-2150</v>
      </c>
      <c r="Q17" s="499">
        <f>+O17/H17</f>
        <v>0.858188773827584</v>
      </c>
    </row>
    <row r="18" spans="1:17" s="481" customFormat="1" ht="12" customHeight="1">
      <c r="A18" s="489" t="s">
        <v>22</v>
      </c>
      <c r="B18" s="248">
        <v>12</v>
      </c>
      <c r="C18" s="490">
        <v>2415</v>
      </c>
      <c r="D18" s="496"/>
      <c r="E18" s="497">
        <f>+C18+D18</f>
        <v>2415</v>
      </c>
      <c r="F18" s="490">
        <v>1505</v>
      </c>
      <c r="G18" s="496"/>
      <c r="H18" s="486">
        <f t="shared" si="1"/>
        <v>1505</v>
      </c>
      <c r="I18" s="490"/>
      <c r="J18" s="496"/>
      <c r="K18" s="486"/>
      <c r="L18" s="491"/>
      <c r="M18" s="490">
        <v>1505</v>
      </c>
      <c r="N18" s="496"/>
      <c r="O18" s="486">
        <f t="shared" si="2"/>
        <v>1505</v>
      </c>
      <c r="P18" s="484">
        <f t="shared" si="0"/>
        <v>0</v>
      </c>
      <c r="Q18" s="491">
        <f>+O18/H18</f>
        <v>1</v>
      </c>
    </row>
    <row r="19" spans="1:17" s="481" customFormat="1" ht="12" customHeight="1">
      <c r="A19" s="489" t="s">
        <v>23</v>
      </c>
      <c r="B19" s="250">
        <v>13</v>
      </c>
      <c r="C19" s="490">
        <v>2555</v>
      </c>
      <c r="D19" s="485"/>
      <c r="E19" s="497">
        <f>+C19+D19</f>
        <v>2555</v>
      </c>
      <c r="F19" s="490">
        <v>2949</v>
      </c>
      <c r="G19" s="485"/>
      <c r="H19" s="486">
        <f t="shared" si="1"/>
        <v>2949</v>
      </c>
      <c r="I19" s="490">
        <v>1436.67</v>
      </c>
      <c r="J19" s="485"/>
      <c r="K19" s="486">
        <f>+I19+J19</f>
        <v>1436.67</v>
      </c>
      <c r="L19" s="491">
        <f>+K19/H19</f>
        <v>0.4871719226856562</v>
      </c>
      <c r="M19" s="490">
        <v>2949</v>
      </c>
      <c r="N19" s="485"/>
      <c r="O19" s="486">
        <f t="shared" si="2"/>
        <v>2949</v>
      </c>
      <c r="P19" s="484">
        <f t="shared" si="0"/>
        <v>0</v>
      </c>
      <c r="Q19" s="491">
        <f>+O19/H19</f>
        <v>1</v>
      </c>
    </row>
    <row r="20" spans="1:17" s="481" customFormat="1" ht="12" customHeight="1">
      <c r="A20" s="489" t="s">
        <v>24</v>
      </c>
      <c r="B20" s="251">
        <v>14</v>
      </c>
      <c r="C20" s="490"/>
      <c r="D20" s="485"/>
      <c r="E20" s="497"/>
      <c r="F20" s="490"/>
      <c r="G20" s="485"/>
      <c r="H20" s="486">
        <f t="shared" si="1"/>
        <v>0</v>
      </c>
      <c r="I20" s="490">
        <v>0</v>
      </c>
      <c r="J20" s="485"/>
      <c r="K20" s="486"/>
      <c r="L20" s="491"/>
      <c r="M20" s="490">
        <v>0</v>
      </c>
      <c r="N20" s="485"/>
      <c r="O20" s="486">
        <f t="shared" si="2"/>
        <v>0</v>
      </c>
      <c r="P20" s="484">
        <f t="shared" si="0"/>
        <v>0</v>
      </c>
      <c r="Q20" s="491"/>
    </row>
    <row r="21" spans="1:17" s="481" customFormat="1" ht="12" customHeight="1">
      <c r="A21" s="489" t="s">
        <v>25</v>
      </c>
      <c r="B21" s="248">
        <v>15</v>
      </c>
      <c r="C21" s="500"/>
      <c r="D21" s="485"/>
      <c r="E21" s="497"/>
      <c r="F21" s="500"/>
      <c r="G21" s="485"/>
      <c r="H21" s="486">
        <f t="shared" si="1"/>
        <v>0</v>
      </c>
      <c r="I21" s="500"/>
      <c r="J21" s="485"/>
      <c r="K21" s="486"/>
      <c r="L21" s="491"/>
      <c r="M21" s="500">
        <v>0</v>
      </c>
      <c r="N21" s="485"/>
      <c r="O21" s="486">
        <f t="shared" si="2"/>
        <v>0</v>
      </c>
      <c r="P21" s="484">
        <f t="shared" si="0"/>
        <v>0</v>
      </c>
      <c r="Q21" s="491"/>
    </row>
    <row r="22" spans="1:17" s="481" customFormat="1" ht="12" customHeight="1">
      <c r="A22" s="489" t="s">
        <v>26</v>
      </c>
      <c r="B22" s="251">
        <v>16</v>
      </c>
      <c r="C22" s="490">
        <v>10728</v>
      </c>
      <c r="D22" s="485"/>
      <c r="E22" s="497">
        <f aca="true" t="shared" si="3" ref="E22:E34">+C22+D22</f>
        <v>10728</v>
      </c>
      <c r="F22" s="490">
        <v>14436</v>
      </c>
      <c r="G22" s="485"/>
      <c r="H22" s="486">
        <f t="shared" si="1"/>
        <v>14436</v>
      </c>
      <c r="I22" s="490">
        <f>801.26+212.81+3.6+6202.36</f>
        <v>7220.03</v>
      </c>
      <c r="J22" s="485"/>
      <c r="K22" s="486">
        <f>+I22+J22</f>
        <v>7220.03</v>
      </c>
      <c r="L22" s="491">
        <f>+K22/H22</f>
        <v>0.5001406206705459</v>
      </c>
      <c r="M22" s="490">
        <v>14436</v>
      </c>
      <c r="N22" s="485"/>
      <c r="O22" s="486">
        <f t="shared" si="2"/>
        <v>14436</v>
      </c>
      <c r="P22" s="484">
        <f t="shared" si="0"/>
        <v>0</v>
      </c>
      <c r="Q22" s="491">
        <f aca="true" t="shared" si="4" ref="Q22:Q33">+O22/H22</f>
        <v>1</v>
      </c>
    </row>
    <row r="23" spans="1:17" s="481" customFormat="1" ht="12" customHeight="1">
      <c r="A23" s="489" t="s">
        <v>27</v>
      </c>
      <c r="B23" s="248">
        <v>17</v>
      </c>
      <c r="C23" s="490">
        <v>953</v>
      </c>
      <c r="D23" s="485"/>
      <c r="E23" s="497">
        <f t="shared" si="3"/>
        <v>953</v>
      </c>
      <c r="F23" s="490">
        <v>1144</v>
      </c>
      <c r="G23" s="485"/>
      <c r="H23" s="486">
        <f t="shared" si="1"/>
        <v>1144</v>
      </c>
      <c r="I23" s="490">
        <v>801.26</v>
      </c>
      <c r="J23" s="485"/>
      <c r="K23" s="486">
        <f>+I23+J23</f>
        <v>801.26</v>
      </c>
      <c r="L23" s="491">
        <f>+K23/H23</f>
        <v>0.7004020979020978</v>
      </c>
      <c r="M23" s="490">
        <v>1144</v>
      </c>
      <c r="N23" s="485"/>
      <c r="O23" s="486">
        <f t="shared" si="2"/>
        <v>1144</v>
      </c>
      <c r="P23" s="484">
        <f t="shared" si="0"/>
        <v>0</v>
      </c>
      <c r="Q23" s="491">
        <f t="shared" si="4"/>
        <v>1</v>
      </c>
    </row>
    <row r="24" spans="1:17" s="481" customFormat="1" ht="12" customHeight="1">
      <c r="A24" s="489" t="s">
        <v>28</v>
      </c>
      <c r="B24" s="248">
        <v>18</v>
      </c>
      <c r="C24" s="490">
        <v>9600</v>
      </c>
      <c r="D24" s="485"/>
      <c r="E24" s="497">
        <f t="shared" si="3"/>
        <v>9600</v>
      </c>
      <c r="F24" s="490">
        <v>12895</v>
      </c>
      <c r="G24" s="485"/>
      <c r="H24" s="486">
        <f t="shared" si="1"/>
        <v>12895</v>
      </c>
      <c r="I24" s="490">
        <v>6202.36</v>
      </c>
      <c r="J24" s="485"/>
      <c r="K24" s="486">
        <f>+I24+J24</f>
        <v>6202.36</v>
      </c>
      <c r="L24" s="491">
        <f>+K24/H24</f>
        <v>0.4809895308259015</v>
      </c>
      <c r="M24" s="490">
        <v>12895</v>
      </c>
      <c r="N24" s="485"/>
      <c r="O24" s="486">
        <f t="shared" si="2"/>
        <v>12895</v>
      </c>
      <c r="P24" s="484">
        <f t="shared" si="0"/>
        <v>0</v>
      </c>
      <c r="Q24" s="491">
        <f t="shared" si="4"/>
        <v>1</v>
      </c>
    </row>
    <row r="25" spans="1:17" s="481" customFormat="1" ht="12" customHeight="1">
      <c r="A25" s="501" t="s">
        <v>29</v>
      </c>
      <c r="B25" s="250">
        <v>19</v>
      </c>
      <c r="C25" s="490">
        <v>128036</v>
      </c>
      <c r="D25" s="485"/>
      <c r="E25" s="497">
        <f t="shared" si="3"/>
        <v>128036</v>
      </c>
      <c r="F25" s="502">
        <v>143862.559116</v>
      </c>
      <c r="G25" s="503"/>
      <c r="H25" s="486">
        <f t="shared" si="1"/>
        <v>143862.559116</v>
      </c>
      <c r="I25" s="502">
        <f>48425.9+16872.91+895.15</f>
        <v>66193.95999999999</v>
      </c>
      <c r="J25" s="503"/>
      <c r="K25" s="486">
        <f>+I25+J25</f>
        <v>66193.95999999999</v>
      </c>
      <c r="L25" s="491">
        <f>+K25/H25</f>
        <v>0.46011943904477703</v>
      </c>
      <c r="M25" s="502">
        <v>143863</v>
      </c>
      <c r="N25" s="503"/>
      <c r="O25" s="486">
        <f t="shared" si="2"/>
        <v>143863</v>
      </c>
      <c r="P25" s="484">
        <f t="shared" si="0"/>
        <v>0.4408840000105556</v>
      </c>
      <c r="Q25" s="491">
        <f t="shared" si="4"/>
        <v>1.0000030646194724</v>
      </c>
    </row>
    <row r="26" spans="1:17" s="481" customFormat="1" ht="12" customHeight="1">
      <c r="A26" s="489" t="s">
        <v>30</v>
      </c>
      <c r="B26" s="248">
        <v>20</v>
      </c>
      <c r="C26" s="484">
        <v>93710</v>
      </c>
      <c r="D26" s="485"/>
      <c r="E26" s="497">
        <f t="shared" si="3"/>
        <v>93710</v>
      </c>
      <c r="F26" s="502">
        <v>105117.5468</v>
      </c>
      <c r="G26" s="503"/>
      <c r="H26" s="486">
        <f t="shared" si="1"/>
        <v>105117.5468</v>
      </c>
      <c r="I26" s="502">
        <v>48425.9</v>
      </c>
      <c r="J26" s="503"/>
      <c r="K26" s="486">
        <f>+I26+J26</f>
        <v>48425.9</v>
      </c>
      <c r="L26" s="491">
        <f>+K26/H26</f>
        <v>0.4606833157183231</v>
      </c>
      <c r="M26" s="502">
        <v>105118</v>
      </c>
      <c r="N26" s="503"/>
      <c r="O26" s="486">
        <f t="shared" si="2"/>
        <v>105118</v>
      </c>
      <c r="P26" s="484">
        <f t="shared" si="0"/>
        <v>0.4532000000035623</v>
      </c>
      <c r="Q26" s="491">
        <f t="shared" si="4"/>
        <v>1.000004311363933</v>
      </c>
    </row>
    <row r="27" spans="1:17" s="481" customFormat="1" ht="12" customHeight="1">
      <c r="A27" s="501" t="s">
        <v>31</v>
      </c>
      <c r="B27" s="250">
        <v>21</v>
      </c>
      <c r="C27" s="490">
        <v>86286</v>
      </c>
      <c r="D27" s="485"/>
      <c r="E27" s="497">
        <f t="shared" si="3"/>
        <v>86286</v>
      </c>
      <c r="F27" s="502">
        <v>97693.5468</v>
      </c>
      <c r="G27" s="503"/>
      <c r="H27" s="486">
        <f t="shared" si="1"/>
        <v>97693.5468</v>
      </c>
      <c r="I27" s="502"/>
      <c r="J27" s="503"/>
      <c r="K27" s="486"/>
      <c r="L27" s="491"/>
      <c r="M27" s="502">
        <v>97694</v>
      </c>
      <c r="N27" s="503"/>
      <c r="O27" s="486">
        <f t="shared" si="2"/>
        <v>97694</v>
      </c>
      <c r="P27" s="484">
        <f t="shared" si="0"/>
        <v>0.4532000000035623</v>
      </c>
      <c r="Q27" s="491">
        <f t="shared" si="4"/>
        <v>1.0000046389962782</v>
      </c>
    </row>
    <row r="28" spans="1:17" s="481" customFormat="1" ht="12" customHeight="1">
      <c r="A28" s="489" t="s">
        <v>32</v>
      </c>
      <c r="B28" s="251">
        <v>22</v>
      </c>
      <c r="C28" s="490">
        <v>7424</v>
      </c>
      <c r="D28" s="485"/>
      <c r="E28" s="497">
        <f t="shared" si="3"/>
        <v>7424</v>
      </c>
      <c r="F28" s="502">
        <v>7424</v>
      </c>
      <c r="G28" s="503"/>
      <c r="H28" s="486">
        <f t="shared" si="1"/>
        <v>7424</v>
      </c>
      <c r="I28" s="502"/>
      <c r="J28" s="503"/>
      <c r="K28" s="486"/>
      <c r="L28" s="491"/>
      <c r="M28" s="502">
        <v>7424</v>
      </c>
      <c r="N28" s="503"/>
      <c r="O28" s="486">
        <f t="shared" si="2"/>
        <v>7424</v>
      </c>
      <c r="P28" s="484">
        <f t="shared" si="0"/>
        <v>0</v>
      </c>
      <c r="Q28" s="491">
        <f t="shared" si="4"/>
        <v>1</v>
      </c>
    </row>
    <row r="29" spans="1:17" s="481" customFormat="1" ht="12" customHeight="1">
      <c r="A29" s="489" t="s">
        <v>33</v>
      </c>
      <c r="B29" s="248">
        <v>23</v>
      </c>
      <c r="C29" s="490">
        <v>34326</v>
      </c>
      <c r="D29" s="485"/>
      <c r="E29" s="497">
        <f t="shared" si="3"/>
        <v>34326</v>
      </c>
      <c r="F29" s="502">
        <v>38745.012316</v>
      </c>
      <c r="G29" s="503"/>
      <c r="H29" s="486">
        <f t="shared" si="1"/>
        <v>38745.012316</v>
      </c>
      <c r="I29" s="502">
        <f>16872.91+895.15</f>
        <v>17768.06</v>
      </c>
      <c r="J29" s="503"/>
      <c r="K29" s="486">
        <f>+I29+J29</f>
        <v>17768.06</v>
      </c>
      <c r="L29" s="491">
        <f>+K29/H29</f>
        <v>0.4585896077432028</v>
      </c>
      <c r="M29" s="502">
        <v>38745</v>
      </c>
      <c r="N29" s="503"/>
      <c r="O29" s="486">
        <f t="shared" si="2"/>
        <v>38745</v>
      </c>
      <c r="P29" s="484">
        <f t="shared" si="0"/>
        <v>-0.012316000000282656</v>
      </c>
      <c r="Q29" s="491">
        <f t="shared" si="4"/>
        <v>0.9999996821268271</v>
      </c>
    </row>
    <row r="30" spans="1:17" s="481" customFormat="1" ht="12" customHeight="1">
      <c r="A30" s="501" t="s">
        <v>34</v>
      </c>
      <c r="B30" s="248">
        <v>24</v>
      </c>
      <c r="C30" s="490">
        <v>5</v>
      </c>
      <c r="D30" s="485"/>
      <c r="E30" s="497">
        <f t="shared" si="3"/>
        <v>5</v>
      </c>
      <c r="F30" s="490">
        <v>5</v>
      </c>
      <c r="G30" s="485"/>
      <c r="H30" s="486">
        <f t="shared" si="1"/>
        <v>5</v>
      </c>
      <c r="I30" s="490">
        <v>4.8</v>
      </c>
      <c r="J30" s="485"/>
      <c r="K30" s="486">
        <f>+I30+J30</f>
        <v>4.8</v>
      </c>
      <c r="L30" s="491">
        <f>+K30/H30</f>
        <v>0.96</v>
      </c>
      <c r="M30" s="490">
        <v>5</v>
      </c>
      <c r="N30" s="485"/>
      <c r="O30" s="486">
        <f t="shared" si="2"/>
        <v>5</v>
      </c>
      <c r="P30" s="484">
        <f t="shared" si="0"/>
        <v>0</v>
      </c>
      <c r="Q30" s="491">
        <f t="shared" si="4"/>
        <v>1</v>
      </c>
    </row>
    <row r="31" spans="1:17" s="481" customFormat="1" ht="12" customHeight="1">
      <c r="A31" s="501" t="s">
        <v>35</v>
      </c>
      <c r="B31" s="250">
        <v>25</v>
      </c>
      <c r="C31" s="490">
        <v>3307</v>
      </c>
      <c r="D31" s="485"/>
      <c r="E31" s="497">
        <f t="shared" si="3"/>
        <v>3307</v>
      </c>
      <c r="F31" s="490">
        <v>2534</v>
      </c>
      <c r="G31" s="485"/>
      <c r="H31" s="486">
        <f t="shared" si="1"/>
        <v>2534</v>
      </c>
      <c r="I31" s="490">
        <f>1.3+52.93+1.41+0.77+377.15+2110.3</f>
        <v>2543.86</v>
      </c>
      <c r="J31" s="485"/>
      <c r="K31" s="486">
        <f>+I31+J31</f>
        <v>2543.86</v>
      </c>
      <c r="L31" s="491">
        <f>+K31/H31</f>
        <v>1.0038910812943962</v>
      </c>
      <c r="M31" s="490">
        <v>2534</v>
      </c>
      <c r="N31" s="485"/>
      <c r="O31" s="486">
        <f t="shared" si="2"/>
        <v>2534</v>
      </c>
      <c r="P31" s="484">
        <f t="shared" si="0"/>
        <v>0</v>
      </c>
      <c r="Q31" s="491">
        <f t="shared" si="4"/>
        <v>1</v>
      </c>
    </row>
    <row r="32" spans="1:17" s="481" customFormat="1" ht="12" customHeight="1">
      <c r="A32" s="489" t="s">
        <v>36</v>
      </c>
      <c r="B32" s="248">
        <v>26</v>
      </c>
      <c r="C32" s="490">
        <v>9709</v>
      </c>
      <c r="D32" s="485"/>
      <c r="E32" s="497">
        <f t="shared" si="3"/>
        <v>9709</v>
      </c>
      <c r="F32" s="490">
        <v>11272</v>
      </c>
      <c r="G32" s="485"/>
      <c r="H32" s="486">
        <f t="shared" si="1"/>
        <v>11272</v>
      </c>
      <c r="I32" s="490">
        <v>5656.23</v>
      </c>
      <c r="J32" s="485"/>
      <c r="K32" s="486">
        <f>+I32+J32</f>
        <v>5656.23</v>
      </c>
      <c r="L32" s="491">
        <f>+K32/H32</f>
        <v>0.5017947125621007</v>
      </c>
      <c r="M32" s="490">
        <v>11272</v>
      </c>
      <c r="N32" s="485"/>
      <c r="O32" s="486">
        <f t="shared" si="2"/>
        <v>11272</v>
      </c>
      <c r="P32" s="484">
        <f t="shared" si="0"/>
        <v>0</v>
      </c>
      <c r="Q32" s="491">
        <f t="shared" si="4"/>
        <v>1</v>
      </c>
    </row>
    <row r="33" spans="1:17" s="481" customFormat="1" ht="12" customHeight="1">
      <c r="A33" s="489" t="s">
        <v>269</v>
      </c>
      <c r="B33" s="250">
        <v>27</v>
      </c>
      <c r="C33" s="490">
        <v>9709</v>
      </c>
      <c r="D33" s="485"/>
      <c r="E33" s="497">
        <f t="shared" si="3"/>
        <v>9709</v>
      </c>
      <c r="F33" s="490">
        <v>11272</v>
      </c>
      <c r="G33" s="485"/>
      <c r="H33" s="486">
        <f t="shared" si="1"/>
        <v>11272</v>
      </c>
      <c r="I33" s="490">
        <f>+I32</f>
        <v>5656.23</v>
      </c>
      <c r="J33" s="485"/>
      <c r="K33" s="486">
        <f>+I33+J33</f>
        <v>5656.23</v>
      </c>
      <c r="L33" s="491">
        <f>+K33/H33</f>
        <v>0.5017947125621007</v>
      </c>
      <c r="M33" s="490">
        <v>11272</v>
      </c>
      <c r="N33" s="485"/>
      <c r="O33" s="486">
        <f t="shared" si="2"/>
        <v>11272</v>
      </c>
      <c r="P33" s="484">
        <f t="shared" si="0"/>
        <v>0</v>
      </c>
      <c r="Q33" s="491">
        <f t="shared" si="4"/>
        <v>1</v>
      </c>
    </row>
    <row r="34" spans="1:17" s="481" customFormat="1" ht="12" customHeight="1" thickBot="1">
      <c r="A34" s="504" t="s">
        <v>38</v>
      </c>
      <c r="B34" s="251">
        <v>28</v>
      </c>
      <c r="C34" s="505">
        <v>-129</v>
      </c>
      <c r="D34" s="506"/>
      <c r="E34" s="497">
        <f t="shared" si="3"/>
        <v>-129</v>
      </c>
      <c r="F34" s="505">
        <v>0</v>
      </c>
      <c r="G34" s="506"/>
      <c r="H34" s="486">
        <f t="shared" si="1"/>
        <v>0</v>
      </c>
      <c r="I34" s="505"/>
      <c r="J34" s="506"/>
      <c r="K34" s="486"/>
      <c r="L34" s="491"/>
      <c r="M34" s="505">
        <v>0</v>
      </c>
      <c r="N34" s="506"/>
      <c r="O34" s="507">
        <v>0</v>
      </c>
      <c r="P34" s="484">
        <f t="shared" si="0"/>
        <v>0</v>
      </c>
      <c r="Q34" s="508"/>
    </row>
    <row r="35" spans="1:17" s="513" customFormat="1" ht="16.5" customHeight="1" thickBot="1">
      <c r="A35" s="493" t="s">
        <v>39</v>
      </c>
      <c r="B35" s="249">
        <v>29</v>
      </c>
      <c r="C35" s="509">
        <f>+C17+C19+C20+C21+C22+C25+C30+C31+C32+C34</f>
        <v>169284</v>
      </c>
      <c r="D35" s="510"/>
      <c r="E35" s="511">
        <f>+E17+E19+E20+E21+E22+E25+E30+E31+E32+E34</f>
        <v>169284</v>
      </c>
      <c r="F35" s="509">
        <f>+F17+F19+F20+F21+F22+F25+F30+F31+F32+F34</f>
        <v>190219.559116</v>
      </c>
      <c r="G35" s="510"/>
      <c r="H35" s="511">
        <f>+H17+H19+H20+H21+H22+H25+H30+H31+H32+H34</f>
        <v>190219.559116</v>
      </c>
      <c r="I35" s="509">
        <f>+I17+I19+I20+I21+I22+I25+I30+I31+I32+I34</f>
        <v>89676.92</v>
      </c>
      <c r="J35" s="510"/>
      <c r="K35" s="511">
        <f>+K17+K19+K20+K21+K22+K25+K30+K31+K32+K34</f>
        <v>89676.92</v>
      </c>
      <c r="L35" s="529">
        <f>+K35/H35</f>
        <v>0.4714390066760331</v>
      </c>
      <c r="M35" s="509">
        <f>+M17+M19+M20+M21+M22+M25+M30+M31+M32+M34</f>
        <v>188070</v>
      </c>
      <c r="N35" s="510"/>
      <c r="O35" s="511">
        <f>+O17+O19+O20+O21+O22+O25+O30+O31+O32+O34</f>
        <v>188070</v>
      </c>
      <c r="P35" s="530">
        <f t="shared" si="0"/>
        <v>-2149.5591159999894</v>
      </c>
      <c r="Q35" s="529">
        <f>+O35/H35</f>
        <v>0.988699589432393</v>
      </c>
    </row>
    <row r="36" spans="1:17" s="513" customFormat="1" ht="16.5" customHeight="1" thickBot="1">
      <c r="A36" s="493" t="s">
        <v>40</v>
      </c>
      <c r="B36" s="247">
        <v>30</v>
      </c>
      <c r="C36" s="509">
        <v>97</v>
      </c>
      <c r="D36" s="510"/>
      <c r="E36" s="511">
        <v>97</v>
      </c>
      <c r="F36" s="509">
        <f>+F16-F35</f>
        <v>-4581.559115999989</v>
      </c>
      <c r="G36" s="510"/>
      <c r="H36" s="511">
        <f>+H16-H35</f>
        <v>-4581.559115999989</v>
      </c>
      <c r="I36" s="509">
        <f>+I16-I35</f>
        <v>3920.75</v>
      </c>
      <c r="J36" s="510"/>
      <c r="K36" s="511">
        <f>+K16-K35</f>
        <v>3920.75</v>
      </c>
      <c r="L36" s="512"/>
      <c r="M36" s="509">
        <f>+M16-M35</f>
        <v>0</v>
      </c>
      <c r="N36" s="510"/>
      <c r="O36" s="511">
        <f>+O16-O35</f>
        <v>0</v>
      </c>
      <c r="P36" s="745"/>
      <c r="Q36" s="746"/>
    </row>
    <row r="37" ht="5.25" customHeight="1"/>
    <row r="38" spans="1:17" s="528" customFormat="1" ht="24" customHeight="1">
      <c r="A38" s="743" t="s">
        <v>270</v>
      </c>
      <c r="B38" s="744"/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744"/>
      <c r="Q38" s="744"/>
    </row>
    <row r="39" spans="1:17" s="480" customFormat="1" ht="11.25" customHeight="1">
      <c r="A39" s="726" t="s">
        <v>271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</row>
    <row r="40" spans="1:17" s="480" customFormat="1" ht="11.25" customHeight="1">
      <c r="A40" s="726" t="s">
        <v>272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</row>
    <row r="41" spans="1:17" s="480" customFormat="1" ht="11.25" customHeight="1">
      <c r="A41" s="726" t="s">
        <v>273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</row>
    <row r="42" spans="1:17" s="480" customFormat="1" ht="11.25" customHeight="1">
      <c r="A42" s="726" t="s">
        <v>274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</row>
    <row r="43" spans="1:17" s="480" customFormat="1" ht="11.25" customHeight="1">
      <c r="A43" s="726" t="s">
        <v>275</v>
      </c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</row>
    <row r="44" spans="1:17" s="480" customFormat="1" ht="11.25" customHeight="1">
      <c r="A44" s="726" t="s">
        <v>276</v>
      </c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</row>
    <row r="45" spans="1:17" s="480" customFormat="1" ht="11.25" customHeight="1">
      <c r="A45" s="726" t="s">
        <v>277</v>
      </c>
      <c r="B45" s="727"/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</row>
    <row r="46" spans="1:17" s="480" customFormat="1" ht="11.25" customHeight="1">
      <c r="A46" s="726" t="s">
        <v>278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</row>
    <row r="47" spans="1:17" s="531" customFormat="1" ht="11.25" customHeight="1">
      <c r="A47" s="737" t="s">
        <v>279</v>
      </c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</row>
    <row r="48" spans="1:17" s="480" customFormat="1" ht="11.25" customHeight="1">
      <c r="A48" s="726" t="s">
        <v>280</v>
      </c>
      <c r="B48" s="727"/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</row>
    <row r="49" spans="1:17" s="480" customFormat="1" ht="11.25" customHeight="1">
      <c r="A49" s="726" t="s">
        <v>281</v>
      </c>
      <c r="B49" s="727"/>
      <c r="C49" s="727"/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</row>
    <row r="50" spans="1:17" s="480" customFormat="1" ht="11.25" customHeight="1">
      <c r="A50" s="726" t="s">
        <v>282</v>
      </c>
      <c r="B50" s="727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</row>
    <row r="51" spans="1:17" s="480" customFormat="1" ht="11.25" customHeight="1">
      <c r="A51" s="726" t="s">
        <v>283</v>
      </c>
      <c r="B51" s="727"/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</row>
    <row r="52" spans="1:17" ht="12.75">
      <c r="A52" s="514"/>
      <c r="B52" s="422"/>
      <c r="C52" s="515"/>
      <c r="D52" s="515"/>
      <c r="E52" s="515"/>
      <c r="F52" s="515"/>
      <c r="G52" s="515"/>
      <c r="H52" s="515"/>
      <c r="I52" s="515"/>
      <c r="J52" s="515"/>
      <c r="K52" s="515"/>
      <c r="L52" s="516"/>
      <c r="M52" s="517"/>
      <c r="N52" s="517"/>
      <c r="O52" s="517"/>
      <c r="P52" s="517"/>
      <c r="Q52" s="517"/>
    </row>
  </sheetData>
  <mergeCells count="38">
    <mergeCell ref="I3:K4"/>
    <mergeCell ref="I5:I6"/>
    <mergeCell ref="J5:J6"/>
    <mergeCell ref="K5:K6"/>
    <mergeCell ref="A38:Q38"/>
    <mergeCell ref="P36:Q36"/>
    <mergeCell ref="L3:L4"/>
    <mergeCell ref="M3:O4"/>
    <mergeCell ref="P3:Q4"/>
    <mergeCell ref="C5:C6"/>
    <mergeCell ref="D5:D6"/>
    <mergeCell ref="C3:E4"/>
    <mergeCell ref="F3:H4"/>
    <mergeCell ref="B3:B6"/>
    <mergeCell ref="A39:Q39"/>
    <mergeCell ref="A40:Q40"/>
    <mergeCell ref="A41:Q41"/>
    <mergeCell ref="A42:Q42"/>
    <mergeCell ref="A47:Q47"/>
    <mergeCell ref="N5:N6"/>
    <mergeCell ref="O5:O6"/>
    <mergeCell ref="P5:P6"/>
    <mergeCell ref="Q5:Q6"/>
    <mergeCell ref="L5:L6"/>
    <mergeCell ref="M5:M6"/>
    <mergeCell ref="A44:Q44"/>
    <mergeCell ref="A45:Q45"/>
    <mergeCell ref="A46:Q46"/>
    <mergeCell ref="A50:Q50"/>
    <mergeCell ref="A51:Q51"/>
    <mergeCell ref="G5:G6"/>
    <mergeCell ref="H5:H6"/>
    <mergeCell ref="F5:F6"/>
    <mergeCell ref="E5:E6"/>
    <mergeCell ref="A48:Q48"/>
    <mergeCell ref="A49:Q49"/>
    <mergeCell ref="A3:A6"/>
    <mergeCell ref="A43:Q43"/>
  </mergeCells>
  <printOptions horizontalCentered="1"/>
  <pageMargins left="0.15748031496062992" right="0.15748031496062992" top="0.42" bottom="0.33" header="0.2755905511811024" footer="0.15748031496062992"/>
  <pageSetup horizontalDpi="600" verticalDpi="600" orientation="landscape" paperSize="9" scale="8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36" sqref="M36"/>
    </sheetView>
  </sheetViews>
  <sheetFormatPr defaultColWidth="9.00390625" defaultRowHeight="12.75"/>
  <cols>
    <col min="1" max="4" width="9.125" style="532" customWidth="1"/>
    <col min="5" max="5" width="9.125" style="532" hidden="1" customWidth="1"/>
    <col min="6" max="6" width="14.625" style="532" customWidth="1"/>
    <col min="7" max="7" width="11.00390625" style="532" customWidth="1"/>
    <col min="8" max="8" width="9.125" style="532" customWidth="1"/>
    <col min="9" max="9" width="17.625" style="532" customWidth="1"/>
    <col min="10" max="10" width="15.375" style="532" customWidth="1"/>
    <col min="11" max="16384" width="9.125" style="532" customWidth="1"/>
  </cols>
  <sheetData>
    <row r="1" spans="1:10" ht="15.75">
      <c r="A1" s="768"/>
      <c r="B1" s="769"/>
      <c r="C1" s="769"/>
      <c r="D1" s="769"/>
      <c r="E1" s="769"/>
      <c r="F1" s="769"/>
      <c r="G1" s="768"/>
      <c r="H1" s="769"/>
      <c r="I1" s="769"/>
      <c r="J1" s="769"/>
    </row>
    <row r="2" spans="5:10" ht="12.75">
      <c r="E2" s="533"/>
      <c r="F2" s="534"/>
      <c r="I2" s="533"/>
      <c r="J2" s="534"/>
    </row>
    <row r="3" spans="1:10" ht="13.5" thickBot="1">
      <c r="A3" s="770" t="s">
        <v>379</v>
      </c>
      <c r="B3" s="770"/>
      <c r="C3" s="770"/>
      <c r="D3" s="770"/>
      <c r="E3" s="770"/>
      <c r="F3" s="770"/>
      <c r="G3" s="770"/>
      <c r="H3" s="770"/>
      <c r="I3" s="770"/>
      <c r="J3" s="770"/>
    </row>
    <row r="4" spans="1:10" s="578" customFormat="1" ht="12.75">
      <c r="A4" s="575" t="s">
        <v>413</v>
      </c>
      <c r="B4" s="576"/>
      <c r="C4" s="576"/>
      <c r="D4" s="576"/>
      <c r="E4" s="576"/>
      <c r="F4" s="577" t="s">
        <v>380</v>
      </c>
      <c r="G4" s="575" t="s">
        <v>414</v>
      </c>
      <c r="H4" s="576"/>
      <c r="I4" s="576"/>
      <c r="J4" s="577" t="s">
        <v>380</v>
      </c>
    </row>
    <row r="5" spans="1:10" s="578" customFormat="1" ht="13.5" thickBot="1">
      <c r="A5" s="579"/>
      <c r="B5" s="580"/>
      <c r="C5" s="580"/>
      <c r="D5" s="580"/>
      <c r="E5" s="580"/>
      <c r="F5" s="581" t="s">
        <v>381</v>
      </c>
      <c r="G5" s="579"/>
      <c r="H5" s="580"/>
      <c r="I5" s="580"/>
      <c r="J5" s="581" t="s">
        <v>382</v>
      </c>
    </row>
    <row r="6" spans="1:10" ht="12.75">
      <c r="A6" s="535" t="s">
        <v>383</v>
      </c>
      <c r="B6" s="536"/>
      <c r="C6" s="536"/>
      <c r="D6" s="536"/>
      <c r="E6" s="536"/>
      <c r="F6" s="537"/>
      <c r="G6" s="535" t="s">
        <v>383</v>
      </c>
      <c r="H6" s="536"/>
      <c r="I6" s="536"/>
      <c r="J6" s="537"/>
    </row>
    <row r="7" spans="1:10" ht="12.75">
      <c r="A7" s="539" t="s">
        <v>384</v>
      </c>
      <c r="B7" s="540"/>
      <c r="C7" s="540"/>
      <c r="D7" s="540"/>
      <c r="E7" s="540"/>
      <c r="F7" s="541"/>
      <c r="G7" s="539" t="s">
        <v>384</v>
      </c>
      <c r="H7" s="540"/>
      <c r="I7" s="540"/>
      <c r="J7" s="541"/>
    </row>
    <row r="8" spans="1:10" ht="12.75">
      <c r="A8" s="539"/>
      <c r="B8" s="540"/>
      <c r="C8" s="540"/>
      <c r="D8" s="540"/>
      <c r="E8" s="540"/>
      <c r="F8" s="541"/>
      <c r="G8" s="539"/>
      <c r="H8" s="540"/>
      <c r="I8" s="540"/>
      <c r="J8" s="541"/>
    </row>
    <row r="9" spans="1:10" ht="12.75">
      <c r="A9" s="542" t="s">
        <v>385</v>
      </c>
      <c r="B9" s="540"/>
      <c r="C9" s="540"/>
      <c r="D9" s="540"/>
      <c r="E9" s="540"/>
      <c r="F9" s="541">
        <v>11900</v>
      </c>
      <c r="G9" s="543" t="s">
        <v>386</v>
      </c>
      <c r="H9" s="540"/>
      <c r="I9" s="540"/>
      <c r="J9" s="541">
        <v>12946388</v>
      </c>
    </row>
    <row r="10" spans="1:10" ht="12.75">
      <c r="A10" s="544" t="s">
        <v>387</v>
      </c>
      <c r="B10" s="540"/>
      <c r="C10" s="540"/>
      <c r="D10" s="540"/>
      <c r="E10" s="540"/>
      <c r="F10" s="541">
        <v>650</v>
      </c>
      <c r="G10" s="544" t="s">
        <v>387</v>
      </c>
      <c r="H10" s="540"/>
      <c r="I10" s="540"/>
      <c r="J10" s="541">
        <v>649942</v>
      </c>
    </row>
    <row r="11" spans="1:10" ht="12.75">
      <c r="A11" s="539" t="s">
        <v>388</v>
      </c>
      <c r="B11" s="540"/>
      <c r="C11" s="540"/>
      <c r="D11" s="540"/>
      <c r="E11" s="540"/>
      <c r="F11" s="541">
        <v>750</v>
      </c>
      <c r="G11" s="544" t="s">
        <v>389</v>
      </c>
      <c r="H11" s="540"/>
      <c r="I11" s="540"/>
      <c r="J11" s="545">
        <v>80000</v>
      </c>
    </row>
    <row r="12" spans="1:10" ht="12.75">
      <c r="A12" s="546" t="s">
        <v>389</v>
      </c>
      <c r="B12" s="540"/>
      <c r="C12" s="540"/>
      <c r="D12" s="540"/>
      <c r="E12" s="540"/>
      <c r="F12" s="541">
        <v>64</v>
      </c>
      <c r="G12" s="547" t="s">
        <v>390</v>
      </c>
      <c r="H12" s="540"/>
      <c r="I12" s="540"/>
      <c r="J12" s="545">
        <v>384000</v>
      </c>
    </row>
    <row r="13" spans="1:10" ht="12.75">
      <c r="A13" s="548" t="s">
        <v>391</v>
      </c>
      <c r="B13" s="540"/>
      <c r="C13" s="540"/>
      <c r="D13" s="540"/>
      <c r="E13" s="540"/>
      <c r="F13" s="541">
        <v>300</v>
      </c>
      <c r="G13" s="547" t="s">
        <v>392</v>
      </c>
      <c r="H13" s="540"/>
      <c r="I13" s="540"/>
      <c r="J13" s="541">
        <v>60000</v>
      </c>
    </row>
    <row r="14" spans="1:10" ht="12.75">
      <c r="A14" s="546" t="s">
        <v>393</v>
      </c>
      <c r="B14" s="540"/>
      <c r="C14" s="540"/>
      <c r="D14" s="540"/>
      <c r="E14" s="540"/>
      <c r="F14" s="541">
        <v>120</v>
      </c>
      <c r="G14" s="547" t="s">
        <v>394</v>
      </c>
      <c r="H14" s="540"/>
      <c r="I14" s="540"/>
      <c r="J14" s="541">
        <v>3000000</v>
      </c>
    </row>
    <row r="15" spans="1:10" ht="12.75">
      <c r="A15" s="546" t="s">
        <v>395</v>
      </c>
      <c r="B15" s="540"/>
      <c r="C15" s="540"/>
      <c r="D15" s="540"/>
      <c r="E15" s="540"/>
      <c r="F15" s="541">
        <v>2800</v>
      </c>
      <c r="G15" s="547" t="s">
        <v>396</v>
      </c>
      <c r="H15" s="540"/>
      <c r="I15" s="540"/>
      <c r="J15" s="541">
        <v>360000</v>
      </c>
    </row>
    <row r="16" spans="1:10" ht="12.75">
      <c r="A16" s="549" t="s">
        <v>396</v>
      </c>
      <c r="B16" s="550"/>
      <c r="C16" s="550"/>
      <c r="D16" s="550"/>
      <c r="E16" s="550"/>
      <c r="F16" s="541">
        <v>360</v>
      </c>
      <c r="G16" s="543" t="s">
        <v>397</v>
      </c>
      <c r="H16" s="550"/>
      <c r="I16" s="550"/>
      <c r="J16" s="541">
        <v>82670</v>
      </c>
    </row>
    <row r="17" spans="1:10" ht="12.75">
      <c r="A17" s="542" t="s">
        <v>398</v>
      </c>
      <c r="B17" s="550"/>
      <c r="C17" s="550"/>
      <c r="D17" s="550"/>
      <c r="E17" s="550"/>
      <c r="F17" s="541">
        <v>100</v>
      </c>
      <c r="G17" s="551" t="s">
        <v>399</v>
      </c>
      <c r="H17" s="552"/>
      <c r="I17" s="540"/>
      <c r="J17" s="541">
        <v>700000</v>
      </c>
    </row>
    <row r="18" spans="1:10" ht="12.75">
      <c r="A18" s="548" t="s">
        <v>400</v>
      </c>
      <c r="B18" s="540"/>
      <c r="C18" s="540"/>
      <c r="D18" s="540"/>
      <c r="E18" s="540"/>
      <c r="F18" s="541">
        <v>140</v>
      </c>
      <c r="G18" s="540"/>
      <c r="H18" s="552"/>
      <c r="I18" s="552"/>
      <c r="J18" s="541"/>
    </row>
    <row r="19" spans="1:10" ht="12.75">
      <c r="A19" s="553" t="s">
        <v>401</v>
      </c>
      <c r="B19" s="552"/>
      <c r="C19" s="552"/>
      <c r="D19" s="552"/>
      <c r="E19" s="552"/>
      <c r="F19" s="541">
        <v>100</v>
      </c>
      <c r="G19" s="540"/>
      <c r="H19" s="540"/>
      <c r="I19" s="540"/>
      <c r="J19" s="541"/>
    </row>
    <row r="20" spans="1:10" ht="12.75">
      <c r="A20" s="548" t="s">
        <v>397</v>
      </c>
      <c r="B20" s="540"/>
      <c r="C20" s="540"/>
      <c r="D20" s="540"/>
      <c r="E20" s="540"/>
      <c r="F20" s="541">
        <v>100</v>
      </c>
      <c r="G20" s="554"/>
      <c r="H20" s="552"/>
      <c r="I20" s="552"/>
      <c r="J20" s="541"/>
    </row>
    <row r="21" spans="1:10" ht="12.75">
      <c r="A21" s="555" t="s">
        <v>402</v>
      </c>
      <c r="B21" s="552"/>
      <c r="C21" s="552"/>
      <c r="D21" s="552"/>
      <c r="E21" s="552"/>
      <c r="F21" s="541">
        <v>400</v>
      </c>
      <c r="G21" s="556"/>
      <c r="H21" s="540"/>
      <c r="I21" s="552"/>
      <c r="J21" s="541"/>
    </row>
    <row r="22" spans="1:10" ht="12.75">
      <c r="A22" s="557" t="s">
        <v>403</v>
      </c>
      <c r="B22" s="552"/>
      <c r="C22" s="552"/>
      <c r="D22" s="552"/>
      <c r="E22" s="552"/>
      <c r="F22" s="541">
        <v>279</v>
      </c>
      <c r="G22" s="558"/>
      <c r="H22" s="540"/>
      <c r="I22" s="540"/>
      <c r="J22" s="541"/>
    </row>
    <row r="23" spans="1:10" ht="12.75">
      <c r="A23" s="539"/>
      <c r="B23" s="540"/>
      <c r="C23" s="540"/>
      <c r="D23" s="540"/>
      <c r="E23" s="540"/>
      <c r="F23" s="541"/>
      <c r="G23" s="559"/>
      <c r="H23" s="559"/>
      <c r="I23" s="559"/>
      <c r="J23" s="574"/>
    </row>
    <row r="24" spans="1:10" ht="12.75">
      <c r="A24" s="557"/>
      <c r="B24" s="550"/>
      <c r="C24" s="550"/>
      <c r="D24" s="550"/>
      <c r="E24" s="550"/>
      <c r="F24" s="541"/>
      <c r="G24" s="556"/>
      <c r="H24" s="550"/>
      <c r="I24" s="550"/>
      <c r="J24" s="541"/>
    </row>
    <row r="25" spans="1:10" ht="12.75">
      <c r="A25" s="542" t="s">
        <v>404</v>
      </c>
      <c r="B25" s="550"/>
      <c r="C25" s="550"/>
      <c r="D25" s="550"/>
      <c r="E25" s="550"/>
      <c r="F25" s="560">
        <f>SUM(F9:F24)</f>
        <v>18063</v>
      </c>
      <c r="G25" s="561" t="s">
        <v>404</v>
      </c>
      <c r="H25" s="550"/>
      <c r="I25" s="550"/>
      <c r="J25" s="560">
        <f>SUM(J9:J24)</f>
        <v>18263000</v>
      </c>
    </row>
    <row r="26" spans="1:10" ht="12.75">
      <c r="A26" s="539"/>
      <c r="B26" s="540"/>
      <c r="C26" s="540"/>
      <c r="D26" s="540"/>
      <c r="E26" s="540"/>
      <c r="F26" s="541"/>
      <c r="G26" s="539"/>
      <c r="H26" s="540"/>
      <c r="I26" s="540"/>
      <c r="J26" s="541"/>
    </row>
    <row r="27" spans="1:10" ht="12.75">
      <c r="A27" s="562" t="s">
        <v>405</v>
      </c>
      <c r="B27" s="540"/>
      <c r="C27" s="540"/>
      <c r="D27" s="540"/>
      <c r="E27" s="540"/>
      <c r="F27" s="563"/>
      <c r="G27" s="562" t="s">
        <v>405</v>
      </c>
      <c r="H27" s="540"/>
      <c r="I27" s="540"/>
      <c r="J27" s="563"/>
    </row>
    <row r="28" spans="1:10" ht="12.75">
      <c r="A28" s="539"/>
      <c r="B28" s="540"/>
      <c r="C28" s="540"/>
      <c r="D28" s="540"/>
      <c r="E28" s="540"/>
      <c r="F28" s="541"/>
      <c r="G28" s="539"/>
      <c r="H28" s="540"/>
      <c r="I28" s="540"/>
      <c r="J28" s="541"/>
    </row>
    <row r="29" spans="1:10" ht="12.75">
      <c r="A29" s="548" t="s">
        <v>406</v>
      </c>
      <c r="B29" s="564"/>
      <c r="C29" s="564"/>
      <c r="D29" s="564"/>
      <c r="E29" s="564"/>
      <c r="F29" s="565">
        <v>200</v>
      </c>
      <c r="G29" s="566"/>
      <c r="H29" s="564"/>
      <c r="I29" s="564"/>
      <c r="J29" s="565"/>
    </row>
    <row r="30" spans="1:10" ht="12.75">
      <c r="A30" s="539"/>
      <c r="B30" s="540"/>
      <c r="C30" s="540"/>
      <c r="D30" s="540"/>
      <c r="E30" s="540"/>
      <c r="F30" s="541"/>
      <c r="G30" s="539"/>
      <c r="H30" s="540"/>
      <c r="I30" s="540"/>
      <c r="J30" s="541"/>
    </row>
    <row r="31" spans="1:10" ht="12.75">
      <c r="A31" s="539"/>
      <c r="B31" s="540"/>
      <c r="C31" s="540"/>
      <c r="D31" s="540"/>
      <c r="E31" s="540"/>
      <c r="F31" s="541"/>
      <c r="G31" s="539"/>
      <c r="H31" s="540"/>
      <c r="I31" s="540"/>
      <c r="J31" s="541"/>
    </row>
    <row r="32" spans="1:10" ht="12.75">
      <c r="A32" s="539"/>
      <c r="B32" s="540"/>
      <c r="C32" s="540"/>
      <c r="D32" s="540"/>
      <c r="E32" s="540"/>
      <c r="F32" s="541"/>
      <c r="G32" s="539"/>
      <c r="H32" s="540"/>
      <c r="I32" s="540"/>
      <c r="J32" s="541"/>
    </row>
    <row r="33" spans="1:10" ht="12.75">
      <c r="A33" s="539"/>
      <c r="B33" s="540"/>
      <c r="C33" s="540"/>
      <c r="D33" s="540"/>
      <c r="E33" s="540"/>
      <c r="F33" s="541"/>
      <c r="G33" s="539"/>
      <c r="H33" s="540"/>
      <c r="I33" s="540"/>
      <c r="J33" s="541"/>
    </row>
    <row r="34" spans="1:10" ht="12.75">
      <c r="A34" s="539"/>
      <c r="B34" s="540"/>
      <c r="C34" s="540"/>
      <c r="D34" s="540"/>
      <c r="E34" s="540"/>
      <c r="F34" s="541"/>
      <c r="G34" s="539"/>
      <c r="H34" s="540"/>
      <c r="I34" s="540"/>
      <c r="J34" s="541"/>
    </row>
    <row r="35" spans="1:10" ht="12.75">
      <c r="A35" s="539" t="s">
        <v>407</v>
      </c>
      <c r="B35" s="540"/>
      <c r="C35" s="540"/>
      <c r="D35" s="540"/>
      <c r="E35" s="540"/>
      <c r="F35" s="560">
        <f>SUM(F29:F34)</f>
        <v>200</v>
      </c>
      <c r="G35" s="539" t="s">
        <v>407</v>
      </c>
      <c r="H35" s="540"/>
      <c r="I35" s="540"/>
      <c r="J35" s="560">
        <f>SUM(J29:J34)</f>
        <v>0</v>
      </c>
    </row>
    <row r="36" spans="1:10" ht="12.75">
      <c r="A36" s="539"/>
      <c r="B36" s="540"/>
      <c r="C36" s="540"/>
      <c r="D36" s="540"/>
      <c r="E36" s="540"/>
      <c r="F36" s="541"/>
      <c r="G36" s="539"/>
      <c r="H36" s="540"/>
      <c r="I36" s="540"/>
      <c r="J36" s="541"/>
    </row>
    <row r="37" spans="1:10" ht="12.75">
      <c r="A37" s="567" t="s">
        <v>408</v>
      </c>
      <c r="B37" s="568"/>
      <c r="C37" s="568"/>
      <c r="D37" s="568"/>
      <c r="E37" s="568"/>
      <c r="F37" s="569"/>
      <c r="G37" s="567" t="s">
        <v>408</v>
      </c>
      <c r="H37" s="568"/>
      <c r="I37" s="568"/>
      <c r="J37" s="569"/>
    </row>
    <row r="38" spans="1:10" ht="12.75">
      <c r="A38" s="539"/>
      <c r="B38" s="540"/>
      <c r="C38" s="540"/>
      <c r="D38" s="540"/>
      <c r="E38" s="540"/>
      <c r="F38" s="541"/>
      <c r="G38" s="539"/>
      <c r="H38" s="540"/>
      <c r="I38" s="540"/>
      <c r="J38" s="541"/>
    </row>
    <row r="39" spans="1:10" ht="12.75">
      <c r="A39" s="539" t="s">
        <v>409</v>
      </c>
      <c r="B39" s="540"/>
      <c r="C39" s="540"/>
      <c r="D39" s="540"/>
      <c r="E39" s="540"/>
      <c r="F39" s="541">
        <v>200</v>
      </c>
      <c r="G39" s="539" t="s">
        <v>409</v>
      </c>
      <c r="H39" s="540"/>
      <c r="I39" s="540"/>
      <c r="J39" s="541">
        <v>200000</v>
      </c>
    </row>
    <row r="40" spans="1:10" ht="12.75">
      <c r="A40" s="539"/>
      <c r="B40" s="540"/>
      <c r="C40" s="540"/>
      <c r="D40" s="540"/>
      <c r="E40" s="540"/>
      <c r="F40" s="541"/>
      <c r="G40" s="539"/>
      <c r="H40" s="540"/>
      <c r="I40" s="540"/>
      <c r="J40" s="541"/>
    </row>
    <row r="41" spans="1:10" ht="12.75">
      <c r="A41" s="539"/>
      <c r="B41" s="540"/>
      <c r="C41" s="540"/>
      <c r="D41" s="540"/>
      <c r="E41" s="540"/>
      <c r="F41" s="541"/>
      <c r="G41" s="539"/>
      <c r="H41" s="540"/>
      <c r="I41" s="540"/>
      <c r="J41" s="541"/>
    </row>
    <row r="42" spans="1:10" ht="12.75">
      <c r="A42" s="539"/>
      <c r="B42" s="540"/>
      <c r="C42" s="540"/>
      <c r="D42" s="540"/>
      <c r="E42" s="540"/>
      <c r="F42" s="541"/>
      <c r="G42" s="539"/>
      <c r="H42" s="540"/>
      <c r="I42" s="540"/>
      <c r="J42" s="541"/>
    </row>
    <row r="43" spans="1:10" ht="12.75">
      <c r="A43" s="539" t="s">
        <v>410</v>
      </c>
      <c r="B43" s="540"/>
      <c r="C43" s="540"/>
      <c r="D43" s="540"/>
      <c r="E43" s="540"/>
      <c r="F43" s="570">
        <f>SUM(F39:F42)</f>
        <v>200</v>
      </c>
      <c r="G43" s="539" t="s">
        <v>410</v>
      </c>
      <c r="H43" s="540"/>
      <c r="I43" s="540"/>
      <c r="J43" s="570">
        <f>SUM(J39:J42)</f>
        <v>200000</v>
      </c>
    </row>
    <row r="44" spans="1:10" ht="12.75">
      <c r="A44" s="539"/>
      <c r="B44" s="540"/>
      <c r="C44" s="540"/>
      <c r="D44" s="540"/>
      <c r="E44" s="540"/>
      <c r="F44" s="541"/>
      <c r="G44" s="539"/>
      <c r="H44" s="540"/>
      <c r="I44" s="540"/>
      <c r="J44" s="541"/>
    </row>
    <row r="45" spans="1:10" ht="12.75">
      <c r="A45" s="539"/>
      <c r="B45" s="540"/>
      <c r="C45" s="540"/>
      <c r="D45" s="540"/>
      <c r="E45" s="540"/>
      <c r="F45" s="541"/>
      <c r="G45" s="539"/>
      <c r="H45" s="540"/>
      <c r="I45" s="540"/>
      <c r="J45" s="541"/>
    </row>
    <row r="46" spans="1:10" ht="12.75">
      <c r="A46" s="539"/>
      <c r="B46" s="540"/>
      <c r="C46" s="540"/>
      <c r="D46" s="540"/>
      <c r="E46" s="540"/>
      <c r="F46" s="541"/>
      <c r="G46" s="539"/>
      <c r="H46" s="540"/>
      <c r="I46" s="540"/>
      <c r="J46" s="541"/>
    </row>
    <row r="47" spans="1:10" ht="12.75">
      <c r="A47" s="539"/>
      <c r="B47" s="540"/>
      <c r="C47" s="540"/>
      <c r="D47" s="540"/>
      <c r="E47" s="540"/>
      <c r="F47" s="541"/>
      <c r="G47" s="539"/>
      <c r="H47" s="540"/>
      <c r="I47" s="540"/>
      <c r="J47" s="541"/>
    </row>
    <row r="48" spans="1:10" ht="12.75">
      <c r="A48" s="539"/>
      <c r="B48" s="540"/>
      <c r="C48" s="540"/>
      <c r="D48" s="540"/>
      <c r="E48" s="540"/>
      <c r="F48" s="541"/>
      <c r="G48" s="539"/>
      <c r="H48" s="540"/>
      <c r="I48" s="540"/>
      <c r="J48" s="541"/>
    </row>
    <row r="49" spans="1:10" ht="13.5" thickBot="1">
      <c r="A49" s="571" t="s">
        <v>411</v>
      </c>
      <c r="B49" s="559"/>
      <c r="C49" s="559"/>
      <c r="D49" s="559"/>
      <c r="E49" s="559"/>
      <c r="F49" s="572"/>
      <c r="G49" s="571" t="s">
        <v>411</v>
      </c>
      <c r="H49" s="559"/>
      <c r="I49" s="559"/>
      <c r="J49" s="572"/>
    </row>
    <row r="50" spans="1:10" s="573" customFormat="1" ht="13.5" thickBot="1">
      <c r="A50" s="584" t="s">
        <v>412</v>
      </c>
      <c r="B50" s="582"/>
      <c r="C50" s="582"/>
      <c r="D50" s="582"/>
      <c r="E50" s="583"/>
      <c r="F50" s="585">
        <f>SUM(F25+F35+F43+F49)</f>
        <v>18463</v>
      </c>
      <c r="G50" s="584" t="s">
        <v>412</v>
      </c>
      <c r="H50" s="582"/>
      <c r="I50" s="583"/>
      <c r="J50" s="585">
        <f>SUM(J25+J35+J43+J49)</f>
        <v>18463000</v>
      </c>
    </row>
    <row r="51" spans="1:6" ht="12.75">
      <c r="A51" s="771"/>
      <c r="B51" s="771"/>
      <c r="C51" s="771"/>
      <c r="D51" s="771"/>
      <c r="E51" s="771"/>
      <c r="F51" s="771"/>
    </row>
    <row r="52" spans="5:6" ht="12.75">
      <c r="E52" s="767"/>
      <c r="F52" s="767"/>
    </row>
    <row r="53" ht="12.75">
      <c r="A53" s="573"/>
    </row>
  </sheetData>
  <mergeCells count="5">
    <mergeCell ref="E52:F52"/>
    <mergeCell ref="G1:J1"/>
    <mergeCell ref="A3:J3"/>
    <mergeCell ref="A1:F1"/>
    <mergeCell ref="A51:F51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W38"/>
  <sheetViews>
    <sheetView workbookViewId="0" topLeftCell="A16">
      <selection activeCell="A39" sqref="A39:IV535"/>
    </sheetView>
  </sheetViews>
  <sheetFormatPr defaultColWidth="9.00390625" defaultRowHeight="12.75"/>
  <cols>
    <col min="1" max="1" width="31.625" style="44" customWidth="1"/>
    <col min="2" max="2" width="2.625" style="44" customWidth="1"/>
    <col min="3" max="3" width="10.625" style="45" hidden="1" customWidth="1"/>
    <col min="4" max="4" width="10.25390625" style="45" hidden="1" customWidth="1"/>
    <col min="5" max="6" width="9.75390625" style="45" hidden="1" customWidth="1"/>
    <col min="7" max="7" width="9.75390625" style="45" customWidth="1"/>
    <col min="8" max="13" width="8.625" style="44" customWidth="1"/>
    <col min="14" max="14" width="6.75390625" style="44" customWidth="1"/>
    <col min="15" max="17" width="8.75390625" style="44" customWidth="1"/>
    <col min="18" max="19" width="7.75390625" style="48" customWidth="1"/>
    <col min="20" max="20" width="38.875" style="48" customWidth="1"/>
    <col min="21" max="16384" width="9.125" style="48" customWidth="1"/>
  </cols>
  <sheetData>
    <row r="1" ht="2.25" customHeight="1">
      <c r="O1" s="47"/>
    </row>
    <row r="2" spans="1:15" ht="16.5" thickBot="1">
      <c r="A2" s="4" t="s">
        <v>49</v>
      </c>
      <c r="B2" s="4"/>
      <c r="C2" s="49"/>
      <c r="D2" s="49"/>
      <c r="E2" s="49"/>
      <c r="F2" s="49"/>
      <c r="G2" s="49"/>
      <c r="O2" s="47"/>
    </row>
    <row r="3" spans="1:20" ht="16.5" customHeight="1" thickBot="1">
      <c r="A3" s="620" t="s">
        <v>0</v>
      </c>
      <c r="B3" s="614" t="s">
        <v>67</v>
      </c>
      <c r="C3" s="630" t="s">
        <v>50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31"/>
    </row>
    <row r="4" spans="1:23" ht="19.5" customHeight="1">
      <c r="A4" s="621"/>
      <c r="B4" s="615"/>
      <c r="C4" s="588" t="s">
        <v>1</v>
      </c>
      <c r="D4" s="591" t="s">
        <v>2</v>
      </c>
      <c r="E4" s="234" t="s">
        <v>51</v>
      </c>
      <c r="F4" s="235"/>
      <c r="G4" s="588" t="s">
        <v>48</v>
      </c>
      <c r="H4" s="623" t="s">
        <v>365</v>
      </c>
      <c r="I4" s="590"/>
      <c r="J4" s="624"/>
      <c r="K4" s="623" t="s">
        <v>46</v>
      </c>
      <c r="L4" s="590"/>
      <c r="M4" s="624"/>
      <c r="N4" s="236" t="s">
        <v>64</v>
      </c>
      <c r="O4" s="623" t="s">
        <v>44</v>
      </c>
      <c r="P4" s="590"/>
      <c r="Q4" s="624"/>
      <c r="R4" s="592" t="s">
        <v>66</v>
      </c>
      <c r="S4" s="590"/>
      <c r="T4" s="627" t="s">
        <v>65</v>
      </c>
      <c r="U4" s="44"/>
      <c r="V4" s="44"/>
      <c r="W4" s="44"/>
    </row>
    <row r="5" spans="1:20" ht="10.5" customHeight="1">
      <c r="A5" s="621"/>
      <c r="B5" s="615"/>
      <c r="C5" s="589"/>
      <c r="D5" s="586"/>
      <c r="E5" s="117" t="s">
        <v>4</v>
      </c>
      <c r="F5" s="226" t="s">
        <v>52</v>
      </c>
      <c r="G5" s="589"/>
      <c r="H5" s="117" t="s">
        <v>4</v>
      </c>
      <c r="I5" s="118" t="s">
        <v>52</v>
      </c>
      <c r="J5" s="119" t="s">
        <v>6</v>
      </c>
      <c r="K5" s="8" t="s">
        <v>4</v>
      </c>
      <c r="L5" s="6" t="s">
        <v>5</v>
      </c>
      <c r="M5" s="7" t="s">
        <v>6</v>
      </c>
      <c r="N5" s="7" t="s">
        <v>7</v>
      </c>
      <c r="O5" s="8" t="s">
        <v>4</v>
      </c>
      <c r="P5" s="6" t="s">
        <v>5</v>
      </c>
      <c r="Q5" s="7" t="s">
        <v>6</v>
      </c>
      <c r="R5" s="9" t="s">
        <v>6</v>
      </c>
      <c r="S5" s="222" t="s">
        <v>7</v>
      </c>
      <c r="T5" s="628"/>
    </row>
    <row r="6" spans="1:20" ht="10.5" customHeight="1" thickBot="1">
      <c r="A6" s="622"/>
      <c r="B6" s="616"/>
      <c r="C6" s="538"/>
      <c r="D6" s="587"/>
      <c r="E6" s="120" t="s">
        <v>8</v>
      </c>
      <c r="F6" s="227" t="s">
        <v>8</v>
      </c>
      <c r="G6" s="538"/>
      <c r="H6" s="120" t="s">
        <v>8</v>
      </c>
      <c r="I6" s="121" t="s">
        <v>8</v>
      </c>
      <c r="J6" s="122"/>
      <c r="K6" s="12" t="s">
        <v>8</v>
      </c>
      <c r="L6" s="10" t="s">
        <v>8</v>
      </c>
      <c r="M6" s="11"/>
      <c r="N6" s="11" t="s">
        <v>10</v>
      </c>
      <c r="O6" s="12" t="s">
        <v>8</v>
      </c>
      <c r="P6" s="10" t="s">
        <v>8</v>
      </c>
      <c r="Q6" s="11"/>
      <c r="R6" s="13" t="s">
        <v>9</v>
      </c>
      <c r="S6" s="223" t="s">
        <v>10</v>
      </c>
      <c r="T6" s="629"/>
    </row>
    <row r="7" spans="1:20" ht="14.25" customHeight="1">
      <c r="A7" s="51" t="s">
        <v>11</v>
      </c>
      <c r="B7" s="245">
        <v>1</v>
      </c>
      <c r="C7" s="81"/>
      <c r="D7" s="55"/>
      <c r="E7" s="123"/>
      <c r="F7" s="228"/>
      <c r="G7" s="81"/>
      <c r="H7" s="123"/>
      <c r="I7" s="54"/>
      <c r="J7" s="124"/>
      <c r="K7" s="17"/>
      <c r="L7" s="16"/>
      <c r="M7" s="18"/>
      <c r="N7" s="20"/>
      <c r="O7" s="56"/>
      <c r="P7" s="57"/>
      <c r="Q7" s="58"/>
      <c r="R7" s="19"/>
      <c r="S7" s="237"/>
      <c r="T7" s="241"/>
    </row>
    <row r="8" spans="1:20" ht="20.25" customHeight="1">
      <c r="A8" s="60" t="s">
        <v>12</v>
      </c>
      <c r="B8" s="246">
        <v>2</v>
      </c>
      <c r="C8" s="125">
        <v>417337</v>
      </c>
      <c r="D8" s="126">
        <v>454198.04</v>
      </c>
      <c r="E8" s="62">
        <v>483994.73</v>
      </c>
      <c r="F8" s="229">
        <v>946.16</v>
      </c>
      <c r="G8" s="125">
        <f aca="true" t="shared" si="0" ref="G8:G15">SUM(E8:F8)</f>
        <v>484940.88999999996</v>
      </c>
      <c r="H8" s="62">
        <f>480212+13083+7332</f>
        <v>500627</v>
      </c>
      <c r="I8" s="63">
        <v>750</v>
      </c>
      <c r="J8" s="126">
        <f aca="true" t="shared" si="1" ref="J8:J35">SUM(H8:I8)</f>
        <v>501377</v>
      </c>
      <c r="K8" s="62">
        <v>250101</v>
      </c>
      <c r="L8" s="23">
        <v>3932</v>
      </c>
      <c r="M8" s="22">
        <f>+K8+L8</f>
        <v>254033</v>
      </c>
      <c r="N8" s="25">
        <f>+M8/J8</f>
        <v>0.506670629087493</v>
      </c>
      <c r="O8" s="65">
        <v>502950</v>
      </c>
      <c r="P8" s="66">
        <v>4000</v>
      </c>
      <c r="Q8" s="67">
        <f>+O8+P8</f>
        <v>506950</v>
      </c>
      <c r="R8" s="19">
        <f aca="true" t="shared" si="2" ref="R8:R15">+Q8-J8</f>
        <v>5573</v>
      </c>
      <c r="S8" s="238">
        <f aca="true" t="shared" si="3" ref="S8:S13">+Q8/J8</f>
        <v>1.01111538822084</v>
      </c>
      <c r="T8" s="146" t="s">
        <v>241</v>
      </c>
    </row>
    <row r="9" spans="1:20" ht="20.25" customHeight="1">
      <c r="A9" s="60" t="s">
        <v>13</v>
      </c>
      <c r="B9" s="248">
        <v>3</v>
      </c>
      <c r="C9" s="68">
        <v>55674</v>
      </c>
      <c r="D9" s="127">
        <v>58834.4</v>
      </c>
      <c r="E9" s="69">
        <v>-12.08</v>
      </c>
      <c r="F9" s="230">
        <v>51131.77</v>
      </c>
      <c r="G9" s="68">
        <f t="shared" si="0"/>
        <v>51119.689999999995</v>
      </c>
      <c r="H9" s="69"/>
      <c r="I9" s="70">
        <v>49862</v>
      </c>
      <c r="J9" s="127">
        <f t="shared" si="1"/>
        <v>49862</v>
      </c>
      <c r="K9" s="69">
        <v>0</v>
      </c>
      <c r="L9" s="23">
        <v>30250</v>
      </c>
      <c r="M9" s="22">
        <f aca="true" t="shared" si="4" ref="M9:M15">+K9+L9</f>
        <v>30250</v>
      </c>
      <c r="N9" s="25">
        <f aca="true" t="shared" si="5" ref="N9:N35">+M9/J9</f>
        <v>0.6066744214030725</v>
      </c>
      <c r="O9" s="65"/>
      <c r="P9" s="66">
        <v>53600</v>
      </c>
      <c r="Q9" s="67">
        <f aca="true" t="shared" si="6" ref="Q9:Q14">+O9+P9</f>
        <v>53600</v>
      </c>
      <c r="R9" s="19">
        <f t="shared" si="2"/>
        <v>3738</v>
      </c>
      <c r="S9" s="238">
        <f t="shared" si="3"/>
        <v>1.0749669086679234</v>
      </c>
      <c r="T9" s="146" t="s">
        <v>242</v>
      </c>
    </row>
    <row r="10" spans="1:20" ht="20.25" customHeight="1">
      <c r="A10" s="60" t="s">
        <v>14</v>
      </c>
      <c r="B10" s="246">
        <v>4</v>
      </c>
      <c r="C10" s="68">
        <v>12166</v>
      </c>
      <c r="D10" s="127">
        <v>10233.57</v>
      </c>
      <c r="E10" s="69">
        <v>9414.13</v>
      </c>
      <c r="F10" s="230"/>
      <c r="G10" s="68">
        <f t="shared" si="0"/>
        <v>9414.13</v>
      </c>
      <c r="H10" s="69">
        <v>10000</v>
      </c>
      <c r="I10" s="70"/>
      <c r="J10" s="127">
        <f t="shared" si="1"/>
        <v>10000</v>
      </c>
      <c r="K10" s="69">
        <v>4998</v>
      </c>
      <c r="L10" s="23"/>
      <c r="M10" s="22">
        <f t="shared" si="4"/>
        <v>4998</v>
      </c>
      <c r="N10" s="25">
        <f t="shared" si="5"/>
        <v>0.4998</v>
      </c>
      <c r="O10" s="65">
        <v>10000</v>
      </c>
      <c r="P10" s="66"/>
      <c r="Q10" s="67">
        <f t="shared" si="6"/>
        <v>10000</v>
      </c>
      <c r="R10" s="19">
        <f t="shared" si="2"/>
        <v>0</v>
      </c>
      <c r="S10" s="238">
        <f t="shared" si="3"/>
        <v>1</v>
      </c>
      <c r="T10" s="146"/>
    </row>
    <row r="11" spans="1:20" ht="20.25" customHeight="1">
      <c r="A11" s="60" t="s">
        <v>15</v>
      </c>
      <c r="B11" s="248">
        <v>5</v>
      </c>
      <c r="C11" s="68">
        <v>2185</v>
      </c>
      <c r="D11" s="127">
        <v>4142.51</v>
      </c>
      <c r="E11" s="69">
        <f>1117.26+14.72+1497.94+3022.19</f>
        <v>5652.110000000001</v>
      </c>
      <c r="F11" s="230">
        <v>5.84</v>
      </c>
      <c r="G11" s="68">
        <f t="shared" si="0"/>
        <v>5657.950000000001</v>
      </c>
      <c r="H11" s="69">
        <v>6000</v>
      </c>
      <c r="I11" s="70">
        <v>6</v>
      </c>
      <c r="J11" s="127">
        <f t="shared" si="1"/>
        <v>6006</v>
      </c>
      <c r="K11" s="69">
        <v>1765</v>
      </c>
      <c r="L11" s="23">
        <v>61</v>
      </c>
      <c r="M11" s="22">
        <f t="shared" si="4"/>
        <v>1826</v>
      </c>
      <c r="N11" s="25">
        <f t="shared" si="5"/>
        <v>0.304029304029304</v>
      </c>
      <c r="O11" s="65">
        <v>6000</v>
      </c>
      <c r="P11" s="66">
        <v>6</v>
      </c>
      <c r="Q11" s="67">
        <f t="shared" si="6"/>
        <v>6006</v>
      </c>
      <c r="R11" s="19">
        <f t="shared" si="2"/>
        <v>0</v>
      </c>
      <c r="S11" s="238">
        <f t="shared" si="3"/>
        <v>1</v>
      </c>
      <c r="T11" s="146"/>
    </row>
    <row r="12" spans="1:20" ht="20.25" customHeight="1">
      <c r="A12" s="71" t="s">
        <v>16</v>
      </c>
      <c r="B12" s="246">
        <v>6</v>
      </c>
      <c r="C12" s="68">
        <v>0</v>
      </c>
      <c r="D12" s="127">
        <v>734.19</v>
      </c>
      <c r="E12" s="69">
        <v>1498</v>
      </c>
      <c r="F12" s="230"/>
      <c r="G12" s="68">
        <f t="shared" si="0"/>
        <v>1498</v>
      </c>
      <c r="H12" s="69">
        <v>1500</v>
      </c>
      <c r="I12" s="70"/>
      <c r="J12" s="127">
        <f t="shared" si="1"/>
        <v>1500</v>
      </c>
      <c r="K12" s="69">
        <v>715</v>
      </c>
      <c r="L12" s="23"/>
      <c r="M12" s="22">
        <f t="shared" si="4"/>
        <v>715</v>
      </c>
      <c r="N12" s="25">
        <f t="shared" si="5"/>
        <v>0.4766666666666667</v>
      </c>
      <c r="O12" s="65">
        <v>1500</v>
      </c>
      <c r="P12" s="66"/>
      <c r="Q12" s="67">
        <f t="shared" si="6"/>
        <v>1500</v>
      </c>
      <c r="R12" s="19">
        <f t="shared" si="2"/>
        <v>0</v>
      </c>
      <c r="S12" s="238">
        <f t="shared" si="3"/>
        <v>1</v>
      </c>
      <c r="T12" s="146"/>
    </row>
    <row r="13" spans="1:20" ht="20.25" customHeight="1">
      <c r="A13" s="71" t="s">
        <v>17</v>
      </c>
      <c r="B13" s="248">
        <v>7</v>
      </c>
      <c r="C13" s="68">
        <v>3686</v>
      </c>
      <c r="D13" s="127">
        <v>3527.05</v>
      </c>
      <c r="E13" s="69">
        <v>2171</v>
      </c>
      <c r="F13" s="230">
        <v>53</v>
      </c>
      <c r="G13" s="68">
        <f t="shared" si="0"/>
        <v>2224</v>
      </c>
      <c r="H13" s="69">
        <v>2502</v>
      </c>
      <c r="I13" s="70">
        <v>0</v>
      </c>
      <c r="J13" s="127">
        <f t="shared" si="1"/>
        <v>2502</v>
      </c>
      <c r="K13" s="69">
        <v>75</v>
      </c>
      <c r="L13" s="23">
        <v>289</v>
      </c>
      <c r="M13" s="22">
        <f t="shared" si="4"/>
        <v>364</v>
      </c>
      <c r="N13" s="25">
        <f t="shared" si="5"/>
        <v>0.14548361310951238</v>
      </c>
      <c r="O13" s="65">
        <v>2502</v>
      </c>
      <c r="P13" s="66">
        <v>0</v>
      </c>
      <c r="Q13" s="67">
        <f t="shared" si="6"/>
        <v>2502</v>
      </c>
      <c r="R13" s="19">
        <f t="shared" si="2"/>
        <v>0</v>
      </c>
      <c r="S13" s="238">
        <f t="shared" si="3"/>
        <v>1</v>
      </c>
      <c r="T13" s="146"/>
    </row>
    <row r="14" spans="1:20" ht="20.25" customHeight="1">
      <c r="A14" s="71" t="s">
        <v>18</v>
      </c>
      <c r="B14" s="248">
        <v>8</v>
      </c>
      <c r="C14" s="68">
        <v>0</v>
      </c>
      <c r="D14" s="127">
        <v>0</v>
      </c>
      <c r="E14" s="69"/>
      <c r="F14" s="230"/>
      <c r="G14" s="68">
        <f t="shared" si="0"/>
        <v>0</v>
      </c>
      <c r="H14" s="69"/>
      <c r="I14" s="70"/>
      <c r="J14" s="127">
        <f t="shared" si="1"/>
        <v>0</v>
      </c>
      <c r="K14" s="69"/>
      <c r="L14" s="23"/>
      <c r="M14" s="22">
        <f t="shared" si="4"/>
        <v>0</v>
      </c>
      <c r="N14" s="25"/>
      <c r="O14" s="65"/>
      <c r="P14" s="66"/>
      <c r="Q14" s="67">
        <f t="shared" si="6"/>
        <v>0</v>
      </c>
      <c r="R14" s="19">
        <f t="shared" si="2"/>
        <v>0</v>
      </c>
      <c r="S14" s="238"/>
      <c r="T14" s="146"/>
    </row>
    <row r="15" spans="1:20" ht="24.75" customHeight="1" thickBot="1">
      <c r="A15" s="128" t="s">
        <v>19</v>
      </c>
      <c r="B15" s="246">
        <v>9</v>
      </c>
      <c r="C15" s="73">
        <v>25757</v>
      </c>
      <c r="D15" s="129">
        <v>16769.48</v>
      </c>
      <c r="E15" s="74">
        <v>15532.36</v>
      </c>
      <c r="F15" s="231"/>
      <c r="G15" s="73">
        <f t="shared" si="0"/>
        <v>15532.36</v>
      </c>
      <c r="H15" s="74">
        <v>18792</v>
      </c>
      <c r="I15" s="130"/>
      <c r="J15" s="129">
        <f t="shared" si="1"/>
        <v>18792</v>
      </c>
      <c r="K15" s="74">
        <v>9652</v>
      </c>
      <c r="L15" s="23"/>
      <c r="M15" s="22">
        <f t="shared" si="4"/>
        <v>9652</v>
      </c>
      <c r="N15" s="224">
        <f t="shared" si="5"/>
        <v>0.5136228182205194</v>
      </c>
      <c r="O15" s="74">
        <f>21378+33+310</f>
        <v>21721</v>
      </c>
      <c r="P15" s="130"/>
      <c r="Q15" s="210">
        <f>+O15+P15</f>
        <v>21721</v>
      </c>
      <c r="R15" s="19">
        <f t="shared" si="2"/>
        <v>2929</v>
      </c>
      <c r="S15" s="238">
        <f>+Q15/J15</f>
        <v>1.1558641975308641</v>
      </c>
      <c r="T15" s="173" t="s">
        <v>243</v>
      </c>
    </row>
    <row r="16" spans="1:20" ht="21" customHeight="1" thickBot="1">
      <c r="A16" s="76" t="s">
        <v>20</v>
      </c>
      <c r="B16" s="247">
        <v>10</v>
      </c>
      <c r="C16" s="77">
        <v>516805</v>
      </c>
      <c r="D16" s="80">
        <v>547705.05</v>
      </c>
      <c r="E16" s="78">
        <f>SUM(E7+E8+E9+E10+E11+E13+E15)</f>
        <v>516752.24999999994</v>
      </c>
      <c r="F16" s="79">
        <f>SUM(F7+F8+F9+F10+F11+F13+F15)</f>
        <v>52136.77</v>
      </c>
      <c r="G16" s="77">
        <v>568890</v>
      </c>
      <c r="H16" s="78">
        <f>SUM(H7+H8+H9+H10+H11+H13+H15)</f>
        <v>537921</v>
      </c>
      <c r="I16" s="79">
        <f>SUM(I7+I8+I9+I10+I11+I13+I15)</f>
        <v>50618</v>
      </c>
      <c r="J16" s="80">
        <f t="shared" si="1"/>
        <v>588539</v>
      </c>
      <c r="K16" s="78">
        <f>SUM(K7+K8+K9+K10+K11+K13+K15)</f>
        <v>266591</v>
      </c>
      <c r="L16" s="91">
        <f>SUM(L7+L8+L9+L10+L11+L13+L15)</f>
        <v>34532</v>
      </c>
      <c r="M16" s="89">
        <f>SUM(M7+M8+M9+M10+M11+M13+M15)</f>
        <v>301123</v>
      </c>
      <c r="N16" s="258">
        <f t="shared" si="5"/>
        <v>0.5116449377186558</v>
      </c>
      <c r="O16" s="78">
        <f>SUM(O7+O8+O9+O10+O11+O13+O15)</f>
        <v>543173</v>
      </c>
      <c r="P16" s="91">
        <f>SUM(P7+P8+P9+P10+P11+P13+P15)</f>
        <v>57606</v>
      </c>
      <c r="Q16" s="89">
        <f>SUM(Q7+Q8+Q9+Q10+Q11+Q13+Q15)</f>
        <v>600779</v>
      </c>
      <c r="R16" s="78">
        <f>SUM(R7+R8+R9+R10+R11+R13+R15)</f>
        <v>12240</v>
      </c>
      <c r="S16" s="239">
        <f>+Q16/J16</f>
        <v>1.0207972623734365</v>
      </c>
      <c r="T16" s="242"/>
    </row>
    <row r="17" spans="1:20" ht="26.25" customHeight="1">
      <c r="A17" s="131" t="s">
        <v>21</v>
      </c>
      <c r="B17" s="245">
        <v>11</v>
      </c>
      <c r="C17" s="132">
        <v>128907</v>
      </c>
      <c r="D17" s="133">
        <v>134557.84</v>
      </c>
      <c r="E17" s="82">
        <v>145443</v>
      </c>
      <c r="F17" s="232">
        <v>66</v>
      </c>
      <c r="G17" s="132">
        <f aca="true" t="shared" si="7" ref="G17:G35">SUM(E17:F17)</f>
        <v>145509</v>
      </c>
      <c r="H17" s="82">
        <v>144934</v>
      </c>
      <c r="I17" s="83">
        <v>66</v>
      </c>
      <c r="J17" s="133">
        <f t="shared" si="1"/>
        <v>145000</v>
      </c>
      <c r="K17" s="24">
        <v>74396</v>
      </c>
      <c r="L17" s="23">
        <v>11.76</v>
      </c>
      <c r="M17" s="15">
        <f>+K17+L17</f>
        <v>74407.76</v>
      </c>
      <c r="N17" s="20">
        <f t="shared" si="5"/>
        <v>0.5131569655172413</v>
      </c>
      <c r="O17" s="53">
        <v>149872</v>
      </c>
      <c r="P17" s="54">
        <v>66</v>
      </c>
      <c r="Q17" s="55">
        <v>149938</v>
      </c>
      <c r="R17" s="19">
        <f aca="true" t="shared" si="8" ref="R17:R35">+Q17-J17</f>
        <v>4938</v>
      </c>
      <c r="S17" s="237">
        <f>+Q17/J17</f>
        <v>1.0340551724137932</v>
      </c>
      <c r="T17" s="243" t="s">
        <v>244</v>
      </c>
    </row>
    <row r="18" spans="1:20" ht="21" customHeight="1">
      <c r="A18" s="71" t="s">
        <v>22</v>
      </c>
      <c r="B18" s="248">
        <v>12</v>
      </c>
      <c r="C18" s="134">
        <v>1351</v>
      </c>
      <c r="D18" s="135">
        <v>3053</v>
      </c>
      <c r="E18" s="62">
        <v>8075</v>
      </c>
      <c r="F18" s="229"/>
      <c r="G18" s="134">
        <f t="shared" si="7"/>
        <v>8075</v>
      </c>
      <c r="H18" s="62">
        <v>4000</v>
      </c>
      <c r="I18" s="63"/>
      <c r="J18" s="135">
        <f t="shared" si="1"/>
        <v>4000</v>
      </c>
      <c r="K18" s="24">
        <v>1808</v>
      </c>
      <c r="L18" s="23"/>
      <c r="M18" s="15">
        <f aca="true" t="shared" si="9" ref="M18:M34">+K18+L18</f>
        <v>1808</v>
      </c>
      <c r="N18" s="25">
        <f t="shared" si="5"/>
        <v>0.452</v>
      </c>
      <c r="O18" s="56">
        <v>4000</v>
      </c>
      <c r="P18" s="57"/>
      <c r="Q18" s="114">
        <v>4000</v>
      </c>
      <c r="R18" s="19">
        <f t="shared" si="8"/>
        <v>0</v>
      </c>
      <c r="S18" s="237">
        <f>+Q18/J18</f>
        <v>1</v>
      </c>
      <c r="T18" s="146"/>
    </row>
    <row r="19" spans="1:20" ht="21" customHeight="1">
      <c r="A19" s="60" t="s">
        <v>23</v>
      </c>
      <c r="B19" s="245">
        <v>13</v>
      </c>
      <c r="C19" s="134">
        <v>16629</v>
      </c>
      <c r="D19" s="135">
        <v>16618.77</v>
      </c>
      <c r="E19" s="69">
        <v>17880</v>
      </c>
      <c r="F19" s="230">
        <v>281</v>
      </c>
      <c r="G19" s="134">
        <f t="shared" si="7"/>
        <v>18161</v>
      </c>
      <c r="H19" s="69">
        <v>21000</v>
      </c>
      <c r="I19" s="70">
        <v>300</v>
      </c>
      <c r="J19" s="135">
        <f t="shared" si="1"/>
        <v>21300</v>
      </c>
      <c r="K19" s="24">
        <v>11454</v>
      </c>
      <c r="L19" s="23">
        <v>14.56</v>
      </c>
      <c r="M19" s="15">
        <f t="shared" si="9"/>
        <v>11468.56</v>
      </c>
      <c r="N19" s="25">
        <f t="shared" si="5"/>
        <v>0.5384300469483568</v>
      </c>
      <c r="O19" s="65">
        <v>22908</v>
      </c>
      <c r="P19" s="66">
        <v>300</v>
      </c>
      <c r="Q19" s="114">
        <v>23208</v>
      </c>
      <c r="R19" s="19">
        <f t="shared" si="8"/>
        <v>1908</v>
      </c>
      <c r="S19" s="237">
        <f>+Q19/J19</f>
        <v>1.0895774647887324</v>
      </c>
      <c r="T19" s="146" t="s">
        <v>245</v>
      </c>
    </row>
    <row r="20" spans="1:20" ht="21" customHeight="1">
      <c r="A20" s="71" t="s">
        <v>24</v>
      </c>
      <c r="B20" s="246">
        <v>14</v>
      </c>
      <c r="C20" s="134">
        <v>0</v>
      </c>
      <c r="D20" s="135">
        <v>0</v>
      </c>
      <c r="E20" s="69"/>
      <c r="F20" s="230"/>
      <c r="G20" s="134">
        <f t="shared" si="7"/>
        <v>0</v>
      </c>
      <c r="H20" s="69"/>
      <c r="I20" s="70"/>
      <c r="J20" s="135">
        <f t="shared" si="1"/>
        <v>0</v>
      </c>
      <c r="K20" s="24"/>
      <c r="L20" s="23"/>
      <c r="M20" s="15">
        <f t="shared" si="9"/>
        <v>0</v>
      </c>
      <c r="N20" s="25"/>
      <c r="O20" s="65"/>
      <c r="P20" s="66"/>
      <c r="Q20" s="114">
        <v>0</v>
      </c>
      <c r="R20" s="19">
        <f t="shared" si="8"/>
        <v>0</v>
      </c>
      <c r="S20" s="237"/>
      <c r="T20" s="146"/>
    </row>
    <row r="21" spans="1:20" ht="21" customHeight="1">
      <c r="A21" s="60" t="s">
        <v>25</v>
      </c>
      <c r="B21" s="248">
        <v>15</v>
      </c>
      <c r="C21" s="134">
        <v>46478</v>
      </c>
      <c r="D21" s="135">
        <v>49137.96</v>
      </c>
      <c r="E21" s="69"/>
      <c r="F21" s="230">
        <v>42916</v>
      </c>
      <c r="G21" s="134">
        <f t="shared" si="7"/>
        <v>42916</v>
      </c>
      <c r="H21" s="69"/>
      <c r="I21" s="70">
        <v>44640</v>
      </c>
      <c r="J21" s="135">
        <f t="shared" si="1"/>
        <v>44640</v>
      </c>
      <c r="K21" s="24"/>
      <c r="L21" s="23">
        <v>25711.14</v>
      </c>
      <c r="M21" s="15">
        <f t="shared" si="9"/>
        <v>25711.14</v>
      </c>
      <c r="N21" s="25">
        <f t="shared" si="5"/>
        <v>0.5759663978494624</v>
      </c>
      <c r="O21" s="65"/>
      <c r="P21" s="66">
        <v>46640</v>
      </c>
      <c r="Q21" s="114">
        <v>46640</v>
      </c>
      <c r="R21" s="19">
        <f t="shared" si="8"/>
        <v>2000</v>
      </c>
      <c r="S21" s="237">
        <f aca="true" t="shared" si="10" ref="S21:S33">+Q21/J21</f>
        <v>1.0448028673835126</v>
      </c>
      <c r="T21" s="146" t="s">
        <v>246</v>
      </c>
    </row>
    <row r="22" spans="1:20" ht="21" customHeight="1">
      <c r="A22" s="60" t="s">
        <v>26</v>
      </c>
      <c r="B22" s="248">
        <v>16</v>
      </c>
      <c r="C22" s="134">
        <v>46457</v>
      </c>
      <c r="D22" s="135">
        <v>46079.67</v>
      </c>
      <c r="E22" s="69">
        <v>53853</v>
      </c>
      <c r="F22" s="230">
        <v>2537</v>
      </c>
      <c r="G22" s="134">
        <f t="shared" si="7"/>
        <v>56390</v>
      </c>
      <c r="H22" s="69">
        <v>53700</v>
      </c>
      <c r="I22" s="70">
        <v>2800</v>
      </c>
      <c r="J22" s="135">
        <f t="shared" si="1"/>
        <v>56500</v>
      </c>
      <c r="K22" s="24">
        <f>4536.06+194.96+13.1+21287.91</f>
        <v>26032.03</v>
      </c>
      <c r="L22" s="23">
        <f>1.23+1.08+73.73</f>
        <v>76.04</v>
      </c>
      <c r="M22" s="15">
        <f t="shared" si="9"/>
        <v>26108.07</v>
      </c>
      <c r="N22" s="25">
        <f t="shared" si="5"/>
        <v>0.46208973451327434</v>
      </c>
      <c r="O22" s="65">
        <v>54250</v>
      </c>
      <c r="P22" s="66">
        <v>2000</v>
      </c>
      <c r="Q22" s="114">
        <v>56250</v>
      </c>
      <c r="R22" s="19">
        <f t="shared" si="8"/>
        <v>-250</v>
      </c>
      <c r="S22" s="237">
        <f t="shared" si="10"/>
        <v>0.995575221238938</v>
      </c>
      <c r="T22" s="146"/>
    </row>
    <row r="23" spans="1:20" ht="21" customHeight="1">
      <c r="A23" s="71" t="s">
        <v>27</v>
      </c>
      <c r="B23" s="245">
        <v>17</v>
      </c>
      <c r="C23" s="134">
        <v>10100</v>
      </c>
      <c r="D23" s="135">
        <v>11672.01</v>
      </c>
      <c r="E23" s="69">
        <v>13009</v>
      </c>
      <c r="F23" s="230"/>
      <c r="G23" s="134">
        <f t="shared" si="7"/>
        <v>13009</v>
      </c>
      <c r="H23" s="69">
        <v>10800</v>
      </c>
      <c r="I23" s="70"/>
      <c r="J23" s="135">
        <f t="shared" si="1"/>
        <v>10800</v>
      </c>
      <c r="K23" s="24">
        <v>4536</v>
      </c>
      <c r="L23" s="23"/>
      <c r="M23" s="15">
        <f t="shared" si="9"/>
        <v>4536</v>
      </c>
      <c r="N23" s="25">
        <f t="shared" si="5"/>
        <v>0.42</v>
      </c>
      <c r="O23" s="65">
        <v>10000</v>
      </c>
      <c r="P23" s="66"/>
      <c r="Q23" s="114">
        <v>10000</v>
      </c>
      <c r="R23" s="19">
        <f t="shared" si="8"/>
        <v>-800</v>
      </c>
      <c r="S23" s="237">
        <f t="shared" si="10"/>
        <v>0.9259259259259259</v>
      </c>
      <c r="T23" s="146"/>
    </row>
    <row r="24" spans="1:20" ht="21" customHeight="1">
      <c r="A24" s="60" t="s">
        <v>28</v>
      </c>
      <c r="B24" s="248">
        <v>18</v>
      </c>
      <c r="C24" s="134">
        <v>35829</v>
      </c>
      <c r="D24" s="135">
        <v>31229.83</v>
      </c>
      <c r="E24" s="69">
        <v>40468</v>
      </c>
      <c r="F24" s="230">
        <v>2533</v>
      </c>
      <c r="G24" s="134">
        <f t="shared" si="7"/>
        <v>43001</v>
      </c>
      <c r="H24" s="69">
        <v>42500</v>
      </c>
      <c r="I24" s="70">
        <v>2800</v>
      </c>
      <c r="J24" s="135">
        <f t="shared" si="1"/>
        <v>45300</v>
      </c>
      <c r="K24" s="24">
        <v>21288</v>
      </c>
      <c r="L24" s="23"/>
      <c r="M24" s="15">
        <f t="shared" si="9"/>
        <v>21288</v>
      </c>
      <c r="N24" s="25">
        <f t="shared" si="5"/>
        <v>0.4699337748344371</v>
      </c>
      <c r="O24" s="65">
        <v>43000</v>
      </c>
      <c r="P24" s="66">
        <v>2000</v>
      </c>
      <c r="Q24" s="114">
        <v>45000</v>
      </c>
      <c r="R24" s="19">
        <f t="shared" si="8"/>
        <v>-300</v>
      </c>
      <c r="S24" s="237">
        <f t="shared" si="10"/>
        <v>0.9933774834437086</v>
      </c>
      <c r="T24" s="146"/>
    </row>
    <row r="25" spans="1:20" ht="21" customHeight="1">
      <c r="A25" s="136" t="s">
        <v>29</v>
      </c>
      <c r="B25" s="245">
        <v>19</v>
      </c>
      <c r="C25" s="134">
        <v>317455</v>
      </c>
      <c r="D25" s="135">
        <v>286563.41</v>
      </c>
      <c r="E25" s="69">
        <v>294749</v>
      </c>
      <c r="F25" s="230">
        <v>2404</v>
      </c>
      <c r="G25" s="134">
        <f t="shared" si="7"/>
        <v>297153</v>
      </c>
      <c r="H25" s="69">
        <f>330274-4000*1.37</f>
        <v>324794</v>
      </c>
      <c r="I25" s="70">
        <f>SUM(I26+I29)</f>
        <v>2802</v>
      </c>
      <c r="J25" s="135">
        <f t="shared" si="1"/>
        <v>327596</v>
      </c>
      <c r="K25" s="24">
        <v>159761</v>
      </c>
      <c r="L25" s="23">
        <f>120.9+42.32+6.55</f>
        <v>169.77</v>
      </c>
      <c r="M25" s="15">
        <f t="shared" si="9"/>
        <v>159930.77</v>
      </c>
      <c r="N25" s="25">
        <f t="shared" si="5"/>
        <v>0.4881951244825944</v>
      </c>
      <c r="O25" s="65">
        <v>323880</v>
      </c>
      <c r="P25" s="66">
        <v>2430</v>
      </c>
      <c r="Q25" s="114">
        <v>326310</v>
      </c>
      <c r="R25" s="19">
        <f t="shared" si="8"/>
        <v>-1286</v>
      </c>
      <c r="S25" s="237">
        <f t="shared" si="10"/>
        <v>0.9960744331432618</v>
      </c>
      <c r="T25" s="146" t="s">
        <v>247</v>
      </c>
    </row>
    <row r="26" spans="1:20" ht="21" customHeight="1">
      <c r="A26" s="71" t="s">
        <v>30</v>
      </c>
      <c r="B26" s="248">
        <v>20</v>
      </c>
      <c r="C26" s="134">
        <v>231272</v>
      </c>
      <c r="D26" s="135">
        <v>209396.32</v>
      </c>
      <c r="E26" s="69">
        <v>215356</v>
      </c>
      <c r="F26" s="230">
        <v>1758</v>
      </c>
      <c r="G26" s="134">
        <f t="shared" si="7"/>
        <v>217114</v>
      </c>
      <c r="H26" s="69">
        <f>241273-4000</f>
        <v>237273</v>
      </c>
      <c r="I26" s="70">
        <f>SUM(I27+I28)</f>
        <v>2045</v>
      </c>
      <c r="J26" s="135">
        <f t="shared" si="1"/>
        <v>239318</v>
      </c>
      <c r="K26" s="24">
        <v>237273</v>
      </c>
      <c r="L26" s="23">
        <v>120.9</v>
      </c>
      <c r="M26" s="15">
        <f t="shared" si="9"/>
        <v>237393.9</v>
      </c>
      <c r="N26" s="25">
        <f t="shared" si="5"/>
        <v>0.9919600698652002</v>
      </c>
      <c r="O26" s="65">
        <v>236273</v>
      </c>
      <c r="P26" s="70">
        <v>1800</v>
      </c>
      <c r="Q26" s="114">
        <v>238073</v>
      </c>
      <c r="R26" s="19">
        <f t="shared" si="8"/>
        <v>-1245</v>
      </c>
      <c r="S26" s="237">
        <f t="shared" si="10"/>
        <v>0.9947977168453689</v>
      </c>
      <c r="T26" s="146"/>
    </row>
    <row r="27" spans="1:20" ht="21" customHeight="1">
      <c r="A27" s="136" t="s">
        <v>31</v>
      </c>
      <c r="B27" s="245">
        <v>21</v>
      </c>
      <c r="C27" s="52">
        <v>226372</v>
      </c>
      <c r="D27" s="58">
        <v>0</v>
      </c>
      <c r="E27" s="137">
        <v>203090</v>
      </c>
      <c r="F27" s="233">
        <v>1758</v>
      </c>
      <c r="G27" s="52">
        <f t="shared" si="7"/>
        <v>204848</v>
      </c>
      <c r="H27" s="137">
        <f>227780-4000</f>
        <v>223780</v>
      </c>
      <c r="I27" s="66">
        <v>2045</v>
      </c>
      <c r="J27" s="64">
        <f t="shared" si="1"/>
        <v>225825</v>
      </c>
      <c r="K27" s="24"/>
      <c r="L27" s="23"/>
      <c r="M27" s="15">
        <f t="shared" si="9"/>
        <v>0</v>
      </c>
      <c r="N27" s="25">
        <f t="shared" si="5"/>
        <v>0</v>
      </c>
      <c r="O27" s="65">
        <v>223844</v>
      </c>
      <c r="P27" s="66">
        <v>1800</v>
      </c>
      <c r="Q27" s="114">
        <v>225644</v>
      </c>
      <c r="R27" s="19">
        <f t="shared" si="8"/>
        <v>-181</v>
      </c>
      <c r="S27" s="237">
        <f t="shared" si="10"/>
        <v>0.9991984944093878</v>
      </c>
      <c r="T27" s="146"/>
    </row>
    <row r="28" spans="1:20" ht="21" customHeight="1">
      <c r="A28" s="71" t="s">
        <v>32</v>
      </c>
      <c r="B28" s="246">
        <v>22</v>
      </c>
      <c r="C28" s="52">
        <v>4900</v>
      </c>
      <c r="D28" s="58">
        <v>0</v>
      </c>
      <c r="E28" s="137">
        <v>12266</v>
      </c>
      <c r="F28" s="233"/>
      <c r="G28" s="52">
        <f t="shared" si="7"/>
        <v>12266</v>
      </c>
      <c r="H28" s="137">
        <v>13493</v>
      </c>
      <c r="I28" s="66"/>
      <c r="J28" s="64">
        <f t="shared" si="1"/>
        <v>13493</v>
      </c>
      <c r="K28" s="24"/>
      <c r="L28" s="23"/>
      <c r="M28" s="15">
        <f t="shared" si="9"/>
        <v>0</v>
      </c>
      <c r="N28" s="25">
        <f t="shared" si="5"/>
        <v>0</v>
      </c>
      <c r="O28" s="65">
        <v>13493</v>
      </c>
      <c r="P28" s="66"/>
      <c r="Q28" s="114">
        <v>13493</v>
      </c>
      <c r="R28" s="19">
        <f t="shared" si="8"/>
        <v>0</v>
      </c>
      <c r="S28" s="237">
        <f t="shared" si="10"/>
        <v>1</v>
      </c>
      <c r="T28" s="146"/>
    </row>
    <row r="29" spans="1:20" ht="21" customHeight="1">
      <c r="A29" s="71" t="s">
        <v>33</v>
      </c>
      <c r="B29" s="248">
        <v>23</v>
      </c>
      <c r="C29" s="52">
        <v>86183</v>
      </c>
      <c r="D29" s="58">
        <v>77167.09</v>
      </c>
      <c r="E29" s="69">
        <v>79393</v>
      </c>
      <c r="F29" s="230">
        <v>646</v>
      </c>
      <c r="G29" s="52">
        <f t="shared" si="7"/>
        <v>80039</v>
      </c>
      <c r="H29" s="69">
        <f>89001-4000*0.37</f>
        <v>87521</v>
      </c>
      <c r="I29" s="70">
        <v>757</v>
      </c>
      <c r="J29" s="64">
        <f t="shared" si="1"/>
        <v>88278</v>
      </c>
      <c r="K29" s="24"/>
      <c r="L29" s="23"/>
      <c r="M29" s="15">
        <f t="shared" si="9"/>
        <v>0</v>
      </c>
      <c r="N29" s="25">
        <f t="shared" si="5"/>
        <v>0</v>
      </c>
      <c r="O29" s="65">
        <v>87543</v>
      </c>
      <c r="P29" s="66">
        <v>630</v>
      </c>
      <c r="Q29" s="114">
        <v>88173</v>
      </c>
      <c r="R29" s="19">
        <f t="shared" si="8"/>
        <v>-105</v>
      </c>
      <c r="S29" s="237">
        <f t="shared" si="10"/>
        <v>0.9988105756813702</v>
      </c>
      <c r="T29" s="146"/>
    </row>
    <row r="30" spans="1:20" ht="17.25" customHeight="1">
      <c r="A30" s="136" t="s">
        <v>34</v>
      </c>
      <c r="B30" s="248">
        <v>24</v>
      </c>
      <c r="C30" s="52">
        <v>46</v>
      </c>
      <c r="D30" s="58">
        <v>7.14</v>
      </c>
      <c r="E30" s="69">
        <v>67</v>
      </c>
      <c r="F30" s="230"/>
      <c r="G30" s="52">
        <f t="shared" si="7"/>
        <v>67</v>
      </c>
      <c r="H30" s="69">
        <v>60</v>
      </c>
      <c r="I30" s="70"/>
      <c r="J30" s="64">
        <f t="shared" si="1"/>
        <v>60</v>
      </c>
      <c r="K30" s="24">
        <v>26</v>
      </c>
      <c r="L30" s="23"/>
      <c r="M30" s="15">
        <f t="shared" si="9"/>
        <v>26</v>
      </c>
      <c r="N30" s="25">
        <f t="shared" si="5"/>
        <v>0.43333333333333335</v>
      </c>
      <c r="O30" s="65">
        <v>60</v>
      </c>
      <c r="P30" s="66"/>
      <c r="Q30" s="114">
        <v>60</v>
      </c>
      <c r="R30" s="19">
        <f t="shared" si="8"/>
        <v>0</v>
      </c>
      <c r="S30" s="237">
        <f t="shared" si="10"/>
        <v>1</v>
      </c>
      <c r="T30" s="146"/>
    </row>
    <row r="31" spans="1:20" ht="17.25" customHeight="1">
      <c r="A31" s="136" t="s">
        <v>35</v>
      </c>
      <c r="B31" s="245">
        <v>25</v>
      </c>
      <c r="C31" s="52">
        <v>3158</v>
      </c>
      <c r="D31" s="58">
        <v>4175.55</v>
      </c>
      <c r="E31" s="69">
        <v>3060</v>
      </c>
      <c r="F31" s="230">
        <v>9</v>
      </c>
      <c r="G31" s="52">
        <f t="shared" si="7"/>
        <v>3069</v>
      </c>
      <c r="H31" s="69">
        <v>4000</v>
      </c>
      <c r="I31" s="70">
        <v>10</v>
      </c>
      <c r="J31" s="64">
        <f t="shared" si="1"/>
        <v>4010</v>
      </c>
      <c r="K31" s="24">
        <v>1814</v>
      </c>
      <c r="L31" s="23">
        <v>2.52</v>
      </c>
      <c r="M31" s="15">
        <f t="shared" si="9"/>
        <v>1816.52</v>
      </c>
      <c r="N31" s="25">
        <f t="shared" si="5"/>
        <v>0.452997506234414</v>
      </c>
      <c r="O31" s="65">
        <v>4000</v>
      </c>
      <c r="P31" s="66">
        <v>10</v>
      </c>
      <c r="Q31" s="114">
        <v>4010</v>
      </c>
      <c r="R31" s="19">
        <f t="shared" si="8"/>
        <v>0</v>
      </c>
      <c r="S31" s="237">
        <f t="shared" si="10"/>
        <v>1</v>
      </c>
      <c r="T31" s="146"/>
    </row>
    <row r="32" spans="1:20" ht="21" customHeight="1">
      <c r="A32" s="71" t="s">
        <v>36</v>
      </c>
      <c r="B32" s="248">
        <v>26</v>
      </c>
      <c r="C32" s="52">
        <v>7605</v>
      </c>
      <c r="D32" s="58">
        <v>10306.29</v>
      </c>
      <c r="E32" s="69">
        <v>5390</v>
      </c>
      <c r="F32" s="230">
        <v>50</v>
      </c>
      <c r="G32" s="52">
        <f t="shared" si="7"/>
        <v>5440</v>
      </c>
      <c r="H32" s="69">
        <v>2000</v>
      </c>
      <c r="I32" s="70"/>
      <c r="J32" s="64">
        <f t="shared" si="1"/>
        <v>2000</v>
      </c>
      <c r="K32" s="24">
        <f>944.62+356.31</f>
        <v>1300.93</v>
      </c>
      <c r="L32" s="23"/>
      <c r="M32" s="15">
        <f t="shared" si="9"/>
        <v>1300.93</v>
      </c>
      <c r="N32" s="25">
        <f t="shared" si="5"/>
        <v>0.6504650000000001</v>
      </c>
      <c r="O32" s="65">
        <v>2000</v>
      </c>
      <c r="P32" s="66"/>
      <c r="Q32" s="114">
        <v>2000</v>
      </c>
      <c r="R32" s="19">
        <f t="shared" si="8"/>
        <v>0</v>
      </c>
      <c r="S32" s="237">
        <f t="shared" si="10"/>
        <v>1</v>
      </c>
      <c r="T32" s="146"/>
    </row>
    <row r="33" spans="1:20" ht="21" customHeight="1">
      <c r="A33" s="71" t="s">
        <v>37</v>
      </c>
      <c r="B33" s="245">
        <v>27</v>
      </c>
      <c r="C33" s="52">
        <v>2844</v>
      </c>
      <c r="D33" s="58">
        <v>6712.75</v>
      </c>
      <c r="E33" s="69">
        <v>2999</v>
      </c>
      <c r="F33" s="230"/>
      <c r="G33" s="52">
        <f t="shared" si="7"/>
        <v>2999</v>
      </c>
      <c r="H33" s="69">
        <v>2000</v>
      </c>
      <c r="I33" s="70"/>
      <c r="J33" s="64">
        <f t="shared" si="1"/>
        <v>2000</v>
      </c>
      <c r="K33" s="24">
        <v>356</v>
      </c>
      <c r="L33" s="23"/>
      <c r="M33" s="15">
        <f t="shared" si="9"/>
        <v>356</v>
      </c>
      <c r="N33" s="25">
        <f t="shared" si="5"/>
        <v>0.178</v>
      </c>
      <c r="O33" s="65">
        <v>2000</v>
      </c>
      <c r="P33" s="66"/>
      <c r="Q33" s="114">
        <v>2000</v>
      </c>
      <c r="R33" s="19">
        <f t="shared" si="8"/>
        <v>0</v>
      </c>
      <c r="S33" s="237">
        <f t="shared" si="10"/>
        <v>1</v>
      </c>
      <c r="T33" s="146"/>
    </row>
    <row r="34" spans="1:20" ht="18" customHeight="1" thickBot="1">
      <c r="A34" s="138" t="s">
        <v>38</v>
      </c>
      <c r="B34" s="246">
        <v>28</v>
      </c>
      <c r="C34" s="52">
        <v>855</v>
      </c>
      <c r="D34" s="58">
        <v>749.76</v>
      </c>
      <c r="E34" s="74"/>
      <c r="F34" s="231"/>
      <c r="G34" s="52">
        <f t="shared" si="7"/>
        <v>0</v>
      </c>
      <c r="H34" s="74"/>
      <c r="I34" s="130">
        <v>0</v>
      </c>
      <c r="J34" s="64">
        <f t="shared" si="1"/>
        <v>0</v>
      </c>
      <c r="K34" s="24"/>
      <c r="L34" s="23"/>
      <c r="M34" s="15">
        <f t="shared" si="9"/>
        <v>0</v>
      </c>
      <c r="N34" s="224"/>
      <c r="O34" s="87"/>
      <c r="P34" s="75">
        <v>0</v>
      </c>
      <c r="Q34" s="115">
        <v>0</v>
      </c>
      <c r="R34" s="19">
        <f t="shared" si="8"/>
        <v>0</v>
      </c>
      <c r="S34" s="237"/>
      <c r="T34" s="173"/>
    </row>
    <row r="35" spans="1:20" ht="18.75" customHeight="1" thickBot="1">
      <c r="A35" s="76" t="s">
        <v>39</v>
      </c>
      <c r="B35" s="249">
        <v>29</v>
      </c>
      <c r="C35" s="77">
        <v>567589</v>
      </c>
      <c r="D35" s="80">
        <v>548196.39</v>
      </c>
      <c r="E35" s="78">
        <f>SUM(E17+E19+E20+E21+E22+E25+E30+E31+E32+E34)</f>
        <v>520442</v>
      </c>
      <c r="F35" s="79">
        <f>SUM(F17+F19+F20+F21+F22+F25+F30+F31+F32+F34)</f>
        <v>48263</v>
      </c>
      <c r="G35" s="77">
        <f t="shared" si="7"/>
        <v>568705</v>
      </c>
      <c r="H35" s="78">
        <f>SUM(H17+H19+H20+H21+H22+H25+H30+H31+H32+H34)</f>
        <v>550488</v>
      </c>
      <c r="I35" s="79">
        <f>SUM(I17+I19+I20+I21+I22+I25+I30+I31+I32+I34)</f>
        <v>50618</v>
      </c>
      <c r="J35" s="80">
        <f t="shared" si="1"/>
        <v>601106</v>
      </c>
      <c r="K35" s="78">
        <f>SUM(K17+K19+K20+K21+K22+K25+K30+K31+K32+K34)</f>
        <v>274783.96</v>
      </c>
      <c r="L35" s="79">
        <f>SUM(L17+L19+L20+L21+L22+L25+L30+L31+L32+L34)</f>
        <v>25985.79</v>
      </c>
      <c r="M35" s="80">
        <f>SUM(M17+M19+M20+M21+M22+M25+M30+M31+M32+M34)</f>
        <v>300769.75</v>
      </c>
      <c r="N35" s="213">
        <f t="shared" si="5"/>
        <v>0.5003605853210582</v>
      </c>
      <c r="O35" s="90">
        <v>556970</v>
      </c>
      <c r="P35" s="91">
        <v>51446</v>
      </c>
      <c r="Q35" s="116">
        <v>608416</v>
      </c>
      <c r="R35" s="214">
        <f t="shared" si="8"/>
        <v>7310</v>
      </c>
      <c r="S35" s="239">
        <f>+Q35/J35</f>
        <v>1.0121609167101975</v>
      </c>
      <c r="T35" s="242"/>
    </row>
    <row r="36" spans="1:20" ht="17.25" customHeight="1" thickBot="1">
      <c r="A36" s="76" t="s">
        <v>40</v>
      </c>
      <c r="B36" s="247">
        <v>30</v>
      </c>
      <c r="C36" s="139">
        <f>+C16-C35</f>
        <v>-50784</v>
      </c>
      <c r="D36" s="140">
        <v>-491.3399999999674</v>
      </c>
      <c r="E36" s="141">
        <f>+G16-G35</f>
        <v>185</v>
      </c>
      <c r="F36" s="142">
        <f>SUM(F16-F35)</f>
        <v>3873.769999999997</v>
      </c>
      <c r="G36" s="139">
        <f>SUM(G16-G35)</f>
        <v>185</v>
      </c>
      <c r="H36" s="617">
        <f>+J16-J35</f>
        <v>-12567</v>
      </c>
      <c r="I36" s="618">
        <f>SUM(I16-I35)</f>
        <v>0</v>
      </c>
      <c r="J36" s="619">
        <f>SUM(J16-J35)</f>
        <v>-12567</v>
      </c>
      <c r="K36" s="36"/>
      <c r="L36" s="36">
        <f>+M16-M35</f>
        <v>353.25</v>
      </c>
      <c r="M36" s="42"/>
      <c r="N36" s="216"/>
      <c r="O36" s="93">
        <f>O16-O35</f>
        <v>-13797</v>
      </c>
      <c r="P36" s="110">
        <f>P16-P35</f>
        <v>6160</v>
      </c>
      <c r="Q36" s="111">
        <f>Q16-Q35</f>
        <v>-7637</v>
      </c>
      <c r="R36" s="215"/>
      <c r="S36" s="240"/>
      <c r="T36" s="244"/>
    </row>
    <row r="37" spans="1:20" ht="16.5" customHeight="1" thickBot="1">
      <c r="A37" s="96" t="s">
        <v>41</v>
      </c>
      <c r="B37" s="247">
        <v>31</v>
      </c>
      <c r="C37" s="143">
        <v>-285584</v>
      </c>
      <c r="D37" s="144">
        <v>-325173.09</v>
      </c>
      <c r="E37" s="211">
        <v>-44271.79</v>
      </c>
      <c r="F37" s="212"/>
      <c r="G37" s="143">
        <f>E37</f>
        <v>-44271.79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T37" s="625"/>
    </row>
    <row r="38" spans="1:20" ht="14.25" customHeight="1" thickBot="1">
      <c r="A38" s="97" t="s">
        <v>42</v>
      </c>
      <c r="B38" s="247">
        <v>32</v>
      </c>
      <c r="C38" s="139">
        <f>+C37+C36</f>
        <v>-336368</v>
      </c>
      <c r="D38" s="140">
        <v>-325664.43</v>
      </c>
      <c r="E38" s="211">
        <f>+E37+E36</f>
        <v>-44086.79</v>
      </c>
      <c r="F38" s="212"/>
      <c r="G38" s="139">
        <f>+G36+G37</f>
        <v>-44086.79</v>
      </c>
      <c r="K38" s="145"/>
      <c r="N38" s="48"/>
      <c r="O38" s="48"/>
      <c r="P38" s="48"/>
      <c r="Q38" s="48"/>
      <c r="T38" s="626"/>
    </row>
  </sheetData>
  <mergeCells count="13">
    <mergeCell ref="T37:T38"/>
    <mergeCell ref="O4:Q4"/>
    <mergeCell ref="T4:T6"/>
    <mergeCell ref="C3:T3"/>
    <mergeCell ref="B3:B6"/>
    <mergeCell ref="H36:J36"/>
    <mergeCell ref="A3:A6"/>
    <mergeCell ref="R4:S4"/>
    <mergeCell ref="D4:D6"/>
    <mergeCell ref="C4:C6"/>
    <mergeCell ref="G4:G6"/>
    <mergeCell ref="H4:J4"/>
    <mergeCell ref="K4:M4"/>
  </mergeCells>
  <printOptions horizontalCentered="1"/>
  <pageMargins left="0.17" right="0.2755905511811024" top="0.29" bottom="0.2362204724409449" header="0.2362204724409449" footer="0.1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49"/>
  <sheetViews>
    <sheetView workbookViewId="0" topLeftCell="A40">
      <selection activeCell="C49" sqref="C49:E49"/>
    </sheetView>
  </sheetViews>
  <sheetFormatPr defaultColWidth="9.00390625" defaultRowHeight="21.75" customHeight="1"/>
  <cols>
    <col min="1" max="1" width="40.75390625" style="361" customWidth="1"/>
    <col min="2" max="6" width="12.75390625" style="361" customWidth="1"/>
    <col min="7" max="7" width="9.125" style="361" customWidth="1"/>
    <col min="8" max="8" width="10.00390625" style="361" bestFit="1" customWidth="1"/>
    <col min="9" max="12" width="9.125" style="361" customWidth="1"/>
    <col min="13" max="13" width="12.75390625" style="361" customWidth="1"/>
    <col min="14" max="16384" width="9.125" style="361" customWidth="1"/>
  </cols>
  <sheetData>
    <row r="1" spans="1:5" ht="21.75" customHeight="1">
      <c r="A1" s="360" t="s">
        <v>177</v>
      </c>
      <c r="D1" s="360"/>
      <c r="E1" s="360"/>
    </row>
    <row r="2" ht="6.75" customHeight="1" thickBot="1">
      <c r="A2" s="362"/>
    </row>
    <row r="3" spans="1:6" ht="49.5" customHeight="1">
      <c r="A3" s="632" t="s">
        <v>92</v>
      </c>
      <c r="B3" s="363" t="s">
        <v>93</v>
      </c>
      <c r="C3" s="364" t="s">
        <v>94</v>
      </c>
      <c r="D3" s="364" t="s">
        <v>95</v>
      </c>
      <c r="E3" s="464" t="s">
        <v>248</v>
      </c>
      <c r="F3" s="363" t="s">
        <v>257</v>
      </c>
    </row>
    <row r="4" spans="1:6" ht="21.75" customHeight="1" thickBot="1">
      <c r="A4" s="633"/>
      <c r="B4" s="365"/>
      <c r="C4" s="366" t="s">
        <v>97</v>
      </c>
      <c r="D4" s="366" t="s">
        <v>98</v>
      </c>
      <c r="E4" s="465" t="s">
        <v>256</v>
      </c>
      <c r="F4" s="365" t="s">
        <v>99</v>
      </c>
    </row>
    <row r="5" spans="1:6" ht="10.5" customHeight="1">
      <c r="A5" s="634" t="s">
        <v>161</v>
      </c>
      <c r="B5" s="367"/>
      <c r="C5" s="368">
        <v>0</v>
      </c>
      <c r="D5" s="369"/>
      <c r="E5" s="466"/>
      <c r="F5" s="370">
        <v>0</v>
      </c>
    </row>
    <row r="6" spans="1:6" ht="10.5" customHeight="1">
      <c r="A6" s="635"/>
      <c r="B6" s="371"/>
      <c r="C6" s="372">
        <v>12656</v>
      </c>
      <c r="D6" s="372"/>
      <c r="E6" s="467"/>
      <c r="F6" s="373">
        <v>12656</v>
      </c>
    </row>
    <row r="7" spans="1:6" ht="10.5" customHeight="1">
      <c r="A7" s="636" t="s">
        <v>162</v>
      </c>
      <c r="B7" s="637"/>
      <c r="C7" s="641"/>
      <c r="D7" s="641">
        <v>0</v>
      </c>
      <c r="E7" s="468"/>
      <c r="F7" s="639">
        <v>0</v>
      </c>
    </row>
    <row r="8" spans="1:6" ht="10.5" customHeight="1">
      <c r="A8" s="635"/>
      <c r="B8" s="638"/>
      <c r="C8" s="642"/>
      <c r="D8" s="642"/>
      <c r="E8" s="469"/>
      <c r="F8" s="640"/>
    </row>
    <row r="9" spans="1:6" ht="10.5" customHeight="1">
      <c r="A9" s="636" t="s">
        <v>163</v>
      </c>
      <c r="B9" s="637"/>
      <c r="C9" s="641">
        <v>800000</v>
      </c>
      <c r="D9" s="641"/>
      <c r="E9" s="468"/>
      <c r="F9" s="639">
        <v>800000</v>
      </c>
    </row>
    <row r="10" spans="1:6" ht="10.5" customHeight="1">
      <c r="A10" s="635"/>
      <c r="B10" s="638"/>
      <c r="C10" s="642"/>
      <c r="D10" s="642"/>
      <c r="E10" s="469"/>
      <c r="F10" s="640"/>
    </row>
    <row r="11" spans="1:6" ht="10.5" customHeight="1">
      <c r="A11" s="636" t="s">
        <v>164</v>
      </c>
      <c r="B11" s="637"/>
      <c r="C11" s="641"/>
      <c r="D11" s="641">
        <v>8000000</v>
      </c>
      <c r="E11" s="468"/>
      <c r="F11" s="639">
        <v>8000000</v>
      </c>
    </row>
    <row r="12" spans="1:6" ht="10.5" customHeight="1">
      <c r="A12" s="635"/>
      <c r="B12" s="638"/>
      <c r="C12" s="642"/>
      <c r="D12" s="642"/>
      <c r="E12" s="469"/>
      <c r="F12" s="640"/>
    </row>
    <row r="13" spans="1:6" ht="10.5" customHeight="1">
      <c r="A13" s="636" t="s">
        <v>165</v>
      </c>
      <c r="B13" s="637"/>
      <c r="C13" s="641">
        <v>120000</v>
      </c>
      <c r="D13" s="641"/>
      <c r="E13" s="468"/>
      <c r="F13" s="639">
        <v>120000</v>
      </c>
    </row>
    <row r="14" spans="1:6" ht="10.5" customHeight="1">
      <c r="A14" s="635"/>
      <c r="B14" s="638"/>
      <c r="C14" s="642"/>
      <c r="D14" s="642"/>
      <c r="E14" s="469"/>
      <c r="F14" s="640"/>
    </row>
    <row r="15" spans="1:6" ht="10.5" customHeight="1">
      <c r="A15" s="636" t="s">
        <v>166</v>
      </c>
      <c r="B15" s="374"/>
      <c r="C15" s="375">
        <v>0</v>
      </c>
      <c r="D15" s="376"/>
      <c r="E15" s="470"/>
      <c r="F15" s="377">
        <v>0</v>
      </c>
    </row>
    <row r="16" spans="1:6" ht="10.5" customHeight="1">
      <c r="A16" s="635"/>
      <c r="B16" s="371"/>
      <c r="C16" s="372">
        <v>117000</v>
      </c>
      <c r="D16" s="372"/>
      <c r="E16" s="467"/>
      <c r="F16" s="373">
        <v>117000</v>
      </c>
    </row>
    <row r="17" spans="1:6" ht="10.5" customHeight="1">
      <c r="A17" s="636" t="s">
        <v>167</v>
      </c>
      <c r="B17" s="374"/>
      <c r="C17" s="375">
        <v>0</v>
      </c>
      <c r="D17" s="376"/>
      <c r="E17" s="470"/>
      <c r="F17" s="377">
        <v>0</v>
      </c>
    </row>
    <row r="18" spans="1:6" ht="10.5" customHeight="1">
      <c r="A18" s="635"/>
      <c r="B18" s="371"/>
      <c r="C18" s="372">
        <v>149625</v>
      </c>
      <c r="D18" s="372"/>
      <c r="E18" s="467"/>
      <c r="F18" s="373">
        <v>149625</v>
      </c>
    </row>
    <row r="19" spans="1:6" ht="10.5" customHeight="1">
      <c r="A19" s="636" t="s">
        <v>168</v>
      </c>
      <c r="B19" s="637"/>
      <c r="C19" s="641">
        <v>1200000</v>
      </c>
      <c r="D19" s="641"/>
      <c r="E19" s="468"/>
      <c r="F19" s="639">
        <v>1200000</v>
      </c>
    </row>
    <row r="20" spans="1:6" ht="10.5" customHeight="1">
      <c r="A20" s="635"/>
      <c r="B20" s="638"/>
      <c r="C20" s="642"/>
      <c r="D20" s="642"/>
      <c r="E20" s="469"/>
      <c r="F20" s="640"/>
    </row>
    <row r="21" spans="1:6" ht="10.5" customHeight="1">
      <c r="A21" s="636" t="s">
        <v>169</v>
      </c>
      <c r="B21" s="637"/>
      <c r="C21" s="641"/>
      <c r="D21" s="641">
        <v>0</v>
      </c>
      <c r="E21" s="468"/>
      <c r="F21" s="639">
        <v>0</v>
      </c>
    </row>
    <row r="22" spans="1:6" ht="10.5" customHeight="1">
      <c r="A22" s="635"/>
      <c r="B22" s="638"/>
      <c r="C22" s="642"/>
      <c r="D22" s="642"/>
      <c r="E22" s="469"/>
      <c r="F22" s="640"/>
    </row>
    <row r="23" spans="1:6" ht="10.5" customHeight="1">
      <c r="A23" s="636" t="s">
        <v>170</v>
      </c>
      <c r="B23" s="374"/>
      <c r="C23" s="375">
        <v>0</v>
      </c>
      <c r="D23" s="376"/>
      <c r="E23" s="470"/>
      <c r="F23" s="377">
        <v>0</v>
      </c>
    </row>
    <row r="24" spans="1:6" ht="10.5" customHeight="1">
      <c r="A24" s="635"/>
      <c r="B24" s="371"/>
      <c r="C24" s="372">
        <v>200000</v>
      </c>
      <c r="D24" s="372"/>
      <c r="E24" s="467"/>
      <c r="F24" s="373">
        <v>200000</v>
      </c>
    </row>
    <row r="25" spans="1:6" ht="10.5" customHeight="1">
      <c r="A25" s="636" t="s">
        <v>171</v>
      </c>
      <c r="B25" s="637"/>
      <c r="C25" s="641"/>
      <c r="D25" s="641">
        <v>0</v>
      </c>
      <c r="E25" s="468"/>
      <c r="F25" s="639">
        <v>0</v>
      </c>
    </row>
    <row r="26" spans="1:6" ht="10.5" customHeight="1">
      <c r="A26" s="635"/>
      <c r="B26" s="638"/>
      <c r="C26" s="642"/>
      <c r="D26" s="642"/>
      <c r="E26" s="469"/>
      <c r="F26" s="640"/>
    </row>
    <row r="27" spans="1:6" ht="10.5" customHeight="1">
      <c r="A27" s="636" t="s">
        <v>100</v>
      </c>
      <c r="B27" s="374"/>
      <c r="C27" s="375">
        <v>9300000</v>
      </c>
      <c r="D27" s="376"/>
      <c r="E27" s="470"/>
      <c r="F27" s="377">
        <v>9300000</v>
      </c>
    </row>
    <row r="28" spans="1:6" ht="10.5" customHeight="1">
      <c r="A28" s="635"/>
      <c r="B28" s="371"/>
      <c r="C28" s="372">
        <v>6800000</v>
      </c>
      <c r="D28" s="372"/>
      <c r="E28" s="467"/>
      <c r="F28" s="373">
        <v>6800000</v>
      </c>
    </row>
    <row r="29" spans="1:6" ht="10.5" customHeight="1">
      <c r="A29" s="636" t="s">
        <v>172</v>
      </c>
      <c r="B29" s="374"/>
      <c r="C29" s="375">
        <v>5280000</v>
      </c>
      <c r="D29" s="376"/>
      <c r="E29" s="470"/>
      <c r="F29" s="377">
        <v>5280000</v>
      </c>
    </row>
    <row r="30" spans="1:8" ht="10.5" customHeight="1">
      <c r="A30" s="635"/>
      <c r="B30" s="371"/>
      <c r="C30" s="372">
        <v>4800719</v>
      </c>
      <c r="D30" s="372"/>
      <c r="E30" s="467"/>
      <c r="F30" s="373">
        <v>4800719</v>
      </c>
      <c r="H30" s="428"/>
    </row>
    <row r="31" spans="1:6" ht="10.5" customHeight="1">
      <c r="A31" s="636" t="s">
        <v>173</v>
      </c>
      <c r="B31" s="637"/>
      <c r="C31" s="641">
        <v>100000</v>
      </c>
      <c r="D31" s="641"/>
      <c r="E31" s="468"/>
      <c r="F31" s="639">
        <v>100000</v>
      </c>
    </row>
    <row r="32" spans="1:6" ht="10.5" customHeight="1">
      <c r="A32" s="635"/>
      <c r="B32" s="638"/>
      <c r="C32" s="642"/>
      <c r="D32" s="642"/>
      <c r="E32" s="469"/>
      <c r="F32" s="640"/>
    </row>
    <row r="33" spans="1:6" ht="23.25" customHeight="1" thickBot="1">
      <c r="A33" s="463" t="s">
        <v>255</v>
      </c>
      <c r="B33" s="431"/>
      <c r="C33" s="430"/>
      <c r="D33" s="430"/>
      <c r="E33" s="471">
        <v>78250</v>
      </c>
      <c r="F33" s="429">
        <v>0</v>
      </c>
    </row>
    <row r="34" spans="1:6" ht="21.75" customHeight="1" thickBot="1">
      <c r="A34" s="378" t="s">
        <v>101</v>
      </c>
      <c r="B34" s="379"/>
      <c r="C34" s="380">
        <v>16800000</v>
      </c>
      <c r="D34" s="380">
        <v>8000000</v>
      </c>
      <c r="E34" s="472">
        <f>+E33</f>
        <v>78250</v>
      </c>
      <c r="F34" s="379">
        <v>24800000</v>
      </c>
    </row>
    <row r="35" spans="1:6" ht="21.75" customHeight="1" thickBot="1">
      <c r="A35" s="378" t="s">
        <v>101</v>
      </c>
      <c r="B35" s="379"/>
      <c r="C35" s="380">
        <v>14300000</v>
      </c>
      <c r="D35" s="380">
        <v>8000000</v>
      </c>
      <c r="E35" s="472">
        <f>+E34</f>
        <v>78250</v>
      </c>
      <c r="F35" s="379">
        <v>22300000</v>
      </c>
    </row>
    <row r="36" ht="21.75" customHeight="1" thickBot="1"/>
    <row r="37" spans="1:6" ht="49.5" customHeight="1">
      <c r="A37" s="632" t="s">
        <v>102</v>
      </c>
      <c r="B37" s="363" t="s">
        <v>93</v>
      </c>
      <c r="C37" s="364" t="s">
        <v>94</v>
      </c>
      <c r="D37" s="364" t="s">
        <v>95</v>
      </c>
      <c r="E37" s="464" t="s">
        <v>248</v>
      </c>
      <c r="F37" s="363" t="s">
        <v>257</v>
      </c>
    </row>
    <row r="38" spans="1:6" ht="21.75" customHeight="1" thickBot="1">
      <c r="A38" s="633"/>
      <c r="B38" s="365"/>
      <c r="C38" s="366" t="s">
        <v>97</v>
      </c>
      <c r="D38" s="366" t="s">
        <v>98</v>
      </c>
      <c r="E38" s="465" t="s">
        <v>256</v>
      </c>
      <c r="F38" s="365" t="s">
        <v>99</v>
      </c>
    </row>
    <row r="39" spans="1:6" ht="10.5" customHeight="1">
      <c r="A39" s="634" t="s">
        <v>174</v>
      </c>
      <c r="B39" s="645">
        <v>7389469</v>
      </c>
      <c r="C39" s="644"/>
      <c r="D39" s="644"/>
      <c r="E39" s="473"/>
      <c r="F39" s="643"/>
    </row>
    <row r="40" spans="1:6" ht="10.5" customHeight="1">
      <c r="A40" s="635"/>
      <c r="B40" s="638"/>
      <c r="C40" s="642"/>
      <c r="D40" s="642"/>
      <c r="E40" s="469"/>
      <c r="F40" s="640"/>
    </row>
    <row r="41" spans="1:6" ht="10.5" customHeight="1">
      <c r="A41" s="636" t="s">
        <v>175</v>
      </c>
      <c r="B41" s="637"/>
      <c r="C41" s="641"/>
      <c r="D41" s="641">
        <v>3410000</v>
      </c>
      <c r="E41" s="468"/>
      <c r="F41" s="639">
        <v>3410000</v>
      </c>
    </row>
    <row r="42" spans="1:6" ht="10.5" customHeight="1">
      <c r="A42" s="635"/>
      <c r="B42" s="638"/>
      <c r="C42" s="642"/>
      <c r="D42" s="642"/>
      <c r="E42" s="469"/>
      <c r="F42" s="640"/>
    </row>
    <row r="43" spans="1:6" ht="10.5" customHeight="1">
      <c r="A43" s="636" t="s">
        <v>176</v>
      </c>
      <c r="B43" s="637"/>
      <c r="C43" s="641">
        <v>500000</v>
      </c>
      <c r="D43" s="641"/>
      <c r="E43" s="468"/>
      <c r="F43" s="639">
        <v>500000</v>
      </c>
    </row>
    <row r="44" spans="1:6" ht="10.5" customHeight="1" thickBot="1">
      <c r="A44" s="647"/>
      <c r="B44" s="649"/>
      <c r="C44" s="648"/>
      <c r="D44" s="648"/>
      <c r="E44" s="471"/>
      <c r="F44" s="646"/>
    </row>
    <row r="45" spans="1:6" ht="21.75" customHeight="1" thickBot="1">
      <c r="A45" s="378" t="s">
        <v>103</v>
      </c>
      <c r="B45" s="379">
        <v>7389469</v>
      </c>
      <c r="C45" s="380">
        <v>500000</v>
      </c>
      <c r="D45" s="380">
        <v>3410000</v>
      </c>
      <c r="E45" s="472">
        <v>0</v>
      </c>
      <c r="F45" s="379">
        <v>3910000</v>
      </c>
    </row>
    <row r="46" spans="1:6" ht="21.75" customHeight="1" thickBot="1">
      <c r="A46" s="378" t="s">
        <v>103</v>
      </c>
      <c r="B46" s="379">
        <v>7389469</v>
      </c>
      <c r="C46" s="380">
        <v>500000</v>
      </c>
      <c r="D46" s="380">
        <v>3410000</v>
      </c>
      <c r="E46" s="472">
        <v>0</v>
      </c>
      <c r="F46" s="379">
        <v>3910000</v>
      </c>
    </row>
    <row r="47" ht="21.75" customHeight="1" thickBot="1"/>
    <row r="48" spans="1:6" ht="21.75" customHeight="1" thickBot="1">
      <c r="A48" s="378" t="s">
        <v>63</v>
      </c>
      <c r="B48" s="379">
        <v>7389469</v>
      </c>
      <c r="C48" s="380">
        <v>17300000</v>
      </c>
      <c r="D48" s="380">
        <v>11410000</v>
      </c>
      <c r="E48" s="472">
        <v>0</v>
      </c>
      <c r="F48" s="379">
        <v>28710000</v>
      </c>
    </row>
    <row r="49" spans="1:6" ht="21.75" customHeight="1" thickBot="1">
      <c r="A49" s="378" t="s">
        <v>63</v>
      </c>
      <c r="B49" s="379">
        <v>7389469</v>
      </c>
      <c r="C49" s="380">
        <v>14800000</v>
      </c>
      <c r="D49" s="380">
        <v>11410000</v>
      </c>
      <c r="E49" s="472">
        <v>0</v>
      </c>
      <c r="F49" s="379">
        <v>26210000</v>
      </c>
    </row>
  </sheetData>
  <mergeCells count="63">
    <mergeCell ref="F43:F44"/>
    <mergeCell ref="F41:F42"/>
    <mergeCell ref="A43:A44"/>
    <mergeCell ref="C43:C44"/>
    <mergeCell ref="D43:D44"/>
    <mergeCell ref="B43:B44"/>
    <mergeCell ref="F39:F40"/>
    <mergeCell ref="A41:A42"/>
    <mergeCell ref="C41:C42"/>
    <mergeCell ref="D41:D42"/>
    <mergeCell ref="B41:B42"/>
    <mergeCell ref="D39:D40"/>
    <mergeCell ref="A39:A40"/>
    <mergeCell ref="C39:C40"/>
    <mergeCell ref="B39:B40"/>
    <mergeCell ref="B31:B32"/>
    <mergeCell ref="F31:F32"/>
    <mergeCell ref="A37:A38"/>
    <mergeCell ref="F25:F26"/>
    <mergeCell ref="A27:A28"/>
    <mergeCell ref="A29:A30"/>
    <mergeCell ref="A31:A32"/>
    <mergeCell ref="C31:C32"/>
    <mergeCell ref="D31:D32"/>
    <mergeCell ref="D25:D26"/>
    <mergeCell ref="A25:A26"/>
    <mergeCell ref="C25:C26"/>
    <mergeCell ref="B25:B26"/>
    <mergeCell ref="B21:B22"/>
    <mergeCell ref="F21:F22"/>
    <mergeCell ref="A23:A24"/>
    <mergeCell ref="B19:B20"/>
    <mergeCell ref="F19:F20"/>
    <mergeCell ref="A21:A22"/>
    <mergeCell ref="C21:C22"/>
    <mergeCell ref="D21:D22"/>
    <mergeCell ref="F13:F14"/>
    <mergeCell ref="A15:A16"/>
    <mergeCell ref="A17:A18"/>
    <mergeCell ref="A19:A20"/>
    <mergeCell ref="C19:C20"/>
    <mergeCell ref="D19:D20"/>
    <mergeCell ref="A13:A14"/>
    <mergeCell ref="C13:C14"/>
    <mergeCell ref="D13:D14"/>
    <mergeCell ref="B13:B14"/>
    <mergeCell ref="A9:A10"/>
    <mergeCell ref="C9:C10"/>
    <mergeCell ref="B9:B10"/>
    <mergeCell ref="F11:F12"/>
    <mergeCell ref="A11:A12"/>
    <mergeCell ref="C11:C12"/>
    <mergeCell ref="D11:D12"/>
    <mergeCell ref="B11:B12"/>
    <mergeCell ref="F7:F8"/>
    <mergeCell ref="C7:C8"/>
    <mergeCell ref="D7:D8"/>
    <mergeCell ref="F9:F10"/>
    <mergeCell ref="D9:D10"/>
    <mergeCell ref="A3:A4"/>
    <mergeCell ref="A5:A6"/>
    <mergeCell ref="A7:A8"/>
    <mergeCell ref="B7:B8"/>
  </mergeCells>
  <printOptions horizontalCentered="1"/>
  <pageMargins left="0.24" right="0.35433070866141736" top="0.4330708661417323" bottom="0.43307086614173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R36"/>
  <sheetViews>
    <sheetView zoomScale="85" zoomScaleNormal="85" workbookViewId="0" topLeftCell="I26">
      <selection activeCell="R40" sqref="A1:R40"/>
    </sheetView>
  </sheetViews>
  <sheetFormatPr defaultColWidth="9.00390625" defaultRowHeight="12.75"/>
  <cols>
    <col min="1" max="1" width="30.875" style="1" customWidth="1"/>
    <col min="2" max="2" width="2.625" style="44" customWidth="1"/>
    <col min="3" max="3" width="9.75390625" style="2" hidden="1" customWidth="1"/>
    <col min="4" max="4" width="10.00390625" style="2" hidden="1" customWidth="1"/>
    <col min="5" max="5" width="9.25390625" style="2" customWidth="1"/>
    <col min="6" max="6" width="9.375" style="2" customWidth="1"/>
    <col min="7" max="7" width="9.625" style="2" customWidth="1"/>
    <col min="8" max="11" width="9.375" style="2" customWidth="1"/>
    <col min="12" max="12" width="8.75390625" style="2" customWidth="1"/>
    <col min="13" max="13" width="9.375" style="2" customWidth="1"/>
    <col min="14" max="14" width="9.375" style="1" customWidth="1"/>
    <col min="15" max="15" width="9.75390625" style="1" customWidth="1"/>
    <col min="16" max="16" width="8.00390625" style="1" customWidth="1"/>
    <col min="17" max="17" width="8.00390625" style="3" customWidth="1"/>
    <col min="18" max="18" width="31.00390625" style="48" customWidth="1"/>
    <col min="19" max="16384" width="9.125" style="3" customWidth="1"/>
  </cols>
  <sheetData>
    <row r="1" ht="2.25" customHeight="1">
      <c r="O1" s="39"/>
    </row>
    <row r="2" spans="1:15" ht="17.25" customHeight="1" thickBot="1">
      <c r="A2" s="4" t="s">
        <v>57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39"/>
    </row>
    <row r="3" spans="1:18" ht="13.5" customHeight="1" thickBot="1">
      <c r="A3" s="658" t="s">
        <v>0</v>
      </c>
      <c r="B3" s="614" t="s">
        <v>67</v>
      </c>
      <c r="C3" s="661" t="s">
        <v>58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3"/>
    </row>
    <row r="4" spans="1:18" ht="24" customHeight="1">
      <c r="A4" s="659"/>
      <c r="B4" s="615"/>
      <c r="C4" s="653" t="s">
        <v>59</v>
      </c>
      <c r="D4" s="654"/>
      <c r="E4" s="655"/>
      <c r="F4" s="653" t="s">
        <v>43</v>
      </c>
      <c r="G4" s="654"/>
      <c r="H4" s="655"/>
      <c r="I4" s="653" t="s">
        <v>46</v>
      </c>
      <c r="J4" s="654"/>
      <c r="K4" s="655"/>
      <c r="L4" s="225" t="s">
        <v>64</v>
      </c>
      <c r="M4" s="653" t="s">
        <v>44</v>
      </c>
      <c r="N4" s="654"/>
      <c r="O4" s="655"/>
      <c r="P4" s="656" t="s">
        <v>45</v>
      </c>
      <c r="Q4" s="657"/>
      <c r="R4" s="627" t="s">
        <v>65</v>
      </c>
    </row>
    <row r="5" spans="1:18" ht="13.5" customHeight="1">
      <c r="A5" s="659"/>
      <c r="B5" s="615"/>
      <c r="C5" s="662">
        <v>2003</v>
      </c>
      <c r="D5" s="662">
        <v>2004</v>
      </c>
      <c r="E5" s="662">
        <v>2005</v>
      </c>
      <c r="F5" s="8" t="s">
        <v>4</v>
      </c>
      <c r="G5" s="6" t="s">
        <v>5</v>
      </c>
      <c r="H5" s="7" t="s">
        <v>6</v>
      </c>
      <c r="I5" s="8" t="s">
        <v>4</v>
      </c>
      <c r="J5" s="6" t="s">
        <v>5</v>
      </c>
      <c r="K5" s="7" t="s">
        <v>6</v>
      </c>
      <c r="L5" s="7" t="s">
        <v>7</v>
      </c>
      <c r="M5" s="8" t="s">
        <v>4</v>
      </c>
      <c r="N5" s="6" t="s">
        <v>5</v>
      </c>
      <c r="O5" s="7" t="s">
        <v>6</v>
      </c>
      <c r="P5" s="9" t="s">
        <v>6</v>
      </c>
      <c r="Q5" s="7" t="s">
        <v>7</v>
      </c>
      <c r="R5" s="628"/>
    </row>
    <row r="6" spans="1:18" ht="10.5" customHeight="1" thickBot="1">
      <c r="A6" s="660"/>
      <c r="B6" s="616"/>
      <c r="C6" s="663"/>
      <c r="D6" s="663"/>
      <c r="E6" s="663"/>
      <c r="F6" s="12" t="s">
        <v>8</v>
      </c>
      <c r="G6" s="10" t="s">
        <v>8</v>
      </c>
      <c r="H6" s="11"/>
      <c r="I6" s="12" t="s">
        <v>8</v>
      </c>
      <c r="J6" s="10" t="s">
        <v>8</v>
      </c>
      <c r="K6" s="11"/>
      <c r="L6" s="11" t="s">
        <v>10</v>
      </c>
      <c r="M6" s="12" t="s">
        <v>8</v>
      </c>
      <c r="N6" s="10" t="s">
        <v>8</v>
      </c>
      <c r="O6" s="11"/>
      <c r="P6" s="13" t="s">
        <v>9</v>
      </c>
      <c r="Q6" s="11" t="s">
        <v>10</v>
      </c>
      <c r="R6" s="629"/>
    </row>
    <row r="7" spans="1:18" s="2" customFormat="1" ht="11.25" customHeight="1">
      <c r="A7" s="14" t="s">
        <v>11</v>
      </c>
      <c r="B7" s="250">
        <v>1</v>
      </c>
      <c r="C7" s="219"/>
      <c r="D7" s="15"/>
      <c r="E7" s="15"/>
      <c r="F7" s="17"/>
      <c r="G7" s="16"/>
      <c r="H7" s="18"/>
      <c r="I7" s="17"/>
      <c r="J7" s="16"/>
      <c r="K7" s="18"/>
      <c r="L7" s="20"/>
      <c r="M7" s="17"/>
      <c r="N7" s="16"/>
      <c r="O7" s="18"/>
      <c r="P7" s="19"/>
      <c r="Q7" s="20"/>
      <c r="R7" s="241"/>
    </row>
    <row r="8" spans="1:18" s="2" customFormat="1" ht="20.25" customHeight="1">
      <c r="A8" s="21" t="s">
        <v>12</v>
      </c>
      <c r="B8" s="251">
        <v>2</v>
      </c>
      <c r="C8" s="220">
        <v>486897</v>
      </c>
      <c r="D8" s="22">
        <v>540192.48</v>
      </c>
      <c r="E8" s="22">
        <v>612286</v>
      </c>
      <c r="F8" s="24">
        <v>612756.0128763355</v>
      </c>
      <c r="G8" s="23">
        <v>893.9871236644312</v>
      </c>
      <c r="H8" s="22">
        <v>613650</v>
      </c>
      <c r="I8" s="24">
        <v>318335.83</v>
      </c>
      <c r="J8" s="23">
        <v>384.44</v>
      </c>
      <c r="K8" s="22">
        <f>+I8+J8</f>
        <v>318720.27</v>
      </c>
      <c r="L8" s="25">
        <f>+K8/H8</f>
        <v>0.5193844536788071</v>
      </c>
      <c r="M8" s="24">
        <v>625653.6926645685</v>
      </c>
      <c r="N8" s="23">
        <v>912.8043354314814</v>
      </c>
      <c r="O8" s="22">
        <f>+M8+N8</f>
        <v>626566.497</v>
      </c>
      <c r="P8" s="19">
        <f aca="true" t="shared" si="0" ref="P8:P35">+O8-H8</f>
        <v>12916.496999999974</v>
      </c>
      <c r="Q8" s="25">
        <f aca="true" t="shared" si="1" ref="Q8:Q13">+O8/H8</f>
        <v>1.0210486384747006</v>
      </c>
      <c r="R8" s="146" t="s">
        <v>227</v>
      </c>
    </row>
    <row r="9" spans="1:18" s="2" customFormat="1" ht="20.25" customHeight="1">
      <c r="A9" s="21" t="s">
        <v>13</v>
      </c>
      <c r="B9" s="248">
        <v>3</v>
      </c>
      <c r="C9" s="220">
        <v>76403</v>
      </c>
      <c r="D9" s="22">
        <v>86508.1</v>
      </c>
      <c r="E9" s="22">
        <v>99498</v>
      </c>
      <c r="F9" s="24">
        <v>0</v>
      </c>
      <c r="G9" s="23">
        <v>99766</v>
      </c>
      <c r="H9" s="22">
        <f aca="true" t="shared" si="2" ref="H9:H15">SUM(F9:G9)</f>
        <v>99766</v>
      </c>
      <c r="I9" s="24"/>
      <c r="J9" s="23">
        <v>53389.92</v>
      </c>
      <c r="K9" s="22">
        <f aca="true" t="shared" si="3" ref="K9:K15">+I9+J9</f>
        <v>53389.92</v>
      </c>
      <c r="L9" s="25">
        <f aca="true" t="shared" si="4" ref="L9:L35">+K9/H9</f>
        <v>0.5351514544033037</v>
      </c>
      <c r="M9" s="24">
        <v>0</v>
      </c>
      <c r="N9" s="23">
        <v>100666</v>
      </c>
      <c r="O9" s="22">
        <f aca="true" t="shared" si="5" ref="O9:O15">+M9+N9</f>
        <v>100666</v>
      </c>
      <c r="P9" s="19">
        <f t="shared" si="0"/>
        <v>900</v>
      </c>
      <c r="Q9" s="25">
        <f t="shared" si="1"/>
        <v>1.0090211093959867</v>
      </c>
      <c r="R9" s="146" t="s">
        <v>228</v>
      </c>
    </row>
    <row r="10" spans="1:18" s="2" customFormat="1" ht="20.25" customHeight="1">
      <c r="A10" s="21" t="s">
        <v>14</v>
      </c>
      <c r="B10" s="251">
        <v>4</v>
      </c>
      <c r="C10" s="220">
        <v>4082</v>
      </c>
      <c r="D10" s="22">
        <v>8095.41</v>
      </c>
      <c r="E10" s="22">
        <v>7900</v>
      </c>
      <c r="F10" s="24">
        <v>8089.7468354430375</v>
      </c>
      <c r="G10" s="23">
        <v>10.253164556962025</v>
      </c>
      <c r="H10" s="22">
        <f t="shared" si="2"/>
        <v>8100</v>
      </c>
      <c r="I10" s="24">
        <v>3858.64</v>
      </c>
      <c r="J10" s="23">
        <v>28.32</v>
      </c>
      <c r="K10" s="22">
        <f t="shared" si="3"/>
        <v>3886.96</v>
      </c>
      <c r="L10" s="25">
        <f t="shared" si="4"/>
        <v>0.47987160493827163</v>
      </c>
      <c r="M10" s="24">
        <v>8089.7468354430375</v>
      </c>
      <c r="N10" s="23">
        <v>10.253164556962025</v>
      </c>
      <c r="O10" s="22">
        <f t="shared" si="5"/>
        <v>8100</v>
      </c>
      <c r="P10" s="19">
        <f t="shared" si="0"/>
        <v>0</v>
      </c>
      <c r="Q10" s="25">
        <f t="shared" si="1"/>
        <v>1</v>
      </c>
      <c r="R10" s="146"/>
    </row>
    <row r="11" spans="1:18" s="2" customFormat="1" ht="20.25" customHeight="1">
      <c r="A11" s="21" t="s">
        <v>15</v>
      </c>
      <c r="B11" s="248">
        <v>5</v>
      </c>
      <c r="C11" s="220">
        <v>3905</v>
      </c>
      <c r="D11" s="22">
        <v>23538.34</v>
      </c>
      <c r="E11" s="22">
        <v>17551</v>
      </c>
      <c r="F11" s="24">
        <v>8214.35245854937</v>
      </c>
      <c r="G11" s="23">
        <v>335.6475414506296</v>
      </c>
      <c r="H11" s="22">
        <f t="shared" si="2"/>
        <v>8550</v>
      </c>
      <c r="I11" s="24">
        <f>433.92+1.12+2091.15+13354.69</f>
        <v>15880.880000000001</v>
      </c>
      <c r="J11" s="23">
        <v>228.48</v>
      </c>
      <c r="K11" s="22">
        <f t="shared" si="3"/>
        <v>16109.36</v>
      </c>
      <c r="L11" s="25">
        <f t="shared" si="4"/>
        <v>1.8841356725146199</v>
      </c>
      <c r="M11" s="24">
        <v>26310.24427212125</v>
      </c>
      <c r="N11" s="23">
        <v>1075.0657278787535</v>
      </c>
      <c r="O11" s="22">
        <f t="shared" si="5"/>
        <v>27385.310000000005</v>
      </c>
      <c r="P11" s="19">
        <f t="shared" si="0"/>
        <v>18835.310000000005</v>
      </c>
      <c r="Q11" s="25">
        <f t="shared" si="1"/>
        <v>3.2029602339181293</v>
      </c>
      <c r="R11" s="146" t="s">
        <v>229</v>
      </c>
    </row>
    <row r="12" spans="1:18" s="2" customFormat="1" ht="20.25" customHeight="1">
      <c r="A12" s="21" t="s">
        <v>16</v>
      </c>
      <c r="B12" s="251">
        <v>6</v>
      </c>
      <c r="C12" s="220">
        <v>1690</v>
      </c>
      <c r="D12" s="22">
        <v>1665.61</v>
      </c>
      <c r="E12" s="22">
        <v>7747</v>
      </c>
      <c r="F12" s="24">
        <v>6000</v>
      </c>
      <c r="G12" s="23">
        <v>0</v>
      </c>
      <c r="H12" s="22">
        <f t="shared" si="2"/>
        <v>6000</v>
      </c>
      <c r="I12" s="24">
        <v>2091.15</v>
      </c>
      <c r="J12" s="23"/>
      <c r="K12" s="22">
        <f t="shared" si="3"/>
        <v>2091.15</v>
      </c>
      <c r="L12" s="25">
        <f t="shared" si="4"/>
        <v>0.34852500000000003</v>
      </c>
      <c r="M12" s="24">
        <v>6400</v>
      </c>
      <c r="N12" s="23">
        <v>0</v>
      </c>
      <c r="O12" s="22">
        <f t="shared" si="5"/>
        <v>6400</v>
      </c>
      <c r="P12" s="19">
        <f t="shared" si="0"/>
        <v>400</v>
      </c>
      <c r="Q12" s="25">
        <f t="shared" si="1"/>
        <v>1.0666666666666667</v>
      </c>
      <c r="R12" s="146"/>
    </row>
    <row r="13" spans="1:18" s="2" customFormat="1" ht="20.25" customHeight="1">
      <c r="A13" s="21" t="s">
        <v>17</v>
      </c>
      <c r="B13" s="248">
        <v>7</v>
      </c>
      <c r="C13" s="220">
        <v>5176</v>
      </c>
      <c r="D13" s="22">
        <v>10050.76</v>
      </c>
      <c r="E13" s="22">
        <v>9224</v>
      </c>
      <c r="F13" s="24">
        <v>9570</v>
      </c>
      <c r="G13" s="23">
        <v>0</v>
      </c>
      <c r="H13" s="22">
        <f t="shared" si="2"/>
        <v>9570</v>
      </c>
      <c r="I13" s="24">
        <f>114.15+4369.06</f>
        <v>4483.21</v>
      </c>
      <c r="J13" s="23"/>
      <c r="K13" s="22">
        <f t="shared" si="3"/>
        <v>4483.21</v>
      </c>
      <c r="L13" s="25">
        <f t="shared" si="4"/>
        <v>0.4684649947753396</v>
      </c>
      <c r="M13" s="24">
        <v>9250</v>
      </c>
      <c r="N13" s="23">
        <v>0</v>
      </c>
      <c r="O13" s="22">
        <f t="shared" si="5"/>
        <v>9250</v>
      </c>
      <c r="P13" s="19">
        <f t="shared" si="0"/>
        <v>-320</v>
      </c>
      <c r="Q13" s="25">
        <f t="shared" si="1"/>
        <v>0.9665621734587252</v>
      </c>
      <c r="R13" s="146"/>
    </row>
    <row r="14" spans="1:18" s="2" customFormat="1" ht="20.25" customHeight="1">
      <c r="A14" s="21" t="s">
        <v>18</v>
      </c>
      <c r="B14" s="248">
        <v>8</v>
      </c>
      <c r="C14" s="220">
        <v>0</v>
      </c>
      <c r="D14" s="22">
        <v>0</v>
      </c>
      <c r="E14" s="22">
        <v>51</v>
      </c>
      <c r="F14" s="24">
        <v>0</v>
      </c>
      <c r="G14" s="23">
        <v>0</v>
      </c>
      <c r="H14" s="22">
        <f t="shared" si="2"/>
        <v>0</v>
      </c>
      <c r="I14" s="24"/>
      <c r="J14" s="23"/>
      <c r="K14" s="22">
        <f t="shared" si="3"/>
        <v>0</v>
      </c>
      <c r="L14" s="25"/>
      <c r="M14" s="24">
        <v>0</v>
      </c>
      <c r="N14" s="23">
        <v>0</v>
      </c>
      <c r="O14" s="22">
        <f t="shared" si="5"/>
        <v>0</v>
      </c>
      <c r="P14" s="19">
        <f t="shared" si="0"/>
        <v>0</v>
      </c>
      <c r="Q14" s="25"/>
      <c r="R14" s="146"/>
    </row>
    <row r="15" spans="1:18" s="2" customFormat="1" ht="20.25" customHeight="1" thickBot="1">
      <c r="A15" s="26" t="s">
        <v>19</v>
      </c>
      <c r="B15" s="251">
        <v>9</v>
      </c>
      <c r="C15" s="221">
        <v>10549</v>
      </c>
      <c r="D15" s="27">
        <v>29327.8</v>
      </c>
      <c r="E15" s="27">
        <v>58134</v>
      </c>
      <c r="F15" s="24">
        <f>47355.2985-50+82.911</f>
        <v>47388.2095</v>
      </c>
      <c r="G15" s="23">
        <v>0</v>
      </c>
      <c r="H15" s="22">
        <f t="shared" si="2"/>
        <v>47388.2095</v>
      </c>
      <c r="I15" s="24">
        <v>23657.96</v>
      </c>
      <c r="J15" s="23"/>
      <c r="K15" s="22">
        <f t="shared" si="3"/>
        <v>23657.96</v>
      </c>
      <c r="L15" s="224">
        <f t="shared" si="4"/>
        <v>0.49923726280479114</v>
      </c>
      <c r="M15" s="24">
        <f>6166+1274+22409.59+765.9505+99.235+40.516+485.7+3.135+78</f>
        <v>31322.1265</v>
      </c>
      <c r="N15" s="23">
        <v>0</v>
      </c>
      <c r="O15" s="22">
        <f t="shared" si="5"/>
        <v>31322.1265</v>
      </c>
      <c r="P15" s="19">
        <f t="shared" si="0"/>
        <v>-16066.082999999999</v>
      </c>
      <c r="Q15" s="25">
        <f aca="true" t="shared" si="6" ref="Q15:Q29">+O15/H15</f>
        <v>0.6609687690352597</v>
      </c>
      <c r="R15" s="173" t="s">
        <v>230</v>
      </c>
    </row>
    <row r="16" spans="1:18" s="32" customFormat="1" ht="20.25" customHeight="1" thickBot="1">
      <c r="A16" s="28" t="s">
        <v>20</v>
      </c>
      <c r="B16" s="247">
        <v>10</v>
      </c>
      <c r="C16" s="29">
        <v>587012</v>
      </c>
      <c r="D16" s="30">
        <v>697712.89</v>
      </c>
      <c r="E16" s="30">
        <v>804593</v>
      </c>
      <c r="F16" s="40">
        <f aca="true" t="shared" si="7" ref="F16:K16">+F8+F10+F11+F13+F15+F9</f>
        <v>686018.3216703279</v>
      </c>
      <c r="G16" s="31">
        <f t="shared" si="7"/>
        <v>101005.88782967202</v>
      </c>
      <c r="H16" s="43">
        <f t="shared" si="7"/>
        <v>787024.2095</v>
      </c>
      <c r="I16" s="40">
        <f t="shared" si="7"/>
        <v>366216.5200000001</v>
      </c>
      <c r="J16" s="31">
        <f t="shared" si="7"/>
        <v>54031.159999999996</v>
      </c>
      <c r="K16" s="43">
        <f t="shared" si="7"/>
        <v>420247.68000000005</v>
      </c>
      <c r="L16" s="213">
        <f t="shared" si="4"/>
        <v>0.5339704610446294</v>
      </c>
      <c r="M16" s="40">
        <f>+M8+M10+M11+M13+M15+M9</f>
        <v>700625.8102721329</v>
      </c>
      <c r="N16" s="31">
        <f>+N8+N10+N11+N13+N15+N9</f>
        <v>102664.1232278672</v>
      </c>
      <c r="O16" s="43">
        <f>+O8+O10+O11+O13+O15+O9</f>
        <v>803289.9335</v>
      </c>
      <c r="P16" s="214">
        <f t="shared" si="0"/>
        <v>16265.724000000046</v>
      </c>
      <c r="Q16" s="213">
        <f t="shared" si="6"/>
        <v>1.0206673744005077</v>
      </c>
      <c r="R16" s="242"/>
    </row>
    <row r="17" spans="1:18" s="2" customFormat="1" ht="20.25" customHeight="1">
      <c r="A17" s="14" t="s">
        <v>21</v>
      </c>
      <c r="B17" s="250">
        <v>11</v>
      </c>
      <c r="C17" s="219">
        <v>201137</v>
      </c>
      <c r="D17" s="15">
        <v>171150.8</v>
      </c>
      <c r="E17" s="15">
        <v>180191</v>
      </c>
      <c r="F17" s="24">
        <v>169038.80271489697</v>
      </c>
      <c r="G17" s="23">
        <v>261.19728510302957</v>
      </c>
      <c r="H17" s="15">
        <v>169300</v>
      </c>
      <c r="I17" s="24">
        <v>86313.25</v>
      </c>
      <c r="J17" s="23">
        <v>122.59</v>
      </c>
      <c r="K17" s="15">
        <f>+I17+J17</f>
        <v>86435.84</v>
      </c>
      <c r="L17" s="20">
        <f t="shared" si="4"/>
        <v>0.5105483756645008</v>
      </c>
      <c r="M17" s="24">
        <v>162133.5</v>
      </c>
      <c r="N17" s="23">
        <v>251.0456127109567</v>
      </c>
      <c r="O17" s="15">
        <v>162384</v>
      </c>
      <c r="P17" s="19">
        <f t="shared" si="0"/>
        <v>-6916</v>
      </c>
      <c r="Q17" s="20">
        <f t="shared" si="6"/>
        <v>0.9591494388659185</v>
      </c>
      <c r="R17" s="243" t="s">
        <v>223</v>
      </c>
    </row>
    <row r="18" spans="1:18" s="2" customFormat="1" ht="20.25" customHeight="1">
      <c r="A18" s="21" t="s">
        <v>22</v>
      </c>
      <c r="B18" s="248">
        <v>12</v>
      </c>
      <c r="C18" s="220">
        <v>35281</v>
      </c>
      <c r="D18" s="22">
        <v>-1046</v>
      </c>
      <c r="E18" s="22">
        <v>1857</v>
      </c>
      <c r="F18" s="24">
        <v>947.4421109316103</v>
      </c>
      <c r="G18" s="23">
        <v>2.5578890683898763</v>
      </c>
      <c r="H18" s="15">
        <v>950</v>
      </c>
      <c r="I18" s="24"/>
      <c r="J18" s="23"/>
      <c r="K18" s="15">
        <f aca="true" t="shared" si="8" ref="K18:K34">+I18+J18</f>
        <v>0</v>
      </c>
      <c r="L18" s="25">
        <f t="shared" si="4"/>
        <v>0</v>
      </c>
      <c r="M18" s="24">
        <v>1745.288099084545</v>
      </c>
      <c r="N18" s="23">
        <v>4.711900915455035</v>
      </c>
      <c r="O18" s="15">
        <f aca="true" t="shared" si="9" ref="O18:O34">+M18+N18</f>
        <v>1750</v>
      </c>
      <c r="P18" s="19">
        <f t="shared" si="0"/>
        <v>800</v>
      </c>
      <c r="Q18" s="20">
        <f t="shared" si="6"/>
        <v>1.8421052631578947</v>
      </c>
      <c r="R18" s="146"/>
    </row>
    <row r="19" spans="1:18" s="2" customFormat="1" ht="20.25" customHeight="1">
      <c r="A19" s="21" t="s">
        <v>23</v>
      </c>
      <c r="B19" s="250">
        <v>13</v>
      </c>
      <c r="C19" s="220">
        <v>29937</v>
      </c>
      <c r="D19" s="22">
        <v>27092.08</v>
      </c>
      <c r="E19" s="22">
        <v>30570</v>
      </c>
      <c r="F19" s="24">
        <v>33431.83186130193</v>
      </c>
      <c r="G19" s="23">
        <v>669.2836113837095</v>
      </c>
      <c r="H19" s="15">
        <v>34100</v>
      </c>
      <c r="I19" s="24">
        <v>19386.73</v>
      </c>
      <c r="J19" s="23"/>
      <c r="K19" s="15">
        <f t="shared" si="8"/>
        <v>19386.73</v>
      </c>
      <c r="L19" s="25">
        <f t="shared" si="4"/>
        <v>0.5685258064516129</v>
      </c>
      <c r="M19" s="24">
        <v>34804.399738305525</v>
      </c>
      <c r="N19" s="23">
        <v>696.7615309126594</v>
      </c>
      <c r="O19" s="15">
        <v>35500</v>
      </c>
      <c r="P19" s="19">
        <f t="shared" si="0"/>
        <v>1400</v>
      </c>
      <c r="Q19" s="20">
        <f t="shared" si="6"/>
        <v>1.0410557184750733</v>
      </c>
      <c r="R19" s="146"/>
    </row>
    <row r="20" spans="1:18" s="2" customFormat="1" ht="20.25" customHeight="1">
      <c r="A20" s="21" t="s">
        <v>24</v>
      </c>
      <c r="B20" s="251">
        <v>14</v>
      </c>
      <c r="C20" s="220">
        <v>408</v>
      </c>
      <c r="D20" s="22">
        <v>361.91</v>
      </c>
      <c r="E20" s="22">
        <v>346</v>
      </c>
      <c r="F20" s="24">
        <v>350</v>
      </c>
      <c r="G20" s="23">
        <v>0</v>
      </c>
      <c r="H20" s="15">
        <v>350</v>
      </c>
      <c r="I20" s="24">
        <v>161.2</v>
      </c>
      <c r="J20" s="23"/>
      <c r="K20" s="15">
        <f t="shared" si="8"/>
        <v>161.2</v>
      </c>
      <c r="L20" s="25">
        <f t="shared" si="4"/>
        <v>0.4605714285714285</v>
      </c>
      <c r="M20" s="24">
        <v>350</v>
      </c>
      <c r="N20" s="23">
        <v>0</v>
      </c>
      <c r="O20" s="15">
        <f t="shared" si="9"/>
        <v>350</v>
      </c>
      <c r="P20" s="19">
        <f t="shared" si="0"/>
        <v>0</v>
      </c>
      <c r="Q20" s="20">
        <f t="shared" si="6"/>
        <v>1</v>
      </c>
      <c r="R20" s="146"/>
    </row>
    <row r="21" spans="1:18" s="2" customFormat="1" ht="20.25" customHeight="1">
      <c r="A21" s="21" t="s">
        <v>25</v>
      </c>
      <c r="B21" s="248">
        <v>15</v>
      </c>
      <c r="C21" s="220">
        <v>62142</v>
      </c>
      <c r="D21" s="22">
        <v>71176.06</v>
      </c>
      <c r="E21" s="22">
        <v>82847</v>
      </c>
      <c r="F21" s="24">
        <v>0</v>
      </c>
      <c r="G21" s="23">
        <v>80522</v>
      </c>
      <c r="H21" s="15">
        <v>80522</v>
      </c>
      <c r="I21" s="24">
        <v>-5.7</v>
      </c>
      <c r="J21" s="23">
        <v>44780.53</v>
      </c>
      <c r="K21" s="15">
        <f t="shared" si="8"/>
        <v>44774.83</v>
      </c>
      <c r="L21" s="25">
        <f t="shared" si="4"/>
        <v>0.5560571024067957</v>
      </c>
      <c r="M21" s="24">
        <v>0</v>
      </c>
      <c r="N21" s="23">
        <v>80522</v>
      </c>
      <c r="O21" s="15">
        <f t="shared" si="9"/>
        <v>80522</v>
      </c>
      <c r="P21" s="19">
        <f t="shared" si="0"/>
        <v>0</v>
      </c>
      <c r="Q21" s="20">
        <f t="shared" si="6"/>
        <v>1</v>
      </c>
      <c r="R21" s="146"/>
    </row>
    <row r="22" spans="1:18" s="2" customFormat="1" ht="20.25" customHeight="1">
      <c r="A22" s="21" t="s">
        <v>26</v>
      </c>
      <c r="B22" s="251">
        <v>16</v>
      </c>
      <c r="C22" s="220">
        <v>66931</v>
      </c>
      <c r="D22" s="22">
        <v>95142.77</v>
      </c>
      <c r="E22" s="22">
        <v>116529</v>
      </c>
      <c r="F22" s="24">
        <v>126824.04608294932</v>
      </c>
      <c r="G22" s="23">
        <v>195.11391705069127</v>
      </c>
      <c r="H22" s="15">
        <v>127019.16</v>
      </c>
      <c r="I22" s="24">
        <f>5034.82+348.89+5.71+55118.04</f>
        <v>60507.46</v>
      </c>
      <c r="J22" s="23">
        <v>39.39</v>
      </c>
      <c r="K22" s="15">
        <f t="shared" si="8"/>
        <v>60546.85</v>
      </c>
      <c r="L22" s="25">
        <f t="shared" si="4"/>
        <v>0.4766749362852029</v>
      </c>
      <c r="M22" s="24">
        <v>126550.16743471583</v>
      </c>
      <c r="N22" s="23">
        <v>194.69256528417822</v>
      </c>
      <c r="O22" s="15">
        <f t="shared" si="9"/>
        <v>126744.86</v>
      </c>
      <c r="P22" s="19">
        <f t="shared" si="0"/>
        <v>-274.3000000000029</v>
      </c>
      <c r="Q22" s="20">
        <f t="shared" si="6"/>
        <v>0.9978404832782708</v>
      </c>
      <c r="R22" s="146"/>
    </row>
    <row r="23" spans="1:18" s="2" customFormat="1" ht="20.25" customHeight="1">
      <c r="A23" s="21" t="s">
        <v>27</v>
      </c>
      <c r="B23" s="250">
        <v>17</v>
      </c>
      <c r="C23" s="220">
        <v>8967</v>
      </c>
      <c r="D23" s="22">
        <v>15050.7</v>
      </c>
      <c r="E23" s="22">
        <v>15118</v>
      </c>
      <c r="F23" s="24">
        <v>13981.479031617939</v>
      </c>
      <c r="G23" s="23">
        <v>18.520968382061117</v>
      </c>
      <c r="H23" s="15">
        <v>14000</v>
      </c>
      <c r="I23" s="24">
        <v>5034.82</v>
      </c>
      <c r="J23" s="23"/>
      <c r="K23" s="15">
        <f t="shared" si="8"/>
        <v>5034.82</v>
      </c>
      <c r="L23" s="25">
        <f t="shared" si="4"/>
        <v>0.35963</v>
      </c>
      <c r="M23" s="24">
        <v>13981.479031617939</v>
      </c>
      <c r="N23" s="23">
        <v>18.520968382061117</v>
      </c>
      <c r="O23" s="15">
        <f t="shared" si="9"/>
        <v>14000</v>
      </c>
      <c r="P23" s="19">
        <f t="shared" si="0"/>
        <v>0</v>
      </c>
      <c r="Q23" s="20">
        <f t="shared" si="6"/>
        <v>1</v>
      </c>
      <c r="R23" s="146"/>
    </row>
    <row r="24" spans="1:18" s="2" customFormat="1" ht="20.25" customHeight="1">
      <c r="A24" s="21" t="s">
        <v>28</v>
      </c>
      <c r="B24" s="248">
        <v>18</v>
      </c>
      <c r="C24" s="220">
        <v>56796</v>
      </c>
      <c r="D24" s="22">
        <v>79403.28</v>
      </c>
      <c r="E24" s="22">
        <v>100775</v>
      </c>
      <c r="F24" s="24">
        <v>112124.20621066733</v>
      </c>
      <c r="G24" s="23">
        <v>174.9537893326718</v>
      </c>
      <c r="H24" s="15">
        <v>112299.16</v>
      </c>
      <c r="I24" s="24">
        <v>55118.04</v>
      </c>
      <c r="J24" s="23">
        <v>39.39</v>
      </c>
      <c r="K24" s="15">
        <f t="shared" si="8"/>
        <v>55157.43</v>
      </c>
      <c r="L24" s="25">
        <f t="shared" si="4"/>
        <v>0.49116511646213556</v>
      </c>
      <c r="M24" s="24">
        <v>111850.33354978912</v>
      </c>
      <c r="N24" s="23">
        <v>174.5264502108658</v>
      </c>
      <c r="O24" s="15">
        <f t="shared" si="9"/>
        <v>112024.85999999999</v>
      </c>
      <c r="P24" s="19">
        <f t="shared" si="0"/>
        <v>-274.30000000001746</v>
      </c>
      <c r="Q24" s="20">
        <f t="shared" si="6"/>
        <v>0.9975574171703508</v>
      </c>
      <c r="R24" s="146" t="s">
        <v>222</v>
      </c>
    </row>
    <row r="25" spans="1:18" s="2" customFormat="1" ht="20.25" customHeight="1">
      <c r="A25" s="33" t="s">
        <v>29</v>
      </c>
      <c r="B25" s="250">
        <v>19</v>
      </c>
      <c r="C25" s="220">
        <v>357514</v>
      </c>
      <c r="D25" s="22">
        <v>316162.78</v>
      </c>
      <c r="E25" s="22">
        <v>344593</v>
      </c>
      <c r="F25" s="24">
        <v>377769.6539421671</v>
      </c>
      <c r="G25" s="23">
        <v>4728.600299687752</v>
      </c>
      <c r="H25" s="15">
        <v>382498.2542418548</v>
      </c>
      <c r="I25" s="24">
        <f>135135.51+47306.7+2655.44</f>
        <v>185097.65000000002</v>
      </c>
      <c r="J25" s="23"/>
      <c r="K25" s="15">
        <f t="shared" si="8"/>
        <v>185097.65000000002</v>
      </c>
      <c r="L25" s="25">
        <f t="shared" si="4"/>
        <v>0.4839176334722882</v>
      </c>
      <c r="M25" s="24">
        <v>377769.6539421671</v>
      </c>
      <c r="N25" s="23">
        <v>4728.600299687752</v>
      </c>
      <c r="O25" s="15">
        <f t="shared" si="9"/>
        <v>382498.2542418549</v>
      </c>
      <c r="P25" s="19">
        <f t="shared" si="0"/>
        <v>0</v>
      </c>
      <c r="Q25" s="20">
        <f t="shared" si="6"/>
        <v>1.0000000000000002</v>
      </c>
      <c r="R25" s="146"/>
    </row>
    <row r="26" spans="1:18" s="2" customFormat="1" ht="20.25" customHeight="1">
      <c r="A26" s="21" t="s">
        <v>30</v>
      </c>
      <c r="B26" s="248">
        <v>20</v>
      </c>
      <c r="C26" s="220">
        <v>261428</v>
      </c>
      <c r="D26" s="22">
        <v>230829.78</v>
      </c>
      <c r="E26" s="22">
        <v>251615</v>
      </c>
      <c r="F26" s="24">
        <v>275662.34600431216</v>
      </c>
      <c r="G26" s="23">
        <v>3455.4857456878563</v>
      </c>
      <c r="H26" s="15">
        <v>279117.83175</v>
      </c>
      <c r="I26" s="24">
        <v>135135.51</v>
      </c>
      <c r="J26" s="23"/>
      <c r="K26" s="15">
        <f t="shared" si="8"/>
        <v>135135.51</v>
      </c>
      <c r="L26" s="25">
        <f t="shared" si="4"/>
        <v>0.4841521917561973</v>
      </c>
      <c r="M26" s="24">
        <v>275662.34600431216</v>
      </c>
      <c r="N26" s="23">
        <v>3455.4857456878563</v>
      </c>
      <c r="O26" s="15">
        <f t="shared" si="9"/>
        <v>279117.83175</v>
      </c>
      <c r="P26" s="19">
        <f t="shared" si="0"/>
        <v>0</v>
      </c>
      <c r="Q26" s="20">
        <f t="shared" si="6"/>
        <v>1</v>
      </c>
      <c r="R26" s="146"/>
    </row>
    <row r="27" spans="1:18" s="2" customFormat="1" ht="20.25" customHeight="1">
      <c r="A27" s="33" t="s">
        <v>31</v>
      </c>
      <c r="B27" s="250">
        <v>21</v>
      </c>
      <c r="C27" s="220">
        <v>256077</v>
      </c>
      <c r="D27" s="22">
        <v>0</v>
      </c>
      <c r="E27" s="22">
        <v>247420</v>
      </c>
      <c r="F27" s="24">
        <v>271505.27592478076</v>
      </c>
      <c r="G27" s="23">
        <v>3432.5558252192627</v>
      </c>
      <c r="H27" s="15">
        <v>274937.83175</v>
      </c>
      <c r="I27" s="24"/>
      <c r="J27" s="23"/>
      <c r="K27" s="15">
        <f t="shared" si="8"/>
        <v>0</v>
      </c>
      <c r="L27" s="25">
        <f t="shared" si="4"/>
        <v>0</v>
      </c>
      <c r="M27" s="24">
        <v>271505.27592478076</v>
      </c>
      <c r="N27" s="23">
        <v>3432.5558252192627</v>
      </c>
      <c r="O27" s="15">
        <f t="shared" si="9"/>
        <v>274937.83175</v>
      </c>
      <c r="P27" s="19">
        <f t="shared" si="0"/>
        <v>0</v>
      </c>
      <c r="Q27" s="20">
        <f t="shared" si="6"/>
        <v>1</v>
      </c>
      <c r="R27" s="146"/>
    </row>
    <row r="28" spans="1:18" s="2" customFormat="1" ht="20.25" customHeight="1">
      <c r="A28" s="21" t="s">
        <v>32</v>
      </c>
      <c r="B28" s="251">
        <v>22</v>
      </c>
      <c r="C28" s="220">
        <v>5272</v>
      </c>
      <c r="D28" s="22">
        <v>0</v>
      </c>
      <c r="E28" s="22">
        <v>4195</v>
      </c>
      <c r="F28" s="24">
        <v>4154.092967818832</v>
      </c>
      <c r="G28" s="23">
        <v>25.907032181168056</v>
      </c>
      <c r="H28" s="15">
        <v>4180</v>
      </c>
      <c r="I28" s="24"/>
      <c r="J28" s="23"/>
      <c r="K28" s="15">
        <f t="shared" si="8"/>
        <v>0</v>
      </c>
      <c r="L28" s="25">
        <f t="shared" si="4"/>
        <v>0</v>
      </c>
      <c r="M28" s="24">
        <v>4154.092967818832</v>
      </c>
      <c r="N28" s="23">
        <v>25.907032181168056</v>
      </c>
      <c r="O28" s="15">
        <f t="shared" si="9"/>
        <v>4180</v>
      </c>
      <c r="P28" s="19">
        <f t="shared" si="0"/>
        <v>0</v>
      </c>
      <c r="Q28" s="20">
        <f t="shared" si="6"/>
        <v>1</v>
      </c>
      <c r="R28" s="146"/>
    </row>
    <row r="29" spans="1:18" s="2" customFormat="1" ht="20.25" customHeight="1">
      <c r="A29" s="21" t="s">
        <v>33</v>
      </c>
      <c r="B29" s="248">
        <v>23</v>
      </c>
      <c r="C29" s="220">
        <v>96084</v>
      </c>
      <c r="D29" s="22">
        <v>85333</v>
      </c>
      <c r="E29" s="22">
        <v>92978</v>
      </c>
      <c r="F29" s="24">
        <v>102107.31935183062</v>
      </c>
      <c r="G29" s="23">
        <v>1273.1031400242402</v>
      </c>
      <c r="H29" s="15">
        <v>103380.42249185486</v>
      </c>
      <c r="I29" s="24">
        <f>47306.7+2655.44</f>
        <v>49962.14</v>
      </c>
      <c r="J29" s="23"/>
      <c r="K29" s="15">
        <f t="shared" si="8"/>
        <v>49962.14</v>
      </c>
      <c r="L29" s="25">
        <f t="shared" si="4"/>
        <v>0.4832843472267336</v>
      </c>
      <c r="M29" s="24">
        <v>102107.31935183062</v>
      </c>
      <c r="N29" s="23">
        <v>1273.1031400242402</v>
      </c>
      <c r="O29" s="15">
        <f t="shared" si="9"/>
        <v>103380.42249185486</v>
      </c>
      <c r="P29" s="19">
        <f t="shared" si="0"/>
        <v>0</v>
      </c>
      <c r="Q29" s="20">
        <f t="shared" si="6"/>
        <v>1</v>
      </c>
      <c r="R29" s="146"/>
    </row>
    <row r="30" spans="1:18" s="2" customFormat="1" ht="20.25" customHeight="1">
      <c r="A30" s="33" t="s">
        <v>34</v>
      </c>
      <c r="B30" s="248">
        <v>24</v>
      </c>
      <c r="C30" s="220">
        <v>0</v>
      </c>
      <c r="D30" s="22">
        <v>0</v>
      </c>
      <c r="E30" s="22">
        <v>0</v>
      </c>
      <c r="F30" s="24">
        <v>0</v>
      </c>
      <c r="G30" s="23">
        <v>0</v>
      </c>
      <c r="H30" s="15">
        <v>0</v>
      </c>
      <c r="I30" s="24">
        <v>27.54</v>
      </c>
      <c r="J30" s="23"/>
      <c r="K30" s="15">
        <f t="shared" si="8"/>
        <v>27.54</v>
      </c>
      <c r="L30" s="25"/>
      <c r="M30" s="24">
        <v>27</v>
      </c>
      <c r="N30" s="23">
        <v>0</v>
      </c>
      <c r="O30" s="15">
        <f t="shared" si="9"/>
        <v>27</v>
      </c>
      <c r="P30" s="19">
        <f t="shared" si="0"/>
        <v>27</v>
      </c>
      <c r="Q30" s="20"/>
      <c r="R30" s="146"/>
    </row>
    <row r="31" spans="1:18" s="2" customFormat="1" ht="20.25" customHeight="1">
      <c r="A31" s="33" t="s">
        <v>35</v>
      </c>
      <c r="B31" s="250">
        <v>25</v>
      </c>
      <c r="C31" s="220">
        <v>6027</v>
      </c>
      <c r="D31" s="22">
        <v>9096.4</v>
      </c>
      <c r="E31" s="22">
        <v>9716</v>
      </c>
      <c r="F31" s="24">
        <v>3399.991766158913</v>
      </c>
      <c r="G31" s="23">
        <v>470.00823384108685</v>
      </c>
      <c r="H31" s="15">
        <v>3870</v>
      </c>
      <c r="I31" s="24">
        <f>-193.69+11.95+4.32+218.9+111.71+498.29</f>
        <v>651.48</v>
      </c>
      <c r="J31" s="23">
        <v>5.1</v>
      </c>
      <c r="K31" s="15">
        <f t="shared" si="8"/>
        <v>656.58</v>
      </c>
      <c r="L31" s="25">
        <f t="shared" si="4"/>
        <v>0.1696589147286822</v>
      </c>
      <c r="M31" s="24">
        <v>5157.093454096336</v>
      </c>
      <c r="N31" s="23">
        <v>712.9065459036641</v>
      </c>
      <c r="O31" s="15">
        <f t="shared" si="9"/>
        <v>5870</v>
      </c>
      <c r="P31" s="19">
        <f t="shared" si="0"/>
        <v>2000</v>
      </c>
      <c r="Q31" s="20">
        <f>+O31/H31</f>
        <v>1.516795865633075</v>
      </c>
      <c r="R31" s="146" t="s">
        <v>224</v>
      </c>
    </row>
    <row r="32" spans="1:18" s="2" customFormat="1" ht="20.25" customHeight="1">
      <c r="A32" s="21" t="s">
        <v>36</v>
      </c>
      <c r="B32" s="248">
        <v>26</v>
      </c>
      <c r="C32" s="220">
        <v>6190</v>
      </c>
      <c r="D32" s="22">
        <v>12120.13</v>
      </c>
      <c r="E32" s="22">
        <v>10840</v>
      </c>
      <c r="F32" s="24">
        <v>11614.640221402215</v>
      </c>
      <c r="G32" s="23">
        <v>5.3597785977859775</v>
      </c>
      <c r="H32" s="15">
        <v>11620</v>
      </c>
      <c r="I32" s="24">
        <f>762.05+4306.46</f>
        <v>5068.51</v>
      </c>
      <c r="J32" s="23"/>
      <c r="K32" s="15">
        <f t="shared" si="8"/>
        <v>5068.51</v>
      </c>
      <c r="L32" s="25">
        <f t="shared" si="4"/>
        <v>0.4361884681583477</v>
      </c>
      <c r="M32" s="24">
        <v>10595.11070110701</v>
      </c>
      <c r="N32" s="23">
        <v>4.88929889298893</v>
      </c>
      <c r="O32" s="15">
        <f t="shared" si="9"/>
        <v>10600</v>
      </c>
      <c r="P32" s="19">
        <f t="shared" si="0"/>
        <v>-1020</v>
      </c>
      <c r="Q32" s="20">
        <f>+O32/H32</f>
        <v>0.9122203098106713</v>
      </c>
      <c r="R32" s="146" t="s">
        <v>225</v>
      </c>
    </row>
    <row r="33" spans="1:18" s="2" customFormat="1" ht="20.25" customHeight="1">
      <c r="A33" s="21" t="s">
        <v>37</v>
      </c>
      <c r="B33" s="250">
        <v>27</v>
      </c>
      <c r="C33" s="220">
        <v>1010</v>
      </c>
      <c r="D33" s="22">
        <v>2135.3</v>
      </c>
      <c r="E33" s="22">
        <v>1758</v>
      </c>
      <c r="F33" s="24">
        <v>2200</v>
      </c>
      <c r="G33" s="23">
        <v>0</v>
      </c>
      <c r="H33" s="15">
        <v>2200</v>
      </c>
      <c r="I33" s="24">
        <v>762.05</v>
      </c>
      <c r="J33" s="23"/>
      <c r="K33" s="15">
        <f t="shared" si="8"/>
        <v>762.05</v>
      </c>
      <c r="L33" s="25">
        <f t="shared" si="4"/>
        <v>0.3463863636363636</v>
      </c>
      <c r="M33" s="24">
        <v>2200</v>
      </c>
      <c r="N33" s="23">
        <v>0</v>
      </c>
      <c r="O33" s="15">
        <f t="shared" si="9"/>
        <v>2200</v>
      </c>
      <c r="P33" s="19">
        <f t="shared" si="0"/>
        <v>0</v>
      </c>
      <c r="Q33" s="20">
        <f>+O33/H33</f>
        <v>1</v>
      </c>
      <c r="R33" s="146"/>
    </row>
    <row r="34" spans="1:18" s="2" customFormat="1" ht="20.25" customHeight="1" thickBot="1">
      <c r="A34" s="34" t="s">
        <v>38</v>
      </c>
      <c r="B34" s="251">
        <v>28</v>
      </c>
      <c r="C34" s="220">
        <v>0</v>
      </c>
      <c r="D34" s="22">
        <v>0</v>
      </c>
      <c r="E34" s="22">
        <v>2972</v>
      </c>
      <c r="F34" s="24">
        <v>1206.14</v>
      </c>
      <c r="G34" s="23">
        <v>0</v>
      </c>
      <c r="H34" s="15">
        <v>1206.14</v>
      </c>
      <c r="I34" s="24">
        <v>-1206.14</v>
      </c>
      <c r="J34" s="23"/>
      <c r="K34" s="15">
        <f t="shared" si="8"/>
        <v>-1206.14</v>
      </c>
      <c r="L34" s="224">
        <f t="shared" si="4"/>
        <v>-1</v>
      </c>
      <c r="M34" s="24">
        <v>-1206.14</v>
      </c>
      <c r="N34" s="23">
        <v>0</v>
      </c>
      <c r="O34" s="15">
        <f t="shared" si="9"/>
        <v>-1206.14</v>
      </c>
      <c r="P34" s="19">
        <f t="shared" si="0"/>
        <v>-2412.28</v>
      </c>
      <c r="Q34" s="20">
        <f>+O34/H34</f>
        <v>-1</v>
      </c>
      <c r="R34" s="173" t="s">
        <v>226</v>
      </c>
    </row>
    <row r="35" spans="1:18" s="2" customFormat="1" ht="20.25" customHeight="1" thickBot="1">
      <c r="A35" s="28" t="s">
        <v>39</v>
      </c>
      <c r="B35" s="249">
        <v>29</v>
      </c>
      <c r="C35" s="29">
        <v>730286</v>
      </c>
      <c r="D35" s="29">
        <v>702302.93</v>
      </c>
      <c r="E35" s="29">
        <v>778604</v>
      </c>
      <c r="F35" s="40">
        <v>723635.1065888766</v>
      </c>
      <c r="G35" s="30">
        <v>86851.56312566406</v>
      </c>
      <c r="H35" s="41">
        <v>810485.5542418548</v>
      </c>
      <c r="I35" s="78">
        <f>SUM(I17+I19+I20+I21+I22+I25+I30+I31+I32+I34)</f>
        <v>356001.98</v>
      </c>
      <c r="J35" s="91">
        <f>SUM(J17+J19+J20+J21+J22+J25+J30+J31+J32+J34)</f>
        <v>44947.60999999999</v>
      </c>
      <c r="K35" s="80">
        <f>SUM(K17+K19+K20+K21+K22+K25+K30+K31+K32+K34)</f>
        <v>400949.58999999997</v>
      </c>
      <c r="L35" s="359">
        <f t="shared" si="4"/>
        <v>0.4947029443048576</v>
      </c>
      <c r="M35" s="78">
        <f>SUM(M17+M19+M20+M21+M22+M25+M30+M31+M32+M34)</f>
        <v>716180.7852703917</v>
      </c>
      <c r="N35" s="91">
        <f>SUM(N17+N19+N20+N21+N22+N25+N30+N31+N32+N34)</f>
        <v>87110.8958533922</v>
      </c>
      <c r="O35" s="91">
        <f>SUM(O17+O19+O20+O21+O22+O25+O30+O31+O32+O34)</f>
        <v>803289.9742418549</v>
      </c>
      <c r="P35" s="214">
        <f t="shared" si="0"/>
        <v>-7195.579999999958</v>
      </c>
      <c r="Q35" s="213">
        <f>+O35/H35</f>
        <v>0.9911218898815157</v>
      </c>
      <c r="R35" s="242"/>
    </row>
    <row r="36" spans="1:18" s="2" customFormat="1" ht="18.75" customHeight="1" thickBot="1">
      <c r="A36" s="28" t="s">
        <v>40</v>
      </c>
      <c r="B36" s="247">
        <v>30</v>
      </c>
      <c r="C36" s="35">
        <v>-143274</v>
      </c>
      <c r="D36" s="36">
        <v>-4590.039999999921</v>
      </c>
      <c r="E36" s="35">
        <v>25989</v>
      </c>
      <c r="F36" s="651">
        <f>+H16-H35</f>
        <v>-23461.344741854817</v>
      </c>
      <c r="G36" s="651"/>
      <c r="H36" s="652"/>
      <c r="I36" s="651">
        <f>+K16-K35</f>
        <v>19298.090000000084</v>
      </c>
      <c r="J36" s="651"/>
      <c r="K36" s="652"/>
      <c r="L36" s="216"/>
      <c r="M36" s="650">
        <f>+O16-O35</f>
        <v>-0.040741854812949896</v>
      </c>
      <c r="N36" s="651"/>
      <c r="O36" s="652"/>
      <c r="P36" s="215"/>
      <c r="Q36" s="216"/>
      <c r="R36" s="244"/>
    </row>
  </sheetData>
  <mergeCells count="15">
    <mergeCell ref="C4:E4"/>
    <mergeCell ref="P4:Q4"/>
    <mergeCell ref="A3:A6"/>
    <mergeCell ref="B3:B6"/>
    <mergeCell ref="C3:R3"/>
    <mergeCell ref="C5:C6"/>
    <mergeCell ref="D5:D6"/>
    <mergeCell ref="E5:E6"/>
    <mergeCell ref="M36:O36"/>
    <mergeCell ref="R4:R6"/>
    <mergeCell ref="F36:H36"/>
    <mergeCell ref="F4:H4"/>
    <mergeCell ref="M4:O4"/>
    <mergeCell ref="I4:K4"/>
    <mergeCell ref="I36:K36"/>
  </mergeCells>
  <printOptions horizontalCentered="1"/>
  <pageMargins left="0.15748031496062992" right="0.1968503937007874" top="0.22" bottom="0.19" header="0.18" footer="0.16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06">
      <selection activeCell="B110" sqref="B110"/>
    </sheetView>
  </sheetViews>
  <sheetFormatPr defaultColWidth="9.00390625" defaultRowHeight="21.75" customHeight="1"/>
  <cols>
    <col min="1" max="1" width="40.75390625" style="382" customWidth="1"/>
    <col min="2" max="4" width="12.75390625" style="382" customWidth="1"/>
    <col min="5" max="5" width="18.375" style="382" customWidth="1"/>
    <col min="6" max="12" width="9.125" style="382" customWidth="1"/>
    <col min="13" max="13" width="12.75390625" style="382" customWidth="1"/>
    <col min="14" max="16384" width="9.125" style="382" customWidth="1"/>
  </cols>
  <sheetData>
    <row r="1" spans="1:4" ht="21.75" customHeight="1">
      <c r="A1" s="381" t="s">
        <v>284</v>
      </c>
      <c r="C1" s="381"/>
      <c r="D1" s="381"/>
    </row>
    <row r="2" spans="1:4" ht="17.25" customHeight="1">
      <c r="A2" s="381" t="s">
        <v>285</v>
      </c>
      <c r="C2" s="381"/>
      <c r="D2" s="381"/>
    </row>
    <row r="3" ht="4.5" customHeight="1" thickBot="1">
      <c r="A3" s="383"/>
    </row>
    <row r="4" spans="1:5" ht="42.75" customHeight="1">
      <c r="A4" s="678" t="s">
        <v>92</v>
      </c>
      <c r="B4" s="384" t="s">
        <v>93</v>
      </c>
      <c r="C4" s="386" t="s">
        <v>94</v>
      </c>
      <c r="D4" s="519" t="s">
        <v>248</v>
      </c>
      <c r="E4" s="384" t="s">
        <v>257</v>
      </c>
    </row>
    <row r="5" spans="1:5" ht="21.75" customHeight="1" thickBot="1">
      <c r="A5" s="679"/>
      <c r="B5" s="388"/>
      <c r="C5" s="390" t="s">
        <v>97</v>
      </c>
      <c r="D5" s="520" t="s">
        <v>256</v>
      </c>
      <c r="E5" s="388" t="s">
        <v>99</v>
      </c>
    </row>
    <row r="6" spans="1:5" ht="10.5" customHeight="1">
      <c r="A6" s="680" t="s">
        <v>286</v>
      </c>
      <c r="B6" s="676">
        <v>100000</v>
      </c>
      <c r="C6" s="677"/>
      <c r="D6" s="521"/>
      <c r="E6" s="671"/>
    </row>
    <row r="7" spans="1:5" ht="10.5" customHeight="1">
      <c r="A7" s="669"/>
      <c r="B7" s="665"/>
      <c r="C7" s="673"/>
      <c r="D7" s="522"/>
      <c r="E7" s="667"/>
    </row>
    <row r="8" spans="1:5" ht="10.5" customHeight="1">
      <c r="A8" s="668" t="s">
        <v>287</v>
      </c>
      <c r="B8" s="410">
        <v>800000</v>
      </c>
      <c r="C8" s="406"/>
      <c r="D8" s="523"/>
      <c r="E8" s="408"/>
    </row>
    <row r="9" spans="1:5" ht="10.5" customHeight="1">
      <c r="A9" s="669"/>
      <c r="B9" s="398">
        <v>1992945</v>
      </c>
      <c r="C9" s="400"/>
      <c r="D9" s="524"/>
      <c r="E9" s="402"/>
    </row>
    <row r="10" spans="1:5" ht="10.5" customHeight="1">
      <c r="A10" s="668" t="s">
        <v>288</v>
      </c>
      <c r="B10" s="664"/>
      <c r="C10" s="672">
        <v>300000</v>
      </c>
      <c r="D10" s="525"/>
      <c r="E10" s="666">
        <v>300000</v>
      </c>
    </row>
    <row r="11" spans="1:5" ht="10.5" customHeight="1">
      <c r="A11" s="669"/>
      <c r="B11" s="665"/>
      <c r="C11" s="673"/>
      <c r="D11" s="522"/>
      <c r="E11" s="667"/>
    </row>
    <row r="12" spans="1:5" ht="10.5" customHeight="1">
      <c r="A12" s="668" t="s">
        <v>289</v>
      </c>
      <c r="B12" s="410">
        <v>0</v>
      </c>
      <c r="C12" s="406"/>
      <c r="D12" s="523"/>
      <c r="E12" s="408"/>
    </row>
    <row r="13" spans="1:5" ht="10.5" customHeight="1">
      <c r="A13" s="669"/>
      <c r="B13" s="398">
        <v>211575</v>
      </c>
      <c r="C13" s="400"/>
      <c r="D13" s="524"/>
      <c r="E13" s="402"/>
    </row>
    <row r="14" spans="1:5" ht="10.5" customHeight="1">
      <c r="A14" s="668" t="s">
        <v>290</v>
      </c>
      <c r="B14" s="410">
        <v>0</v>
      </c>
      <c r="C14" s="405">
        <v>1416000</v>
      </c>
      <c r="D14" s="526"/>
      <c r="E14" s="408">
        <v>1416000</v>
      </c>
    </row>
    <row r="15" spans="1:5" ht="10.5" customHeight="1">
      <c r="A15" s="669"/>
      <c r="B15" s="398">
        <v>472000</v>
      </c>
      <c r="C15" s="400">
        <v>944000</v>
      </c>
      <c r="D15" s="524"/>
      <c r="E15" s="402">
        <v>944000</v>
      </c>
    </row>
    <row r="16" spans="1:5" ht="10.5" customHeight="1">
      <c r="A16" s="668" t="s">
        <v>291</v>
      </c>
      <c r="B16" s="410">
        <v>0</v>
      </c>
      <c r="C16" s="405">
        <v>4450000</v>
      </c>
      <c r="D16" s="526"/>
      <c r="E16" s="408">
        <v>4450000</v>
      </c>
    </row>
    <row r="17" spans="1:5" ht="10.5" customHeight="1">
      <c r="A17" s="669"/>
      <c r="B17" s="398">
        <v>580000</v>
      </c>
      <c r="C17" s="400">
        <v>3870000</v>
      </c>
      <c r="D17" s="524"/>
      <c r="E17" s="402">
        <v>3870000</v>
      </c>
    </row>
    <row r="18" spans="1:5" ht="10.5" customHeight="1">
      <c r="A18" s="668" t="s">
        <v>292</v>
      </c>
      <c r="B18" s="410">
        <v>0</v>
      </c>
      <c r="C18" s="406">
        <v>0</v>
      </c>
      <c r="D18" s="523"/>
      <c r="E18" s="408">
        <v>0</v>
      </c>
    </row>
    <row r="19" spans="1:5" ht="10.5" customHeight="1">
      <c r="A19" s="669"/>
      <c r="B19" s="398">
        <v>934500</v>
      </c>
      <c r="C19" s="400"/>
      <c r="D19" s="524"/>
      <c r="E19" s="402">
        <v>0</v>
      </c>
    </row>
    <row r="20" spans="1:5" ht="10.5" customHeight="1">
      <c r="A20" s="668" t="s">
        <v>293</v>
      </c>
      <c r="B20" s="664"/>
      <c r="C20" s="672">
        <v>75000</v>
      </c>
      <c r="D20" s="525"/>
      <c r="E20" s="666">
        <v>75000</v>
      </c>
    </row>
    <row r="21" spans="1:5" ht="10.5" customHeight="1">
      <c r="A21" s="669"/>
      <c r="B21" s="665"/>
      <c r="C21" s="673"/>
      <c r="D21" s="522"/>
      <c r="E21" s="667"/>
    </row>
    <row r="22" spans="1:5" ht="10.5" customHeight="1">
      <c r="A22" s="668" t="s">
        <v>294</v>
      </c>
      <c r="B22" s="410">
        <v>100000</v>
      </c>
      <c r="C22" s="406"/>
      <c r="D22" s="523"/>
      <c r="E22" s="408"/>
    </row>
    <row r="23" spans="1:5" ht="10.5" customHeight="1">
      <c r="A23" s="669"/>
      <c r="B23" s="398">
        <v>235620</v>
      </c>
      <c r="C23" s="400"/>
      <c r="D23" s="524"/>
      <c r="E23" s="402"/>
    </row>
    <row r="24" spans="1:5" ht="10.5" customHeight="1">
      <c r="A24" s="668" t="s">
        <v>295</v>
      </c>
      <c r="B24" s="410">
        <v>1000000</v>
      </c>
      <c r="C24" s="406"/>
      <c r="D24" s="523"/>
      <c r="E24" s="408"/>
    </row>
    <row r="25" spans="1:5" ht="10.5" customHeight="1">
      <c r="A25" s="669"/>
      <c r="B25" s="398">
        <v>926940</v>
      </c>
      <c r="C25" s="400"/>
      <c r="D25" s="524"/>
      <c r="E25" s="402"/>
    </row>
    <row r="26" spans="1:5" ht="10.5" customHeight="1">
      <c r="A26" s="668" t="s">
        <v>296</v>
      </c>
      <c r="B26" s="403"/>
      <c r="C26" s="405">
        <v>450000</v>
      </c>
      <c r="D26" s="526"/>
      <c r="E26" s="408">
        <v>450000</v>
      </c>
    </row>
    <row r="27" spans="1:5" ht="10.5" customHeight="1">
      <c r="A27" s="669"/>
      <c r="B27" s="398"/>
      <c r="C27" s="400">
        <v>0</v>
      </c>
      <c r="D27" s="524"/>
      <c r="E27" s="402">
        <v>0</v>
      </c>
    </row>
    <row r="28" spans="1:5" ht="10.5" customHeight="1">
      <c r="A28" s="668" t="s">
        <v>297</v>
      </c>
      <c r="B28" s="664">
        <v>714000</v>
      </c>
      <c r="C28" s="672"/>
      <c r="D28" s="525"/>
      <c r="E28" s="666"/>
    </row>
    <row r="29" spans="1:5" ht="10.5" customHeight="1">
      <c r="A29" s="669"/>
      <c r="B29" s="665"/>
      <c r="C29" s="673"/>
      <c r="D29" s="522"/>
      <c r="E29" s="667"/>
    </row>
    <row r="30" spans="1:5" ht="10.5" customHeight="1">
      <c r="A30" s="668" t="s">
        <v>298</v>
      </c>
      <c r="B30" s="664">
        <v>80963</v>
      </c>
      <c r="C30" s="672"/>
      <c r="D30" s="525"/>
      <c r="E30" s="666"/>
    </row>
    <row r="31" spans="1:5" ht="10.5" customHeight="1">
      <c r="A31" s="669"/>
      <c r="B31" s="665"/>
      <c r="C31" s="673"/>
      <c r="D31" s="522"/>
      <c r="E31" s="667"/>
    </row>
    <row r="32" spans="1:5" ht="10.5" customHeight="1">
      <c r="A32" s="668" t="s">
        <v>299</v>
      </c>
      <c r="B32" s="664"/>
      <c r="C32" s="672">
        <v>500000</v>
      </c>
      <c r="D32" s="525"/>
      <c r="E32" s="666">
        <v>500000</v>
      </c>
    </row>
    <row r="33" spans="1:5" ht="10.5" customHeight="1">
      <c r="A33" s="669"/>
      <c r="B33" s="665"/>
      <c r="C33" s="673"/>
      <c r="D33" s="522"/>
      <c r="E33" s="667"/>
    </row>
    <row r="34" spans="1:5" ht="10.5" customHeight="1">
      <c r="A34" s="668" t="s">
        <v>300</v>
      </c>
      <c r="B34" s="664">
        <v>80000</v>
      </c>
      <c r="C34" s="672"/>
      <c r="D34" s="525"/>
      <c r="E34" s="666"/>
    </row>
    <row r="35" spans="1:5" ht="10.5" customHeight="1">
      <c r="A35" s="669"/>
      <c r="B35" s="665"/>
      <c r="C35" s="673"/>
      <c r="D35" s="522"/>
      <c r="E35" s="667"/>
    </row>
    <row r="36" spans="1:5" ht="10.5" customHeight="1">
      <c r="A36" s="668" t="s">
        <v>301</v>
      </c>
      <c r="B36" s="403"/>
      <c r="C36" s="405">
        <v>0</v>
      </c>
      <c r="D36" s="674">
        <v>41690</v>
      </c>
      <c r="E36" s="408">
        <v>0</v>
      </c>
    </row>
    <row r="37" spans="1:5" ht="10.5" customHeight="1">
      <c r="A37" s="669"/>
      <c r="B37" s="398"/>
      <c r="C37" s="400">
        <v>57901</v>
      </c>
      <c r="D37" s="675"/>
      <c r="E37" s="402">
        <v>57901</v>
      </c>
    </row>
    <row r="38" spans="1:5" ht="10.5" customHeight="1">
      <c r="A38" s="668" t="s">
        <v>302</v>
      </c>
      <c r="B38" s="410">
        <v>0</v>
      </c>
      <c r="C38" s="406"/>
      <c r="D38" s="523"/>
      <c r="E38" s="408"/>
    </row>
    <row r="39" spans="1:5" ht="10.5" customHeight="1">
      <c r="A39" s="669"/>
      <c r="B39" s="398">
        <v>650000</v>
      </c>
      <c r="C39" s="400"/>
      <c r="D39" s="524"/>
      <c r="E39" s="402"/>
    </row>
    <row r="40" spans="1:5" ht="10.5" customHeight="1">
      <c r="A40" s="668" t="s">
        <v>303</v>
      </c>
      <c r="B40" s="664">
        <v>349825</v>
      </c>
      <c r="C40" s="672"/>
      <c r="D40" s="525"/>
      <c r="E40" s="666"/>
    </row>
    <row r="41" spans="1:5" ht="10.5" customHeight="1">
      <c r="A41" s="669"/>
      <c r="B41" s="665"/>
      <c r="C41" s="673"/>
      <c r="D41" s="522"/>
      <c r="E41" s="667"/>
    </row>
    <row r="42" spans="1:5" ht="10.5" customHeight="1">
      <c r="A42" s="668" t="s">
        <v>304</v>
      </c>
      <c r="B42" s="664">
        <v>12741</v>
      </c>
      <c r="C42" s="672"/>
      <c r="D42" s="525"/>
      <c r="E42" s="666"/>
    </row>
    <row r="43" spans="1:5" ht="10.5" customHeight="1">
      <c r="A43" s="669"/>
      <c r="B43" s="665"/>
      <c r="C43" s="673"/>
      <c r="D43" s="522"/>
      <c r="E43" s="667"/>
    </row>
    <row r="44" spans="1:5" ht="10.5" customHeight="1">
      <c r="A44" s="668" t="s">
        <v>305</v>
      </c>
      <c r="B44" s="410">
        <v>0</v>
      </c>
      <c r="C44" s="405">
        <v>1550000</v>
      </c>
      <c r="D44" s="526"/>
      <c r="E44" s="408">
        <v>1550000</v>
      </c>
    </row>
    <row r="45" spans="1:5" ht="10.5" customHeight="1">
      <c r="A45" s="669"/>
      <c r="B45" s="398">
        <v>1350000</v>
      </c>
      <c r="C45" s="400">
        <v>0</v>
      </c>
      <c r="D45" s="524"/>
      <c r="E45" s="402">
        <v>0</v>
      </c>
    </row>
    <row r="46" spans="1:5" ht="10.5" customHeight="1">
      <c r="A46" s="668" t="s">
        <v>306</v>
      </c>
      <c r="B46" s="664">
        <v>400000</v>
      </c>
      <c r="C46" s="672"/>
      <c r="D46" s="525"/>
      <c r="E46" s="666"/>
    </row>
    <row r="47" spans="1:5" ht="10.5" customHeight="1">
      <c r="A47" s="669"/>
      <c r="B47" s="665"/>
      <c r="C47" s="673"/>
      <c r="D47" s="522"/>
      <c r="E47" s="667"/>
    </row>
    <row r="48" spans="1:5" ht="10.5" customHeight="1">
      <c r="A48" s="668" t="s">
        <v>307</v>
      </c>
      <c r="B48" s="403"/>
      <c r="C48" s="405">
        <v>60000</v>
      </c>
      <c r="D48" s="526"/>
      <c r="E48" s="408">
        <v>60000</v>
      </c>
    </row>
    <row r="49" spans="1:5" ht="10.5" customHeight="1">
      <c r="A49" s="669"/>
      <c r="B49" s="398"/>
      <c r="C49" s="400">
        <v>56266</v>
      </c>
      <c r="D49" s="524"/>
      <c r="E49" s="402">
        <v>56266</v>
      </c>
    </row>
    <row r="50" spans="1:5" ht="10.5" customHeight="1">
      <c r="A50" s="668" t="s">
        <v>308</v>
      </c>
      <c r="B50" s="664"/>
      <c r="C50" s="672">
        <v>175000</v>
      </c>
      <c r="D50" s="525"/>
      <c r="E50" s="666">
        <v>175000</v>
      </c>
    </row>
    <row r="51" spans="1:5" ht="10.5" customHeight="1">
      <c r="A51" s="669"/>
      <c r="B51" s="665"/>
      <c r="C51" s="673"/>
      <c r="D51" s="522"/>
      <c r="E51" s="667"/>
    </row>
    <row r="52" spans="1:5" ht="10.5" customHeight="1">
      <c r="A52" s="668" t="s">
        <v>309</v>
      </c>
      <c r="B52" s="664"/>
      <c r="C52" s="672">
        <v>250000</v>
      </c>
      <c r="D52" s="525"/>
      <c r="E52" s="666">
        <v>250000</v>
      </c>
    </row>
    <row r="53" spans="1:5" ht="10.5" customHeight="1">
      <c r="A53" s="669"/>
      <c r="B53" s="665"/>
      <c r="C53" s="673"/>
      <c r="D53" s="522"/>
      <c r="E53" s="667"/>
    </row>
    <row r="54" spans="1:5" ht="10.5" customHeight="1">
      <c r="A54" s="668" t="s">
        <v>310</v>
      </c>
      <c r="B54" s="664"/>
      <c r="C54" s="672">
        <v>122000</v>
      </c>
      <c r="D54" s="525"/>
      <c r="E54" s="666">
        <v>122000</v>
      </c>
    </row>
    <row r="55" spans="1:5" ht="10.5" customHeight="1">
      <c r="A55" s="669"/>
      <c r="B55" s="665"/>
      <c r="C55" s="673"/>
      <c r="D55" s="522"/>
      <c r="E55" s="667"/>
    </row>
    <row r="56" spans="1:5" ht="10.5" customHeight="1">
      <c r="A56" s="668" t="s">
        <v>311</v>
      </c>
      <c r="B56" s="410">
        <v>800000</v>
      </c>
      <c r="C56" s="406"/>
      <c r="D56" s="523"/>
      <c r="E56" s="408"/>
    </row>
    <row r="57" spans="1:5" ht="10.5" customHeight="1">
      <c r="A57" s="669"/>
      <c r="B57" s="398">
        <v>1284296</v>
      </c>
      <c r="C57" s="400"/>
      <c r="D57" s="524"/>
      <c r="E57" s="402"/>
    </row>
    <row r="58" spans="1:5" ht="10.5" customHeight="1">
      <c r="A58" s="668" t="s">
        <v>368</v>
      </c>
      <c r="B58" s="403"/>
      <c r="C58" s="405">
        <v>0</v>
      </c>
      <c r="D58" s="526"/>
      <c r="E58" s="408">
        <v>0</v>
      </c>
    </row>
    <row r="59" spans="1:5" ht="10.5" customHeight="1">
      <c r="A59" s="669"/>
      <c r="B59" s="398"/>
      <c r="C59" s="400">
        <v>60000</v>
      </c>
      <c r="D59" s="524"/>
      <c r="E59" s="402">
        <v>60000</v>
      </c>
    </row>
    <row r="60" spans="1:5" ht="10.5" customHeight="1">
      <c r="A60" s="668" t="s">
        <v>312</v>
      </c>
      <c r="B60" s="410">
        <v>0</v>
      </c>
      <c r="C60" s="406">
        <v>0</v>
      </c>
      <c r="D60" s="523"/>
      <c r="E60" s="408">
        <v>0</v>
      </c>
    </row>
    <row r="61" spans="1:5" ht="10.5" customHeight="1">
      <c r="A61" s="669"/>
      <c r="B61" s="398">
        <v>2379881</v>
      </c>
      <c r="C61" s="400"/>
      <c r="D61" s="524"/>
      <c r="E61" s="402">
        <v>0</v>
      </c>
    </row>
    <row r="62" spans="1:5" ht="10.5" customHeight="1">
      <c r="A62" s="668" t="s">
        <v>313</v>
      </c>
      <c r="B62" s="410">
        <v>0</v>
      </c>
      <c r="C62" s="406">
        <v>0</v>
      </c>
      <c r="D62" s="523"/>
      <c r="E62" s="408">
        <v>0</v>
      </c>
    </row>
    <row r="63" spans="1:5" ht="10.5" customHeight="1">
      <c r="A63" s="669"/>
      <c r="B63" s="398">
        <v>150000</v>
      </c>
      <c r="C63" s="400"/>
      <c r="D63" s="524"/>
      <c r="E63" s="402">
        <v>0</v>
      </c>
    </row>
    <row r="64" spans="1:5" ht="10.5" customHeight="1">
      <c r="A64" s="668" t="s">
        <v>314</v>
      </c>
      <c r="B64" s="664"/>
      <c r="C64" s="672">
        <v>0</v>
      </c>
      <c r="D64" s="525"/>
      <c r="E64" s="666">
        <v>0</v>
      </c>
    </row>
    <row r="65" spans="1:5" ht="10.5" customHeight="1">
      <c r="A65" s="669"/>
      <c r="B65" s="665"/>
      <c r="C65" s="673"/>
      <c r="D65" s="522"/>
      <c r="E65" s="667"/>
    </row>
    <row r="66" spans="1:5" ht="10.5" customHeight="1">
      <c r="A66" s="668" t="s">
        <v>315</v>
      </c>
      <c r="B66" s="664">
        <v>288711</v>
      </c>
      <c r="C66" s="672"/>
      <c r="D66" s="525"/>
      <c r="E66" s="666"/>
    </row>
    <row r="67" spans="1:5" ht="10.5" customHeight="1">
      <c r="A67" s="669"/>
      <c r="B67" s="665"/>
      <c r="C67" s="673"/>
      <c r="D67" s="522"/>
      <c r="E67" s="667"/>
    </row>
    <row r="68" spans="1:5" ht="10.5" customHeight="1">
      <c r="A68" s="668" t="s">
        <v>316</v>
      </c>
      <c r="B68" s="664"/>
      <c r="C68" s="672">
        <v>500000</v>
      </c>
      <c r="D68" s="525"/>
      <c r="E68" s="666">
        <v>500000</v>
      </c>
    </row>
    <row r="69" spans="1:5" ht="10.5" customHeight="1">
      <c r="A69" s="669"/>
      <c r="B69" s="665"/>
      <c r="C69" s="673"/>
      <c r="D69" s="522"/>
      <c r="E69" s="667"/>
    </row>
    <row r="70" spans="1:5" ht="10.5" customHeight="1">
      <c r="A70" s="668" t="s">
        <v>317</v>
      </c>
      <c r="B70" s="664">
        <v>125000</v>
      </c>
      <c r="C70" s="672"/>
      <c r="D70" s="525"/>
      <c r="E70" s="666"/>
    </row>
    <row r="71" spans="1:5" ht="10.5" customHeight="1">
      <c r="A71" s="669"/>
      <c r="B71" s="665"/>
      <c r="C71" s="673"/>
      <c r="D71" s="522"/>
      <c r="E71" s="667"/>
    </row>
    <row r="72" spans="1:5" ht="10.5" customHeight="1">
      <c r="A72" s="668" t="s">
        <v>318</v>
      </c>
      <c r="B72" s="664"/>
      <c r="C72" s="672">
        <v>900000</v>
      </c>
      <c r="D72" s="525"/>
      <c r="E72" s="666">
        <v>900000</v>
      </c>
    </row>
    <row r="73" spans="1:5" ht="10.5" customHeight="1">
      <c r="A73" s="669"/>
      <c r="B73" s="665"/>
      <c r="C73" s="673"/>
      <c r="D73" s="522"/>
      <c r="E73" s="667"/>
    </row>
    <row r="74" spans="1:5" ht="10.5" customHeight="1">
      <c r="A74" s="668" t="s">
        <v>153</v>
      </c>
      <c r="B74" s="403"/>
      <c r="C74" s="405">
        <v>279382</v>
      </c>
      <c r="D74" s="526"/>
      <c r="E74" s="408">
        <v>279382</v>
      </c>
    </row>
    <row r="75" spans="1:5" ht="10.5" customHeight="1">
      <c r="A75" s="669"/>
      <c r="B75" s="398"/>
      <c r="C75" s="400">
        <v>12713528</v>
      </c>
      <c r="D75" s="524"/>
      <c r="E75" s="402">
        <v>12713528</v>
      </c>
    </row>
    <row r="76" spans="1:5" ht="10.5" customHeight="1">
      <c r="A76" s="668" t="s">
        <v>319</v>
      </c>
      <c r="B76" s="664">
        <v>400000</v>
      </c>
      <c r="C76" s="672"/>
      <c r="D76" s="525"/>
      <c r="E76" s="666"/>
    </row>
    <row r="77" spans="1:5" ht="10.5" customHeight="1">
      <c r="A77" s="669"/>
      <c r="B77" s="665"/>
      <c r="C77" s="673"/>
      <c r="D77" s="522"/>
      <c r="E77" s="667"/>
    </row>
    <row r="78" spans="1:5" ht="10.5" customHeight="1">
      <c r="A78" s="668" t="s">
        <v>320</v>
      </c>
      <c r="B78" s="410">
        <v>0</v>
      </c>
      <c r="C78" s="406"/>
      <c r="D78" s="523"/>
      <c r="E78" s="408"/>
    </row>
    <row r="79" spans="1:5" ht="10.5" customHeight="1">
      <c r="A79" s="669"/>
      <c r="B79" s="398">
        <v>300000</v>
      </c>
      <c r="C79" s="400"/>
      <c r="D79" s="524"/>
      <c r="E79" s="402"/>
    </row>
    <row r="80" spans="1:5" ht="10.5" customHeight="1">
      <c r="A80" s="668" t="s">
        <v>321</v>
      </c>
      <c r="B80" s="410">
        <v>0</v>
      </c>
      <c r="C80" s="406">
        <v>0</v>
      </c>
      <c r="D80" s="523"/>
      <c r="E80" s="408">
        <v>0</v>
      </c>
    </row>
    <row r="81" spans="1:5" ht="10.5" customHeight="1">
      <c r="A81" s="669"/>
      <c r="B81" s="398">
        <v>44125</v>
      </c>
      <c r="C81" s="400"/>
      <c r="D81" s="524"/>
      <c r="E81" s="402">
        <v>0</v>
      </c>
    </row>
    <row r="82" spans="1:5" ht="10.5" customHeight="1">
      <c r="A82" s="668" t="s">
        <v>322</v>
      </c>
      <c r="B82" s="410">
        <v>0</v>
      </c>
      <c r="C82" s="406">
        <v>0</v>
      </c>
      <c r="D82" s="523"/>
      <c r="E82" s="408">
        <v>0</v>
      </c>
    </row>
    <row r="83" spans="1:5" ht="10.5" customHeight="1">
      <c r="A83" s="669"/>
      <c r="B83" s="398">
        <v>944505</v>
      </c>
      <c r="C83" s="400"/>
      <c r="D83" s="524"/>
      <c r="E83" s="402">
        <v>0</v>
      </c>
    </row>
    <row r="84" spans="1:5" ht="10.5" customHeight="1">
      <c r="A84" s="668" t="s">
        <v>323</v>
      </c>
      <c r="B84" s="410">
        <v>7711693</v>
      </c>
      <c r="C84" s="405">
        <v>0</v>
      </c>
      <c r="D84" s="526"/>
      <c r="E84" s="408">
        <v>0</v>
      </c>
    </row>
    <row r="85" spans="1:5" ht="10.5" customHeight="1">
      <c r="A85" s="669"/>
      <c r="B85" s="398">
        <v>0</v>
      </c>
      <c r="C85" s="400">
        <v>7661715</v>
      </c>
      <c r="D85" s="524"/>
      <c r="E85" s="402">
        <v>7661715</v>
      </c>
    </row>
    <row r="86" spans="1:5" ht="10.5" customHeight="1">
      <c r="A86" s="668" t="s">
        <v>324</v>
      </c>
      <c r="B86" s="410">
        <v>0</v>
      </c>
      <c r="C86" s="406">
        <v>0</v>
      </c>
      <c r="D86" s="523"/>
      <c r="E86" s="408">
        <v>0</v>
      </c>
    </row>
    <row r="87" spans="1:5" ht="10.5" customHeight="1">
      <c r="A87" s="669"/>
      <c r="B87" s="398">
        <v>120000</v>
      </c>
      <c r="C87" s="400"/>
      <c r="D87" s="524"/>
      <c r="E87" s="402">
        <v>0</v>
      </c>
    </row>
    <row r="88" spans="1:5" ht="10.5" customHeight="1">
      <c r="A88" s="668" t="s">
        <v>325</v>
      </c>
      <c r="B88" s="664">
        <v>100000</v>
      </c>
      <c r="C88" s="672"/>
      <c r="D88" s="525"/>
      <c r="E88" s="666"/>
    </row>
    <row r="89" spans="1:5" ht="10.5" customHeight="1">
      <c r="A89" s="669"/>
      <c r="B89" s="665"/>
      <c r="C89" s="673"/>
      <c r="D89" s="522"/>
      <c r="E89" s="667"/>
    </row>
    <row r="90" spans="1:5" ht="10.5" customHeight="1">
      <c r="A90" s="668" t="s">
        <v>326</v>
      </c>
      <c r="B90" s="664"/>
      <c r="C90" s="672">
        <v>150000</v>
      </c>
      <c r="D90" s="525"/>
      <c r="E90" s="666">
        <v>150000</v>
      </c>
    </row>
    <row r="91" spans="1:5" ht="10.5" customHeight="1">
      <c r="A91" s="669"/>
      <c r="B91" s="665"/>
      <c r="C91" s="673"/>
      <c r="D91" s="522"/>
      <c r="E91" s="667"/>
    </row>
    <row r="92" spans="1:5" ht="10.5" customHeight="1">
      <c r="A92" s="668" t="s">
        <v>327</v>
      </c>
      <c r="B92" s="664"/>
      <c r="C92" s="672">
        <v>75000</v>
      </c>
      <c r="D92" s="525"/>
      <c r="E92" s="666">
        <v>75000</v>
      </c>
    </row>
    <row r="93" spans="1:5" ht="10.5" customHeight="1">
      <c r="A93" s="669"/>
      <c r="B93" s="665"/>
      <c r="C93" s="673"/>
      <c r="D93" s="522"/>
      <c r="E93" s="667"/>
    </row>
    <row r="94" spans="1:5" ht="10.5" customHeight="1">
      <c r="A94" s="668" t="s">
        <v>328</v>
      </c>
      <c r="B94" s="410">
        <v>200000</v>
      </c>
      <c r="C94" s="406"/>
      <c r="D94" s="523"/>
      <c r="E94" s="408"/>
    </row>
    <row r="95" spans="1:5" ht="10.5" customHeight="1">
      <c r="A95" s="669"/>
      <c r="B95" s="398">
        <v>249000</v>
      </c>
      <c r="C95" s="400"/>
      <c r="D95" s="524"/>
      <c r="E95" s="402"/>
    </row>
    <row r="96" spans="1:5" ht="10.5" customHeight="1">
      <c r="A96" s="668" t="s">
        <v>329</v>
      </c>
      <c r="B96" s="664">
        <v>5920000</v>
      </c>
      <c r="C96" s="672"/>
      <c r="D96" s="525"/>
      <c r="E96" s="666"/>
    </row>
    <row r="97" spans="1:5" ht="10.5" customHeight="1">
      <c r="A97" s="669"/>
      <c r="B97" s="665"/>
      <c r="C97" s="673"/>
      <c r="D97" s="522"/>
      <c r="E97" s="667"/>
    </row>
    <row r="98" spans="1:5" ht="10.5" customHeight="1">
      <c r="A98" s="668" t="s">
        <v>330</v>
      </c>
      <c r="B98" s="664"/>
      <c r="C98" s="672">
        <v>100000</v>
      </c>
      <c r="D98" s="525"/>
      <c r="E98" s="666">
        <v>100000</v>
      </c>
    </row>
    <row r="99" spans="1:5" ht="10.5" customHeight="1">
      <c r="A99" s="669"/>
      <c r="B99" s="665"/>
      <c r="C99" s="673"/>
      <c r="D99" s="522"/>
      <c r="E99" s="667"/>
    </row>
    <row r="100" spans="1:5" ht="10.5" customHeight="1">
      <c r="A100" s="668" t="s">
        <v>331</v>
      </c>
      <c r="B100" s="664"/>
      <c r="C100" s="672">
        <v>380000</v>
      </c>
      <c r="D100" s="525"/>
      <c r="E100" s="666">
        <v>380000</v>
      </c>
    </row>
    <row r="101" spans="1:5" ht="10.5" customHeight="1">
      <c r="A101" s="669"/>
      <c r="B101" s="665"/>
      <c r="C101" s="673"/>
      <c r="D101" s="522"/>
      <c r="E101" s="667"/>
    </row>
    <row r="102" spans="1:5" ht="10.5" customHeight="1">
      <c r="A102" s="668" t="s">
        <v>332</v>
      </c>
      <c r="B102" s="664"/>
      <c r="C102" s="672">
        <v>1500000</v>
      </c>
      <c r="D102" s="525"/>
      <c r="E102" s="666">
        <v>1500000</v>
      </c>
    </row>
    <row r="103" spans="1:5" ht="10.5" customHeight="1">
      <c r="A103" s="669"/>
      <c r="B103" s="665"/>
      <c r="C103" s="673"/>
      <c r="D103" s="522"/>
      <c r="E103" s="667"/>
    </row>
    <row r="104" spans="1:5" ht="10.5" customHeight="1">
      <c r="A104" s="668" t="s">
        <v>333</v>
      </c>
      <c r="B104" s="403"/>
      <c r="C104" s="405">
        <v>480000</v>
      </c>
      <c r="D104" s="526"/>
      <c r="E104" s="408">
        <v>480000</v>
      </c>
    </row>
    <row r="105" spans="1:5" ht="10.5" customHeight="1" thickBot="1">
      <c r="A105" s="670"/>
      <c r="B105" s="411"/>
      <c r="C105" s="413">
        <v>0</v>
      </c>
      <c r="D105" s="527"/>
      <c r="E105" s="415">
        <v>0</v>
      </c>
    </row>
    <row r="106" spans="1:5" ht="21.75" customHeight="1" thickBot="1">
      <c r="A106" s="416" t="s">
        <v>101</v>
      </c>
      <c r="B106" s="417">
        <v>19182933</v>
      </c>
      <c r="C106" s="419">
        <v>13712382</v>
      </c>
      <c r="D106" s="427">
        <f>+D36</f>
        <v>41690</v>
      </c>
      <c r="E106" s="417">
        <v>13712382</v>
      </c>
    </row>
    <row r="107" spans="1:5" ht="21.75" customHeight="1" thickBot="1">
      <c r="A107" s="416" t="s">
        <v>101</v>
      </c>
      <c r="B107" s="417">
        <v>21396627</v>
      </c>
      <c r="C107" s="419">
        <v>30390410</v>
      </c>
      <c r="D107" s="427">
        <f>+D36</f>
        <v>41690</v>
      </c>
      <c r="E107" s="417">
        <v>30390410</v>
      </c>
    </row>
    <row r="108" ht="5.25" customHeight="1" thickBot="1"/>
    <row r="109" spans="1:5" ht="49.5" customHeight="1">
      <c r="A109" s="678" t="s">
        <v>102</v>
      </c>
      <c r="B109" s="384" t="s">
        <v>93</v>
      </c>
      <c r="C109" s="386" t="s">
        <v>94</v>
      </c>
      <c r="D109" s="519" t="s">
        <v>248</v>
      </c>
      <c r="E109" s="384" t="s">
        <v>257</v>
      </c>
    </row>
    <row r="110" spans="1:5" ht="21.75" customHeight="1" thickBot="1">
      <c r="A110" s="679"/>
      <c r="B110" s="388"/>
      <c r="C110" s="390" t="s">
        <v>97</v>
      </c>
      <c r="D110" s="520" t="s">
        <v>256</v>
      </c>
      <c r="E110" s="388" t="s">
        <v>99</v>
      </c>
    </row>
    <row r="111" spans="1:5" ht="10.5" customHeight="1">
      <c r="A111" s="680" t="s">
        <v>334</v>
      </c>
      <c r="B111" s="676">
        <v>46741</v>
      </c>
      <c r="C111" s="677"/>
      <c r="D111" s="521"/>
      <c r="E111" s="671"/>
    </row>
    <row r="112" spans="1:5" ht="10.5" customHeight="1">
      <c r="A112" s="669"/>
      <c r="B112" s="665"/>
      <c r="C112" s="673"/>
      <c r="D112" s="522"/>
      <c r="E112" s="667"/>
    </row>
    <row r="113" spans="1:5" ht="10.5" customHeight="1">
      <c r="A113" s="668" t="s">
        <v>335</v>
      </c>
      <c r="B113" s="664">
        <v>40877</v>
      </c>
      <c r="C113" s="672"/>
      <c r="D113" s="525"/>
      <c r="E113" s="666"/>
    </row>
    <row r="114" spans="1:5" ht="10.5" customHeight="1">
      <c r="A114" s="669"/>
      <c r="B114" s="665"/>
      <c r="C114" s="673"/>
      <c r="D114" s="522"/>
      <c r="E114" s="667"/>
    </row>
    <row r="115" spans="1:5" ht="10.5" customHeight="1">
      <c r="A115" s="668" t="s">
        <v>336</v>
      </c>
      <c r="B115" s="410">
        <v>600000</v>
      </c>
      <c r="C115" s="406"/>
      <c r="D115" s="523"/>
      <c r="E115" s="408"/>
    </row>
    <row r="116" spans="1:5" ht="10.5" customHeight="1">
      <c r="A116" s="669"/>
      <c r="B116" s="398">
        <v>649978</v>
      </c>
      <c r="C116" s="400"/>
      <c r="D116" s="524"/>
      <c r="E116" s="402"/>
    </row>
    <row r="117" spans="1:5" ht="10.5" customHeight="1">
      <c r="A117" s="668" t="s">
        <v>337</v>
      </c>
      <c r="B117" s="410">
        <v>0</v>
      </c>
      <c r="C117" s="406"/>
      <c r="D117" s="523"/>
      <c r="E117" s="408"/>
    </row>
    <row r="118" spans="1:5" ht="10.5" customHeight="1" thickBot="1">
      <c r="A118" s="670"/>
      <c r="B118" s="411">
        <v>1100000</v>
      </c>
      <c r="C118" s="413"/>
      <c r="D118" s="527"/>
      <c r="E118" s="415"/>
    </row>
    <row r="119" spans="1:5" ht="21.75" customHeight="1" thickBot="1">
      <c r="A119" s="416" t="s">
        <v>103</v>
      </c>
      <c r="B119" s="417">
        <v>687618</v>
      </c>
      <c r="C119" s="419"/>
      <c r="D119" s="427">
        <f>+D106</f>
        <v>41690</v>
      </c>
      <c r="E119" s="417">
        <v>0</v>
      </c>
    </row>
    <row r="120" spans="1:5" ht="21.75" customHeight="1" thickBot="1">
      <c r="A120" s="416" t="s">
        <v>103</v>
      </c>
      <c r="B120" s="417">
        <v>1837596</v>
      </c>
      <c r="C120" s="419"/>
      <c r="D120" s="427">
        <f>+D119</f>
        <v>41690</v>
      </c>
      <c r="E120" s="417">
        <v>0</v>
      </c>
    </row>
    <row r="121" ht="21.75" customHeight="1" thickBot="1"/>
    <row r="122" spans="1:5" ht="21.75" customHeight="1" thickBot="1">
      <c r="A122" s="416" t="s">
        <v>63</v>
      </c>
      <c r="B122" s="417">
        <v>19870551</v>
      </c>
      <c r="C122" s="419">
        <v>13712382</v>
      </c>
      <c r="D122" s="427">
        <f>+D119</f>
        <v>41690</v>
      </c>
      <c r="E122" s="417">
        <v>13712382</v>
      </c>
    </row>
    <row r="123" spans="1:5" ht="21.75" customHeight="1" thickBot="1">
      <c r="A123" s="416" t="s">
        <v>63</v>
      </c>
      <c r="B123" s="417">
        <v>23234223</v>
      </c>
      <c r="C123" s="419">
        <v>30390410</v>
      </c>
      <c r="D123" s="427">
        <f>+D120</f>
        <v>41690</v>
      </c>
      <c r="E123" s="417">
        <v>30390410</v>
      </c>
    </row>
  </sheetData>
  <mergeCells count="141">
    <mergeCell ref="B6:B7"/>
    <mergeCell ref="E6:E7"/>
    <mergeCell ref="C6:C7"/>
    <mergeCell ref="A4:A5"/>
    <mergeCell ref="A6:A7"/>
    <mergeCell ref="B10:B11"/>
    <mergeCell ref="E10:E11"/>
    <mergeCell ref="C10:C11"/>
    <mergeCell ref="A8:A9"/>
    <mergeCell ref="A10:A11"/>
    <mergeCell ref="A12:A13"/>
    <mergeCell ref="A14:A15"/>
    <mergeCell ref="A16:A17"/>
    <mergeCell ref="A18:A19"/>
    <mergeCell ref="E20:E21"/>
    <mergeCell ref="A22:A23"/>
    <mergeCell ref="A20:A21"/>
    <mergeCell ref="C20:C21"/>
    <mergeCell ref="A24:A25"/>
    <mergeCell ref="A26:A27"/>
    <mergeCell ref="A28:A29"/>
    <mergeCell ref="B20:B21"/>
    <mergeCell ref="E28:E29"/>
    <mergeCell ref="A30:A31"/>
    <mergeCell ref="C30:C31"/>
    <mergeCell ref="B28:B29"/>
    <mergeCell ref="C28:C29"/>
    <mergeCell ref="B30:B31"/>
    <mergeCell ref="E30:E31"/>
    <mergeCell ref="A32:A33"/>
    <mergeCell ref="C32:C33"/>
    <mergeCell ref="E34:E35"/>
    <mergeCell ref="B32:B33"/>
    <mergeCell ref="E32:E33"/>
    <mergeCell ref="A34:A35"/>
    <mergeCell ref="C34:C35"/>
    <mergeCell ref="A36:A37"/>
    <mergeCell ref="A38:A39"/>
    <mergeCell ref="A40:A41"/>
    <mergeCell ref="B34:B35"/>
    <mergeCell ref="A44:A45"/>
    <mergeCell ref="A46:A47"/>
    <mergeCell ref="C46:C47"/>
    <mergeCell ref="E40:E41"/>
    <mergeCell ref="A42:A43"/>
    <mergeCell ref="C42:C43"/>
    <mergeCell ref="B40:B41"/>
    <mergeCell ref="C40:C41"/>
    <mergeCell ref="B46:B47"/>
    <mergeCell ref="E46:E47"/>
    <mergeCell ref="B42:B43"/>
    <mergeCell ref="E42:E43"/>
    <mergeCell ref="B50:B51"/>
    <mergeCell ref="E50:E51"/>
    <mergeCell ref="C50:C51"/>
    <mergeCell ref="A48:A49"/>
    <mergeCell ref="A50:A51"/>
    <mergeCell ref="A54:A55"/>
    <mergeCell ref="C54:C55"/>
    <mergeCell ref="A52:A53"/>
    <mergeCell ref="C52:C53"/>
    <mergeCell ref="B54:B55"/>
    <mergeCell ref="E54:E55"/>
    <mergeCell ref="B52:B53"/>
    <mergeCell ref="E52:E53"/>
    <mergeCell ref="A56:A57"/>
    <mergeCell ref="A58:A59"/>
    <mergeCell ref="A60:A61"/>
    <mergeCell ref="A62:A63"/>
    <mergeCell ref="A66:A67"/>
    <mergeCell ref="C66:C67"/>
    <mergeCell ref="A64:A65"/>
    <mergeCell ref="C64:C65"/>
    <mergeCell ref="B66:B67"/>
    <mergeCell ref="E66:E67"/>
    <mergeCell ref="B64:B65"/>
    <mergeCell ref="E64:E65"/>
    <mergeCell ref="A70:A71"/>
    <mergeCell ref="C70:C71"/>
    <mergeCell ref="A68:A69"/>
    <mergeCell ref="C68:C69"/>
    <mergeCell ref="B70:B71"/>
    <mergeCell ref="E70:E71"/>
    <mergeCell ref="B68:B69"/>
    <mergeCell ref="E68:E69"/>
    <mergeCell ref="B72:B73"/>
    <mergeCell ref="E72:E73"/>
    <mergeCell ref="A74:A75"/>
    <mergeCell ref="A72:A73"/>
    <mergeCell ref="C72:C73"/>
    <mergeCell ref="B76:B77"/>
    <mergeCell ref="E76:E77"/>
    <mergeCell ref="A78:A79"/>
    <mergeCell ref="A76:A77"/>
    <mergeCell ref="C76:C77"/>
    <mergeCell ref="A80:A81"/>
    <mergeCell ref="A82:A83"/>
    <mergeCell ref="A84:A85"/>
    <mergeCell ref="A86:A87"/>
    <mergeCell ref="A90:A91"/>
    <mergeCell ref="C90:C91"/>
    <mergeCell ref="A88:A89"/>
    <mergeCell ref="C88:C89"/>
    <mergeCell ref="B90:B91"/>
    <mergeCell ref="E90:E91"/>
    <mergeCell ref="B88:B89"/>
    <mergeCell ref="E88:E89"/>
    <mergeCell ref="B92:B93"/>
    <mergeCell ref="E92:E93"/>
    <mergeCell ref="A94:A95"/>
    <mergeCell ref="A92:A93"/>
    <mergeCell ref="C92:C93"/>
    <mergeCell ref="A98:A99"/>
    <mergeCell ref="C98:C99"/>
    <mergeCell ref="A96:A97"/>
    <mergeCell ref="C96:C97"/>
    <mergeCell ref="B98:B99"/>
    <mergeCell ref="E98:E99"/>
    <mergeCell ref="B96:B97"/>
    <mergeCell ref="E96:E97"/>
    <mergeCell ref="E102:E103"/>
    <mergeCell ref="B100:B101"/>
    <mergeCell ref="E100:E101"/>
    <mergeCell ref="A102:A103"/>
    <mergeCell ref="C102:C103"/>
    <mergeCell ref="A100:A101"/>
    <mergeCell ref="C100:C101"/>
    <mergeCell ref="E111:E112"/>
    <mergeCell ref="A113:A114"/>
    <mergeCell ref="C113:C114"/>
    <mergeCell ref="D36:D37"/>
    <mergeCell ref="B111:B112"/>
    <mergeCell ref="C111:C112"/>
    <mergeCell ref="A104:A105"/>
    <mergeCell ref="A109:A110"/>
    <mergeCell ref="A111:A112"/>
    <mergeCell ref="B102:B103"/>
    <mergeCell ref="B113:B114"/>
    <mergeCell ref="E113:E114"/>
    <mergeCell ref="A115:A116"/>
    <mergeCell ref="A117:A118"/>
  </mergeCells>
  <printOptions horizontalCentered="1"/>
  <pageMargins left="0.35433070866141736" right="0.35433070866141736" top="0.4330708661417323" bottom="0.4330708661417323" header="0.5118110236220472" footer="0.5118110236220472"/>
  <pageSetup horizontalDpi="300" verticalDpi="300" orientation="portrait" paperSize="9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R38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R37" sqref="A1:R38"/>
    </sheetView>
  </sheetViews>
  <sheetFormatPr defaultColWidth="9.00390625" defaultRowHeight="12.75"/>
  <cols>
    <col min="1" max="1" width="38.25390625" style="1" customWidth="1"/>
    <col min="2" max="2" width="2.625" style="44" customWidth="1"/>
    <col min="3" max="4" width="9.75390625" style="2" hidden="1" customWidth="1"/>
    <col min="5" max="5" width="9.25390625" style="2" customWidth="1"/>
    <col min="6" max="6" width="9.375" style="2" customWidth="1"/>
    <col min="7" max="7" width="8.875" style="2" customWidth="1"/>
    <col min="8" max="10" width="8.75390625" style="2" customWidth="1"/>
    <col min="11" max="11" width="8.625" style="2" customWidth="1"/>
    <col min="12" max="12" width="7.125" style="1" customWidth="1"/>
    <col min="13" max="13" width="8.75390625" style="1" customWidth="1"/>
    <col min="14" max="14" width="9.25390625" style="3" customWidth="1"/>
    <col min="15" max="15" width="9.125" style="3" customWidth="1"/>
    <col min="16" max="17" width="7.375" style="3" customWidth="1"/>
    <col min="18" max="18" width="31.00390625" style="48" customWidth="1"/>
    <col min="19" max="16384" width="9.125" style="3" customWidth="1"/>
  </cols>
  <sheetData>
    <row r="1" ht="2.25" customHeight="1">
      <c r="O1" s="39"/>
    </row>
    <row r="2" spans="1:15" ht="17.25" customHeight="1" thickBot="1">
      <c r="A2" s="4" t="s">
        <v>49</v>
      </c>
      <c r="B2" s="4"/>
      <c r="C2" s="5"/>
      <c r="D2" s="5"/>
      <c r="E2" s="5"/>
      <c r="F2" s="5"/>
      <c r="G2" s="5"/>
      <c r="H2" s="5"/>
      <c r="I2" s="5"/>
      <c r="J2" s="5"/>
      <c r="K2" s="5"/>
      <c r="O2" s="39"/>
    </row>
    <row r="3" spans="1:18" ht="15.75" customHeight="1" thickBot="1">
      <c r="A3" s="658" t="s">
        <v>0</v>
      </c>
      <c r="B3" s="614" t="s">
        <v>67</v>
      </c>
      <c r="C3" s="661" t="s">
        <v>47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3"/>
    </row>
    <row r="4" spans="1:18" ht="20.25" customHeight="1">
      <c r="A4" s="659"/>
      <c r="B4" s="615"/>
      <c r="C4" s="681" t="s">
        <v>1</v>
      </c>
      <c r="D4" s="681" t="s">
        <v>2</v>
      </c>
      <c r="E4" s="681" t="s">
        <v>3</v>
      </c>
      <c r="F4" s="623" t="s">
        <v>365</v>
      </c>
      <c r="G4" s="590"/>
      <c r="H4" s="624"/>
      <c r="I4" s="653" t="s">
        <v>46</v>
      </c>
      <c r="J4" s="654"/>
      <c r="K4" s="655"/>
      <c r="L4" s="225" t="s">
        <v>64</v>
      </c>
      <c r="M4" s="653" t="s">
        <v>44</v>
      </c>
      <c r="N4" s="654"/>
      <c r="O4" s="655"/>
      <c r="P4" s="684" t="s">
        <v>45</v>
      </c>
      <c r="Q4" s="655"/>
      <c r="R4" s="627" t="s">
        <v>65</v>
      </c>
    </row>
    <row r="5" spans="1:18" ht="13.5" customHeight="1">
      <c r="A5" s="659"/>
      <c r="B5" s="615"/>
      <c r="C5" s="682"/>
      <c r="D5" s="682"/>
      <c r="E5" s="682" t="s">
        <v>6</v>
      </c>
      <c r="F5" s="8" t="s">
        <v>4</v>
      </c>
      <c r="G5" s="6" t="s">
        <v>5</v>
      </c>
      <c r="H5" s="7" t="s">
        <v>6</v>
      </c>
      <c r="I5" s="8" t="s">
        <v>4</v>
      </c>
      <c r="J5" s="6" t="s">
        <v>5</v>
      </c>
      <c r="K5" s="7" t="s">
        <v>6</v>
      </c>
      <c r="L5" s="7" t="s">
        <v>7</v>
      </c>
      <c r="M5" s="8" t="s">
        <v>4</v>
      </c>
      <c r="N5" s="6" t="s">
        <v>5</v>
      </c>
      <c r="O5" s="7" t="s">
        <v>6</v>
      </c>
      <c r="P5" s="9" t="s">
        <v>6</v>
      </c>
      <c r="Q5" s="7" t="s">
        <v>7</v>
      </c>
      <c r="R5" s="628"/>
    </row>
    <row r="6" spans="1:18" ht="12" customHeight="1" thickBot="1">
      <c r="A6" s="660"/>
      <c r="B6" s="616"/>
      <c r="C6" s="683"/>
      <c r="D6" s="683"/>
      <c r="E6" s="683"/>
      <c r="F6" s="12" t="s">
        <v>8</v>
      </c>
      <c r="G6" s="10" t="s">
        <v>8</v>
      </c>
      <c r="H6" s="11"/>
      <c r="I6" s="12" t="s">
        <v>8</v>
      </c>
      <c r="J6" s="10" t="s">
        <v>8</v>
      </c>
      <c r="K6" s="11"/>
      <c r="L6" s="11" t="s">
        <v>10</v>
      </c>
      <c r="M6" s="12" t="s">
        <v>8</v>
      </c>
      <c r="N6" s="10" t="s">
        <v>8</v>
      </c>
      <c r="O6" s="11"/>
      <c r="P6" s="13" t="s">
        <v>9</v>
      </c>
      <c r="Q6" s="11" t="s">
        <v>10</v>
      </c>
      <c r="R6" s="629"/>
    </row>
    <row r="7" spans="1:18" s="2" customFormat="1" ht="12" customHeight="1">
      <c r="A7" s="14" t="s">
        <v>11</v>
      </c>
      <c r="B7" s="250">
        <v>1</v>
      </c>
      <c r="C7" s="52">
        <v>0</v>
      </c>
      <c r="D7" s="52">
        <v>0</v>
      </c>
      <c r="E7" s="15">
        <v>0</v>
      </c>
      <c r="F7" s="17"/>
      <c r="G7" s="16"/>
      <c r="H7" s="18"/>
      <c r="I7" s="17"/>
      <c r="J7" s="16"/>
      <c r="K7" s="18"/>
      <c r="L7" s="20"/>
      <c r="M7" s="56"/>
      <c r="N7" s="57"/>
      <c r="O7" s="58"/>
      <c r="P7" s="19"/>
      <c r="Q7" s="20"/>
      <c r="R7" s="241"/>
    </row>
    <row r="8" spans="1:18" s="2" customFormat="1" ht="20.25" customHeight="1">
      <c r="A8" s="21" t="s">
        <v>12</v>
      </c>
      <c r="B8" s="251">
        <v>2</v>
      </c>
      <c r="C8" s="61">
        <v>300578</v>
      </c>
      <c r="D8" s="61">
        <v>300452.87</v>
      </c>
      <c r="E8" s="22">
        <v>323872</v>
      </c>
      <c r="F8" s="24">
        <v>339100</v>
      </c>
      <c r="G8" s="23">
        <v>600</v>
      </c>
      <c r="H8" s="22">
        <v>339700</v>
      </c>
      <c r="I8" s="24">
        <v>172407</v>
      </c>
      <c r="J8" s="23">
        <v>744</v>
      </c>
      <c r="K8" s="22">
        <f>+I8+J8</f>
        <v>173151</v>
      </c>
      <c r="L8" s="25">
        <f>+K8/H8</f>
        <v>0.5097173977038564</v>
      </c>
      <c r="M8" s="65">
        <v>339100</v>
      </c>
      <c r="N8" s="66">
        <v>600</v>
      </c>
      <c r="O8" s="67">
        <f>M8+N8</f>
        <v>339700</v>
      </c>
      <c r="P8" s="19">
        <f aca="true" t="shared" si="0" ref="P8:P35">+O8-H8</f>
        <v>0</v>
      </c>
      <c r="Q8" s="25">
        <f aca="true" t="shared" si="1" ref="Q8:Q13">+O8/H8</f>
        <v>1</v>
      </c>
      <c r="R8" s="146"/>
    </row>
    <row r="9" spans="1:18" s="2" customFormat="1" ht="20.25" customHeight="1">
      <c r="A9" s="21" t="s">
        <v>13</v>
      </c>
      <c r="B9" s="248">
        <v>3</v>
      </c>
      <c r="C9" s="61">
        <v>39606</v>
      </c>
      <c r="D9" s="68">
        <v>43838.78</v>
      </c>
      <c r="E9" s="22">
        <v>47094</v>
      </c>
      <c r="F9" s="24">
        <v>46000</v>
      </c>
      <c r="G9" s="23"/>
      <c r="H9" s="22">
        <v>46000</v>
      </c>
      <c r="I9" s="24">
        <v>28761</v>
      </c>
      <c r="J9" s="23"/>
      <c r="K9" s="22">
        <f aca="true" t="shared" si="2" ref="K9:K15">+I9+J9</f>
        <v>28761</v>
      </c>
      <c r="L9" s="25">
        <f aca="true" t="shared" si="3" ref="L9:L35">+K9/H9</f>
        <v>0.6252391304347826</v>
      </c>
      <c r="M9" s="65">
        <v>46000</v>
      </c>
      <c r="N9" s="66"/>
      <c r="O9" s="67">
        <f aca="true" t="shared" si="4" ref="O9:O15">M9+N9</f>
        <v>46000</v>
      </c>
      <c r="P9" s="19">
        <f t="shared" si="0"/>
        <v>0</v>
      </c>
      <c r="Q9" s="25">
        <f t="shared" si="1"/>
        <v>1</v>
      </c>
      <c r="R9" s="146"/>
    </row>
    <row r="10" spans="1:18" s="2" customFormat="1" ht="20.25" customHeight="1">
      <c r="A10" s="21" t="s">
        <v>14</v>
      </c>
      <c r="B10" s="251">
        <v>4</v>
      </c>
      <c r="C10" s="61">
        <v>7653</v>
      </c>
      <c r="D10" s="68">
        <v>8574.61</v>
      </c>
      <c r="E10" s="22">
        <v>7951</v>
      </c>
      <c r="F10" s="24">
        <v>8000</v>
      </c>
      <c r="G10" s="23"/>
      <c r="H10" s="22">
        <v>8000</v>
      </c>
      <c r="I10" s="24">
        <v>3732</v>
      </c>
      <c r="J10" s="23"/>
      <c r="K10" s="22">
        <f t="shared" si="2"/>
        <v>3732</v>
      </c>
      <c r="L10" s="25">
        <f t="shared" si="3"/>
        <v>0.4665</v>
      </c>
      <c r="M10" s="65">
        <v>8000</v>
      </c>
      <c r="N10" s="66"/>
      <c r="O10" s="67">
        <f t="shared" si="4"/>
        <v>8000</v>
      </c>
      <c r="P10" s="19">
        <f t="shared" si="0"/>
        <v>0</v>
      </c>
      <c r="Q10" s="25">
        <f t="shared" si="1"/>
        <v>1</v>
      </c>
      <c r="R10" s="146"/>
    </row>
    <row r="11" spans="1:18" s="2" customFormat="1" ht="20.25" customHeight="1">
      <c r="A11" s="21" t="s">
        <v>15</v>
      </c>
      <c r="B11" s="248">
        <v>5</v>
      </c>
      <c r="C11" s="61">
        <v>6374</v>
      </c>
      <c r="D11" s="68">
        <v>7941.93</v>
      </c>
      <c r="E11" s="22">
        <v>12163</v>
      </c>
      <c r="F11" s="24">
        <v>4500</v>
      </c>
      <c r="G11" s="23"/>
      <c r="H11" s="22">
        <v>4500</v>
      </c>
      <c r="I11" s="24">
        <v>2952</v>
      </c>
      <c r="J11" s="23">
        <v>3</v>
      </c>
      <c r="K11" s="22">
        <f t="shared" si="2"/>
        <v>2955</v>
      </c>
      <c r="L11" s="25">
        <f t="shared" si="3"/>
        <v>0.6566666666666666</v>
      </c>
      <c r="M11" s="65">
        <v>4500</v>
      </c>
      <c r="N11" s="66"/>
      <c r="O11" s="67">
        <f t="shared" si="4"/>
        <v>4500</v>
      </c>
      <c r="P11" s="19">
        <f t="shared" si="0"/>
        <v>0</v>
      </c>
      <c r="Q11" s="25">
        <f t="shared" si="1"/>
        <v>1</v>
      </c>
      <c r="R11" s="146"/>
    </row>
    <row r="12" spans="1:18" s="2" customFormat="1" ht="20.25" customHeight="1">
      <c r="A12" s="21" t="s">
        <v>16</v>
      </c>
      <c r="B12" s="251">
        <v>6</v>
      </c>
      <c r="C12" s="61">
        <v>78</v>
      </c>
      <c r="D12" s="68">
        <v>0</v>
      </c>
      <c r="E12" s="22">
        <v>8819</v>
      </c>
      <c r="F12" s="24">
        <v>4000</v>
      </c>
      <c r="G12" s="23"/>
      <c r="H12" s="22">
        <v>4000</v>
      </c>
      <c r="I12" s="24">
        <v>514</v>
      </c>
      <c r="J12" s="23"/>
      <c r="K12" s="22">
        <f t="shared" si="2"/>
        <v>514</v>
      </c>
      <c r="L12" s="25">
        <f t="shared" si="3"/>
        <v>0.1285</v>
      </c>
      <c r="M12" s="65">
        <v>4000</v>
      </c>
      <c r="N12" s="66"/>
      <c r="O12" s="67">
        <f t="shared" si="4"/>
        <v>4000</v>
      </c>
      <c r="P12" s="19">
        <f t="shared" si="0"/>
        <v>0</v>
      </c>
      <c r="Q12" s="25">
        <f t="shared" si="1"/>
        <v>1</v>
      </c>
      <c r="R12" s="146"/>
    </row>
    <row r="13" spans="1:18" s="2" customFormat="1" ht="20.25" customHeight="1">
      <c r="A13" s="21" t="s">
        <v>17</v>
      </c>
      <c r="B13" s="248">
        <v>7</v>
      </c>
      <c r="C13" s="61">
        <v>1983</v>
      </c>
      <c r="D13" s="68">
        <v>1704.38</v>
      </c>
      <c r="E13" s="22">
        <v>1096</v>
      </c>
      <c r="F13" s="24">
        <v>1800</v>
      </c>
      <c r="G13" s="23"/>
      <c r="H13" s="22">
        <v>1800</v>
      </c>
      <c r="I13" s="24">
        <v>302</v>
      </c>
      <c r="J13" s="23">
        <v>3</v>
      </c>
      <c r="K13" s="22">
        <f t="shared" si="2"/>
        <v>305</v>
      </c>
      <c r="L13" s="25">
        <f t="shared" si="3"/>
        <v>0.16944444444444445</v>
      </c>
      <c r="M13" s="65">
        <v>1800</v>
      </c>
      <c r="N13" s="66"/>
      <c r="O13" s="67">
        <f t="shared" si="4"/>
        <v>1800</v>
      </c>
      <c r="P13" s="19">
        <f t="shared" si="0"/>
        <v>0</v>
      </c>
      <c r="Q13" s="25">
        <f t="shared" si="1"/>
        <v>1</v>
      </c>
      <c r="R13" s="146"/>
    </row>
    <row r="14" spans="1:18" s="2" customFormat="1" ht="20.25" customHeight="1">
      <c r="A14" s="21" t="s">
        <v>18</v>
      </c>
      <c r="B14" s="248">
        <v>8</v>
      </c>
      <c r="C14" s="61">
        <v>0</v>
      </c>
      <c r="D14" s="68">
        <v>0</v>
      </c>
      <c r="E14" s="22">
        <v>0</v>
      </c>
      <c r="F14" s="24">
        <v>0</v>
      </c>
      <c r="G14" s="23"/>
      <c r="H14" s="22">
        <v>0</v>
      </c>
      <c r="I14" s="24"/>
      <c r="J14" s="23"/>
      <c r="K14" s="22">
        <f t="shared" si="2"/>
        <v>0</v>
      </c>
      <c r="L14" s="25" t="e">
        <f t="shared" si="3"/>
        <v>#DIV/0!</v>
      </c>
      <c r="M14" s="65">
        <v>0</v>
      </c>
      <c r="N14" s="66"/>
      <c r="O14" s="67">
        <f t="shared" si="4"/>
        <v>0</v>
      </c>
      <c r="P14" s="19">
        <f t="shared" si="0"/>
        <v>0</v>
      </c>
      <c r="Q14" s="25"/>
      <c r="R14" s="146"/>
    </row>
    <row r="15" spans="1:18" s="2" customFormat="1" ht="20.25" customHeight="1" thickBot="1">
      <c r="A15" s="26" t="s">
        <v>19</v>
      </c>
      <c r="B15" s="251">
        <v>9</v>
      </c>
      <c r="C15" s="72">
        <v>32726</v>
      </c>
      <c r="D15" s="73">
        <v>27529.19</v>
      </c>
      <c r="E15" s="27">
        <v>22990</v>
      </c>
      <c r="F15" s="24">
        <v>16088.625</v>
      </c>
      <c r="G15" s="23"/>
      <c r="H15" s="22">
        <v>16088.625</v>
      </c>
      <c r="I15" s="24">
        <v>8511</v>
      </c>
      <c r="J15" s="23"/>
      <c r="K15" s="22">
        <f t="shared" si="2"/>
        <v>8511</v>
      </c>
      <c r="L15" s="224">
        <f t="shared" si="3"/>
        <v>0.5290072955271193</v>
      </c>
      <c r="M15" s="74">
        <f>16783-14+1250</f>
        <v>18019</v>
      </c>
      <c r="N15" s="130"/>
      <c r="O15" s="210">
        <f t="shared" si="4"/>
        <v>18019</v>
      </c>
      <c r="P15" s="19">
        <f t="shared" si="0"/>
        <v>1930.375</v>
      </c>
      <c r="Q15" s="25">
        <f>+O15/H15</f>
        <v>1.1199838395139423</v>
      </c>
      <c r="R15" s="173" t="s">
        <v>367</v>
      </c>
    </row>
    <row r="16" spans="1:18" s="32" customFormat="1" ht="20.25" customHeight="1" thickBot="1">
      <c r="A16" s="28" t="s">
        <v>20</v>
      </c>
      <c r="B16" s="247">
        <v>10</v>
      </c>
      <c r="C16" s="77">
        <v>388920</v>
      </c>
      <c r="D16" s="77">
        <v>390041.76</v>
      </c>
      <c r="E16" s="29">
        <v>415166</v>
      </c>
      <c r="F16" s="40">
        <f>+F8+F10+F11+F13+F15+F9</f>
        <v>415488.625</v>
      </c>
      <c r="G16" s="31">
        <f>+G8+G10+G11+G13+G15+G9</f>
        <v>600</v>
      </c>
      <c r="H16" s="43">
        <f>+H8+H10+H11+H13+H15+H9</f>
        <v>416088.625</v>
      </c>
      <c r="I16" s="78">
        <f>SUM(I7+I8+I9+I10+I11+I13+I15)</f>
        <v>216665</v>
      </c>
      <c r="J16" s="91">
        <f>SUM(J7+J8+J9+J10+J11+J13+J15)</f>
        <v>750</v>
      </c>
      <c r="K16" s="80">
        <f>SUM(K7+K8+K9+K10+K11+K13+K15)</f>
        <v>217415</v>
      </c>
      <c r="L16" s="213">
        <f t="shared" si="3"/>
        <v>0.5225208932351851</v>
      </c>
      <c r="M16" s="78">
        <f>SUM(M7+M8+M9+M10+M11+M13+M15)</f>
        <v>417419</v>
      </c>
      <c r="N16" s="79">
        <v>600</v>
      </c>
      <c r="O16" s="80">
        <f>SUM(O7+O8+O9+O10+O11+O13+O15)</f>
        <v>418019</v>
      </c>
      <c r="P16" s="214">
        <f t="shared" si="0"/>
        <v>1930.375</v>
      </c>
      <c r="Q16" s="213">
        <f>+O16/H16</f>
        <v>1.0046393361510424</v>
      </c>
      <c r="R16" s="242"/>
    </row>
    <row r="17" spans="1:18" s="2" customFormat="1" ht="20.25" customHeight="1">
      <c r="A17" s="14" t="s">
        <v>21</v>
      </c>
      <c r="B17" s="250">
        <v>11</v>
      </c>
      <c r="C17" s="81">
        <v>95494</v>
      </c>
      <c r="D17" s="81">
        <v>101349.23</v>
      </c>
      <c r="E17" s="15">
        <v>98012</v>
      </c>
      <c r="F17" s="24">
        <v>98000</v>
      </c>
      <c r="G17" s="23"/>
      <c r="H17" s="15">
        <v>98000</v>
      </c>
      <c r="I17" s="24">
        <v>54314.01</v>
      </c>
      <c r="J17" s="23">
        <v>228.44</v>
      </c>
      <c r="K17" s="15">
        <f>+I17+J17</f>
        <v>54542.450000000004</v>
      </c>
      <c r="L17" s="20">
        <f t="shared" si="3"/>
        <v>0.556555612244898</v>
      </c>
      <c r="M17" s="53">
        <v>98000</v>
      </c>
      <c r="N17" s="54"/>
      <c r="O17" s="55">
        <f aca="true" t="shared" si="5" ref="O17:O34">+M17+N17</f>
        <v>98000</v>
      </c>
      <c r="P17" s="19">
        <f t="shared" si="0"/>
        <v>0</v>
      </c>
      <c r="Q17" s="20">
        <f>+O17/H17</f>
        <v>1</v>
      </c>
      <c r="R17" s="243"/>
    </row>
    <row r="18" spans="1:18" s="2" customFormat="1" ht="20.25" customHeight="1">
      <c r="A18" s="21" t="s">
        <v>22</v>
      </c>
      <c r="B18" s="248">
        <v>12</v>
      </c>
      <c r="C18" s="52">
        <v>4502</v>
      </c>
      <c r="D18" s="52">
        <v>0</v>
      </c>
      <c r="E18" s="22">
        <v>2778</v>
      </c>
      <c r="F18" s="24">
        <v>2500</v>
      </c>
      <c r="G18" s="23"/>
      <c r="H18" s="15">
        <v>2500</v>
      </c>
      <c r="I18" s="24"/>
      <c r="J18" s="23"/>
      <c r="K18" s="15">
        <f aca="true" t="shared" si="6" ref="K18:K34">+I18+J18</f>
        <v>0</v>
      </c>
      <c r="L18" s="25">
        <f t="shared" si="3"/>
        <v>0</v>
      </c>
      <c r="M18" s="56">
        <v>2500</v>
      </c>
      <c r="N18" s="57"/>
      <c r="O18" s="114">
        <f t="shared" si="5"/>
        <v>2500</v>
      </c>
      <c r="P18" s="19">
        <f t="shared" si="0"/>
        <v>0</v>
      </c>
      <c r="Q18" s="20">
        <f>+O18/H18</f>
        <v>1</v>
      </c>
      <c r="R18" s="146"/>
    </row>
    <row r="19" spans="1:18" s="2" customFormat="1" ht="20.25" customHeight="1">
      <c r="A19" s="21" t="s">
        <v>23</v>
      </c>
      <c r="B19" s="250">
        <v>13</v>
      </c>
      <c r="C19" s="52">
        <v>12334</v>
      </c>
      <c r="D19" s="52">
        <v>14780.65</v>
      </c>
      <c r="E19" s="22">
        <v>16208</v>
      </c>
      <c r="F19" s="24">
        <v>17000</v>
      </c>
      <c r="G19" s="23"/>
      <c r="H19" s="15">
        <v>17000</v>
      </c>
      <c r="I19" s="24">
        <v>10875.52</v>
      </c>
      <c r="J19" s="23"/>
      <c r="K19" s="15">
        <f t="shared" si="6"/>
        <v>10875.52</v>
      </c>
      <c r="L19" s="25">
        <f t="shared" si="3"/>
        <v>0.6397364705882354</v>
      </c>
      <c r="M19" s="65">
        <v>20000</v>
      </c>
      <c r="N19" s="66"/>
      <c r="O19" s="114">
        <f t="shared" si="5"/>
        <v>20000</v>
      </c>
      <c r="P19" s="19">
        <f t="shared" si="0"/>
        <v>3000</v>
      </c>
      <c r="Q19" s="20">
        <f>+O19/H19</f>
        <v>1.1764705882352942</v>
      </c>
      <c r="R19" s="146" t="s">
        <v>366</v>
      </c>
    </row>
    <row r="20" spans="1:18" s="2" customFormat="1" ht="20.25" customHeight="1">
      <c r="A20" s="21" t="s">
        <v>24</v>
      </c>
      <c r="B20" s="251">
        <v>14</v>
      </c>
      <c r="C20" s="52">
        <v>1948</v>
      </c>
      <c r="D20" s="52">
        <v>0</v>
      </c>
      <c r="E20" s="22">
        <v>0</v>
      </c>
      <c r="F20" s="24">
        <v>0</v>
      </c>
      <c r="G20" s="23"/>
      <c r="H20" s="15">
        <v>0</v>
      </c>
      <c r="I20" s="24"/>
      <c r="J20" s="23"/>
      <c r="K20" s="15">
        <f t="shared" si="6"/>
        <v>0</v>
      </c>
      <c r="L20" s="25"/>
      <c r="M20" s="65">
        <v>0</v>
      </c>
      <c r="N20" s="66"/>
      <c r="O20" s="114">
        <f t="shared" si="5"/>
        <v>0</v>
      </c>
      <c r="P20" s="19">
        <f t="shared" si="0"/>
        <v>0</v>
      </c>
      <c r="Q20" s="20"/>
      <c r="R20" s="146"/>
    </row>
    <row r="21" spans="1:18" s="2" customFormat="1" ht="20.25" customHeight="1">
      <c r="A21" s="21" t="s">
        <v>25</v>
      </c>
      <c r="B21" s="248">
        <v>15</v>
      </c>
      <c r="C21" s="52">
        <v>32718</v>
      </c>
      <c r="D21" s="52">
        <v>36717.16</v>
      </c>
      <c r="E21" s="22">
        <v>39711</v>
      </c>
      <c r="F21" s="24">
        <v>38000</v>
      </c>
      <c r="G21" s="23"/>
      <c r="H21" s="15">
        <v>38000</v>
      </c>
      <c r="I21" s="24">
        <v>24839.73</v>
      </c>
      <c r="J21" s="23"/>
      <c r="K21" s="15">
        <f t="shared" si="6"/>
        <v>24839.73</v>
      </c>
      <c r="L21" s="25">
        <f t="shared" si="3"/>
        <v>0.6536771052631579</v>
      </c>
      <c r="M21" s="65">
        <v>38000</v>
      </c>
      <c r="N21" s="66"/>
      <c r="O21" s="114">
        <f t="shared" si="5"/>
        <v>38000</v>
      </c>
      <c r="P21" s="19">
        <f t="shared" si="0"/>
        <v>0</v>
      </c>
      <c r="Q21" s="20">
        <f aca="true" t="shared" si="7" ref="Q21:Q33">+O21/H21</f>
        <v>1</v>
      </c>
      <c r="R21" s="146"/>
    </row>
    <row r="22" spans="1:18" s="2" customFormat="1" ht="20.25" customHeight="1">
      <c r="A22" s="21" t="s">
        <v>26</v>
      </c>
      <c r="B22" s="251">
        <v>16</v>
      </c>
      <c r="C22" s="52">
        <v>42282</v>
      </c>
      <c r="D22" s="52">
        <v>43307.61</v>
      </c>
      <c r="E22" s="22">
        <v>57814</v>
      </c>
      <c r="F22" s="24">
        <v>55700</v>
      </c>
      <c r="G22" s="23"/>
      <c r="H22" s="15">
        <v>55700</v>
      </c>
      <c r="I22" s="24">
        <f>3461.93+130.67+15.62+24562.43</f>
        <v>28170.65</v>
      </c>
      <c r="J22" s="23"/>
      <c r="K22" s="15">
        <f t="shared" si="6"/>
        <v>28170.65</v>
      </c>
      <c r="L22" s="25">
        <f t="shared" si="3"/>
        <v>0.5057567324955117</v>
      </c>
      <c r="M22" s="65">
        <v>55700</v>
      </c>
      <c r="N22" s="66"/>
      <c r="O22" s="114">
        <f t="shared" si="5"/>
        <v>55700</v>
      </c>
      <c r="P22" s="19">
        <f t="shared" si="0"/>
        <v>0</v>
      </c>
      <c r="Q22" s="20">
        <f t="shared" si="7"/>
        <v>1</v>
      </c>
      <c r="R22" s="146"/>
    </row>
    <row r="23" spans="1:18" s="2" customFormat="1" ht="20.25" customHeight="1">
      <c r="A23" s="21" t="s">
        <v>27</v>
      </c>
      <c r="B23" s="248">
        <v>17</v>
      </c>
      <c r="C23" s="52">
        <v>4604</v>
      </c>
      <c r="D23" s="52">
        <v>6262.21</v>
      </c>
      <c r="E23" s="22">
        <v>7978</v>
      </c>
      <c r="F23" s="24">
        <v>7000</v>
      </c>
      <c r="G23" s="23"/>
      <c r="H23" s="15">
        <v>7000</v>
      </c>
      <c r="I23" s="24">
        <v>3461.93</v>
      </c>
      <c r="J23" s="23"/>
      <c r="K23" s="15">
        <f t="shared" si="6"/>
        <v>3461.93</v>
      </c>
      <c r="L23" s="25">
        <f t="shared" si="3"/>
        <v>0.49456142857142854</v>
      </c>
      <c r="M23" s="65">
        <v>7000</v>
      </c>
      <c r="N23" s="66"/>
      <c r="O23" s="114">
        <f t="shared" si="5"/>
        <v>7000</v>
      </c>
      <c r="P23" s="19">
        <f t="shared" si="0"/>
        <v>0</v>
      </c>
      <c r="Q23" s="20">
        <f t="shared" si="7"/>
        <v>1</v>
      </c>
      <c r="R23" s="146"/>
    </row>
    <row r="24" spans="1:18" s="2" customFormat="1" ht="20.25" customHeight="1">
      <c r="A24" s="21" t="s">
        <v>28</v>
      </c>
      <c r="B24" s="248">
        <v>18</v>
      </c>
      <c r="C24" s="52">
        <v>37029</v>
      </c>
      <c r="D24" s="52">
        <v>36432.91</v>
      </c>
      <c r="E24" s="22">
        <v>48455</v>
      </c>
      <c r="F24" s="24">
        <v>48300</v>
      </c>
      <c r="G24" s="23"/>
      <c r="H24" s="15">
        <v>48300</v>
      </c>
      <c r="I24" s="24">
        <v>24562.43</v>
      </c>
      <c r="J24" s="23"/>
      <c r="K24" s="15">
        <f t="shared" si="6"/>
        <v>24562.43</v>
      </c>
      <c r="L24" s="25">
        <f t="shared" si="3"/>
        <v>0.5085389233954452</v>
      </c>
      <c r="M24" s="65">
        <v>48300</v>
      </c>
      <c r="N24" s="66"/>
      <c r="O24" s="114">
        <f t="shared" si="5"/>
        <v>48300</v>
      </c>
      <c r="P24" s="19">
        <f t="shared" si="0"/>
        <v>0</v>
      </c>
      <c r="Q24" s="20">
        <f t="shared" si="7"/>
        <v>1</v>
      </c>
      <c r="R24" s="146"/>
    </row>
    <row r="25" spans="1:18" s="2" customFormat="1" ht="20.25" customHeight="1">
      <c r="A25" s="33" t="s">
        <v>29</v>
      </c>
      <c r="B25" s="250">
        <v>19</v>
      </c>
      <c r="C25" s="52">
        <v>200388</v>
      </c>
      <c r="D25" s="52">
        <v>189351.83</v>
      </c>
      <c r="E25" s="22">
        <v>200118</v>
      </c>
      <c r="F25" s="24">
        <v>219885</v>
      </c>
      <c r="G25" s="23"/>
      <c r="H25" s="15">
        <v>219885</v>
      </c>
      <c r="I25" s="24">
        <f>78174.24+1604+27348.48</f>
        <v>107126.72</v>
      </c>
      <c r="J25" s="23"/>
      <c r="K25" s="15">
        <f t="shared" si="6"/>
        <v>107126.72</v>
      </c>
      <c r="L25" s="25">
        <f t="shared" si="3"/>
        <v>0.4871943061145599</v>
      </c>
      <c r="M25" s="65">
        <v>219885</v>
      </c>
      <c r="N25" s="66"/>
      <c r="O25" s="114">
        <f t="shared" si="5"/>
        <v>219885</v>
      </c>
      <c r="P25" s="19">
        <f t="shared" si="0"/>
        <v>0</v>
      </c>
      <c r="Q25" s="20">
        <f t="shared" si="7"/>
        <v>1</v>
      </c>
      <c r="R25" s="146"/>
    </row>
    <row r="26" spans="1:18" s="2" customFormat="1" ht="20.25" customHeight="1">
      <c r="A26" s="21" t="s">
        <v>30</v>
      </c>
      <c r="B26" s="248">
        <v>20</v>
      </c>
      <c r="C26" s="52">
        <v>146078</v>
      </c>
      <c r="D26" s="52">
        <v>137980.82</v>
      </c>
      <c r="E26" s="22">
        <v>146037</v>
      </c>
      <c r="F26" s="24">
        <v>160500</v>
      </c>
      <c r="G26" s="23"/>
      <c r="H26" s="15">
        <v>160500</v>
      </c>
      <c r="I26" s="24">
        <v>78174.24</v>
      </c>
      <c r="J26" s="23"/>
      <c r="K26" s="15">
        <f t="shared" si="6"/>
        <v>78174.24</v>
      </c>
      <c r="L26" s="25">
        <f t="shared" si="3"/>
        <v>0.4870669158878505</v>
      </c>
      <c r="M26" s="65">
        <v>160500</v>
      </c>
      <c r="N26" s="70"/>
      <c r="O26" s="114">
        <f t="shared" si="5"/>
        <v>160500</v>
      </c>
      <c r="P26" s="19">
        <f t="shared" si="0"/>
        <v>0</v>
      </c>
      <c r="Q26" s="20">
        <f t="shared" si="7"/>
        <v>1</v>
      </c>
      <c r="R26" s="146"/>
    </row>
    <row r="27" spans="1:18" s="2" customFormat="1" ht="20.25" customHeight="1">
      <c r="A27" s="33" t="s">
        <v>31</v>
      </c>
      <c r="B27" s="250">
        <v>21</v>
      </c>
      <c r="C27" s="52">
        <v>145181</v>
      </c>
      <c r="D27" s="52">
        <v>137853.44</v>
      </c>
      <c r="E27" s="22">
        <v>146000</v>
      </c>
      <c r="F27" s="24">
        <v>160400</v>
      </c>
      <c r="G27" s="23"/>
      <c r="H27" s="15">
        <v>160400</v>
      </c>
      <c r="I27" s="24"/>
      <c r="J27" s="23"/>
      <c r="K27" s="15">
        <f t="shared" si="6"/>
        <v>0</v>
      </c>
      <c r="L27" s="25">
        <f t="shared" si="3"/>
        <v>0</v>
      </c>
      <c r="M27" s="65">
        <v>160400</v>
      </c>
      <c r="N27" s="66"/>
      <c r="O27" s="114">
        <f t="shared" si="5"/>
        <v>160400</v>
      </c>
      <c r="P27" s="19">
        <f t="shared" si="0"/>
        <v>0</v>
      </c>
      <c r="Q27" s="20">
        <f t="shared" si="7"/>
        <v>1</v>
      </c>
      <c r="R27" s="146"/>
    </row>
    <row r="28" spans="1:18" s="2" customFormat="1" ht="20.25" customHeight="1">
      <c r="A28" s="21" t="s">
        <v>32</v>
      </c>
      <c r="B28" s="251">
        <v>22</v>
      </c>
      <c r="C28" s="52">
        <v>897</v>
      </c>
      <c r="D28" s="52">
        <v>127.82000000000698</v>
      </c>
      <c r="E28" s="22">
        <v>37</v>
      </c>
      <c r="F28" s="24">
        <v>100</v>
      </c>
      <c r="G28" s="23"/>
      <c r="H28" s="15">
        <v>100</v>
      </c>
      <c r="I28" s="24"/>
      <c r="J28" s="23"/>
      <c r="K28" s="15">
        <f t="shared" si="6"/>
        <v>0</v>
      </c>
      <c r="L28" s="25">
        <f t="shared" si="3"/>
        <v>0</v>
      </c>
      <c r="M28" s="65">
        <v>100</v>
      </c>
      <c r="N28" s="66"/>
      <c r="O28" s="114">
        <f t="shared" si="5"/>
        <v>100</v>
      </c>
      <c r="P28" s="19">
        <f t="shared" si="0"/>
        <v>0</v>
      </c>
      <c r="Q28" s="20">
        <f t="shared" si="7"/>
        <v>1</v>
      </c>
      <c r="R28" s="146"/>
    </row>
    <row r="29" spans="1:18" s="2" customFormat="1" ht="20.25" customHeight="1">
      <c r="A29" s="21" t="s">
        <v>33</v>
      </c>
      <c r="B29" s="248">
        <v>23</v>
      </c>
      <c r="C29" s="52">
        <v>54310</v>
      </c>
      <c r="D29" s="52">
        <v>51371.01</v>
      </c>
      <c r="E29" s="22">
        <v>54081</v>
      </c>
      <c r="F29" s="24">
        <v>59385</v>
      </c>
      <c r="G29" s="23"/>
      <c r="H29" s="15">
        <v>59385</v>
      </c>
      <c r="I29" s="24">
        <f>27348.48+1604</f>
        <v>28952.48</v>
      </c>
      <c r="J29" s="23"/>
      <c r="K29" s="15">
        <f t="shared" si="6"/>
        <v>28952.48</v>
      </c>
      <c r="L29" s="25">
        <f t="shared" si="3"/>
        <v>0.4875386040245853</v>
      </c>
      <c r="M29" s="65">
        <v>59385</v>
      </c>
      <c r="N29" s="66"/>
      <c r="O29" s="114">
        <f t="shared" si="5"/>
        <v>59385</v>
      </c>
      <c r="P29" s="19">
        <f t="shared" si="0"/>
        <v>0</v>
      </c>
      <c r="Q29" s="20">
        <f t="shared" si="7"/>
        <v>1</v>
      </c>
      <c r="R29" s="146"/>
    </row>
    <row r="30" spans="1:18" s="2" customFormat="1" ht="20.25" customHeight="1">
      <c r="A30" s="33" t="s">
        <v>34</v>
      </c>
      <c r="B30" s="248">
        <v>24</v>
      </c>
      <c r="C30" s="52">
        <v>65</v>
      </c>
      <c r="D30" s="52">
        <v>16.91</v>
      </c>
      <c r="E30" s="22">
        <v>17</v>
      </c>
      <c r="F30" s="24">
        <v>20</v>
      </c>
      <c r="G30" s="23"/>
      <c r="H30" s="15">
        <v>20</v>
      </c>
      <c r="I30" s="24">
        <f>1.44+0.11+16.59</f>
        <v>18.14</v>
      </c>
      <c r="J30" s="23"/>
      <c r="K30" s="15">
        <f t="shared" si="6"/>
        <v>18.14</v>
      </c>
      <c r="L30" s="25">
        <f t="shared" si="3"/>
        <v>0.907</v>
      </c>
      <c r="M30" s="65">
        <v>20</v>
      </c>
      <c r="N30" s="66"/>
      <c r="O30" s="114">
        <f t="shared" si="5"/>
        <v>20</v>
      </c>
      <c r="P30" s="19">
        <f t="shared" si="0"/>
        <v>0</v>
      </c>
      <c r="Q30" s="20">
        <f t="shared" si="7"/>
        <v>1</v>
      </c>
      <c r="R30" s="146"/>
    </row>
    <row r="31" spans="1:18" s="2" customFormat="1" ht="20.25" customHeight="1">
      <c r="A31" s="33" t="s">
        <v>35</v>
      </c>
      <c r="B31" s="250">
        <v>25</v>
      </c>
      <c r="C31" s="52">
        <v>2034</v>
      </c>
      <c r="D31" s="52">
        <v>1769.24</v>
      </c>
      <c r="E31" s="22">
        <v>1794</v>
      </c>
      <c r="F31" s="24">
        <v>2200</v>
      </c>
      <c r="G31" s="23"/>
      <c r="H31" s="15">
        <v>2200</v>
      </c>
      <c r="I31" s="24">
        <f>1.1-9.04+933.57</f>
        <v>925.63</v>
      </c>
      <c r="J31" s="23">
        <v>3.48</v>
      </c>
      <c r="K31" s="15">
        <f t="shared" si="6"/>
        <v>929.11</v>
      </c>
      <c r="L31" s="25">
        <f t="shared" si="3"/>
        <v>0.4223227272727273</v>
      </c>
      <c r="M31" s="65">
        <v>2200</v>
      </c>
      <c r="N31" s="66"/>
      <c r="O31" s="114">
        <f t="shared" si="5"/>
        <v>2200</v>
      </c>
      <c r="P31" s="19">
        <f t="shared" si="0"/>
        <v>0</v>
      </c>
      <c r="Q31" s="20">
        <f t="shared" si="7"/>
        <v>1</v>
      </c>
      <c r="R31" s="146"/>
    </row>
    <row r="32" spans="1:18" s="2" customFormat="1" ht="20.25" customHeight="1">
      <c r="A32" s="21" t="s">
        <v>36</v>
      </c>
      <c r="B32" s="248">
        <v>26</v>
      </c>
      <c r="C32" s="52">
        <v>2702</v>
      </c>
      <c r="D32" s="52">
        <v>2589.3</v>
      </c>
      <c r="E32" s="22">
        <v>1325</v>
      </c>
      <c r="F32" s="24">
        <v>2600</v>
      </c>
      <c r="G32" s="23"/>
      <c r="H32" s="15">
        <v>2600</v>
      </c>
      <c r="I32" s="24">
        <f>978.54+298.1</f>
        <v>1276.6399999999999</v>
      </c>
      <c r="J32" s="23"/>
      <c r="K32" s="15">
        <f t="shared" si="6"/>
        <v>1276.6399999999999</v>
      </c>
      <c r="L32" s="25">
        <f t="shared" si="3"/>
        <v>0.4910153846153846</v>
      </c>
      <c r="M32" s="65">
        <v>2600</v>
      </c>
      <c r="N32" s="66"/>
      <c r="O32" s="114">
        <f t="shared" si="5"/>
        <v>2600</v>
      </c>
      <c r="P32" s="19">
        <f t="shared" si="0"/>
        <v>0</v>
      </c>
      <c r="Q32" s="20">
        <f t="shared" si="7"/>
        <v>1</v>
      </c>
      <c r="R32" s="146"/>
    </row>
    <row r="33" spans="1:18" s="2" customFormat="1" ht="20.25" customHeight="1">
      <c r="A33" s="21" t="s">
        <v>37</v>
      </c>
      <c r="B33" s="250">
        <v>27</v>
      </c>
      <c r="C33" s="52">
        <v>718</v>
      </c>
      <c r="D33" s="52">
        <v>639.92</v>
      </c>
      <c r="E33" s="22">
        <v>968</v>
      </c>
      <c r="F33" s="24">
        <v>1408</v>
      </c>
      <c r="G33" s="23"/>
      <c r="H33" s="15">
        <v>1408</v>
      </c>
      <c r="I33" s="24">
        <f>+I32</f>
        <v>1276.6399999999999</v>
      </c>
      <c r="J33" s="23"/>
      <c r="K33" s="15">
        <f t="shared" si="6"/>
        <v>1276.6399999999999</v>
      </c>
      <c r="L33" s="25">
        <f t="shared" si="3"/>
        <v>0.9067045454545454</v>
      </c>
      <c r="M33" s="65">
        <v>1408</v>
      </c>
      <c r="N33" s="66"/>
      <c r="O33" s="114">
        <f t="shared" si="5"/>
        <v>1408</v>
      </c>
      <c r="P33" s="19">
        <f t="shared" si="0"/>
        <v>0</v>
      </c>
      <c r="Q33" s="20">
        <f t="shared" si="7"/>
        <v>1</v>
      </c>
      <c r="R33" s="146"/>
    </row>
    <row r="34" spans="1:18" s="2" customFormat="1" ht="20.25" customHeight="1" thickBot="1">
      <c r="A34" s="34" t="s">
        <v>38</v>
      </c>
      <c r="B34" s="251">
        <v>28</v>
      </c>
      <c r="C34" s="86">
        <v>-1447</v>
      </c>
      <c r="D34" s="86">
        <v>88.84</v>
      </c>
      <c r="E34" s="22">
        <v>22</v>
      </c>
      <c r="F34" s="24">
        <v>0</v>
      </c>
      <c r="G34" s="23"/>
      <c r="H34" s="15">
        <v>0</v>
      </c>
      <c r="I34" s="24">
        <v>0</v>
      </c>
      <c r="J34" s="23"/>
      <c r="K34" s="15">
        <f t="shared" si="6"/>
        <v>0</v>
      </c>
      <c r="L34" s="224"/>
      <c r="M34" s="87">
        <v>0</v>
      </c>
      <c r="N34" s="75"/>
      <c r="O34" s="115">
        <f t="shared" si="5"/>
        <v>0</v>
      </c>
      <c r="P34" s="19">
        <f t="shared" si="0"/>
        <v>0</v>
      </c>
      <c r="Q34" s="20"/>
      <c r="R34" s="173"/>
    </row>
    <row r="35" spans="1:18" s="2" customFormat="1" ht="20.25" customHeight="1" thickBot="1">
      <c r="A35" s="28" t="s">
        <v>39</v>
      </c>
      <c r="B35" s="249">
        <v>29</v>
      </c>
      <c r="C35" s="77">
        <v>388518</v>
      </c>
      <c r="D35" s="77">
        <v>389970.77</v>
      </c>
      <c r="E35" s="29">
        <v>415021</v>
      </c>
      <c r="F35" s="90">
        <f>SUM(F17+F19+F20+F21+F22+F25+F30+F31+F32+F34)</f>
        <v>433405</v>
      </c>
      <c r="G35" s="91">
        <v>0</v>
      </c>
      <c r="H35" s="116">
        <f>SUM(H17+H19+H20+H21+H22+H25+H30+H31+H32+H34)</f>
        <v>433405</v>
      </c>
      <c r="I35" s="78">
        <f>SUM(I17+I19+I20+I21+I22+I25+I30+I31+I32+I34)</f>
        <v>227547.04000000004</v>
      </c>
      <c r="J35" s="91">
        <f>SUM(J17+J19+J20+J21+J22+J25+J30+J31+J32+J34)</f>
        <v>231.92</v>
      </c>
      <c r="K35" s="79">
        <f>SUM(K17+K19+K20+K21+K22+K25+K30+K31+K32+K34)</f>
        <v>227778.96000000002</v>
      </c>
      <c r="L35" s="258">
        <f t="shared" si="3"/>
        <v>0.5255568348311626</v>
      </c>
      <c r="M35" s="90">
        <f>SUM(M17+M19+M20+M21+M22+M25+M30+M31+M32+M34)</f>
        <v>436405</v>
      </c>
      <c r="N35" s="91">
        <v>0</v>
      </c>
      <c r="O35" s="116">
        <f>SUM(O17+O19+O20+O21+O22+O25+O30+O31+O32+O34)</f>
        <v>436405</v>
      </c>
      <c r="P35" s="214">
        <f t="shared" si="0"/>
        <v>3000</v>
      </c>
      <c r="Q35" s="213">
        <f>+O35/H35</f>
        <v>1.006921932141992</v>
      </c>
      <c r="R35" s="242"/>
    </row>
    <row r="36" spans="1:18" s="2" customFormat="1" ht="22.5" customHeight="1" thickBot="1">
      <c r="A36" s="28" t="s">
        <v>40</v>
      </c>
      <c r="B36" s="247">
        <v>30</v>
      </c>
      <c r="C36" s="92">
        <f>+C14-C34</f>
        <v>1447</v>
      </c>
      <c r="D36" s="92">
        <v>70.9900000000489</v>
      </c>
      <c r="E36" s="35">
        <f>E16-E35</f>
        <v>145</v>
      </c>
      <c r="F36" s="93">
        <f>F16-F35</f>
        <v>-17916.375</v>
      </c>
      <c r="G36" s="110">
        <f>G16-G35</f>
        <v>600</v>
      </c>
      <c r="H36" s="111">
        <f>H16-H35</f>
        <v>-17316.375</v>
      </c>
      <c r="I36" s="261">
        <f>+I16-I35</f>
        <v>-10882.040000000037</v>
      </c>
      <c r="J36" s="262">
        <f>+J16-J35</f>
        <v>518.08</v>
      </c>
      <c r="K36" s="261">
        <f>+K16-K35</f>
        <v>-10363.960000000021</v>
      </c>
      <c r="L36" s="423"/>
      <c r="M36" s="93">
        <f>M16-M35</f>
        <v>-18986</v>
      </c>
      <c r="N36" s="94">
        <f>N16-N35</f>
        <v>600</v>
      </c>
      <c r="O36" s="95">
        <f>O16-O35</f>
        <v>-18386</v>
      </c>
      <c r="P36" s="215"/>
      <c r="Q36" s="216"/>
      <c r="R36" s="244"/>
    </row>
    <row r="37" spans="1:18" s="2" customFormat="1" ht="15.75" customHeight="1" thickBot="1">
      <c r="A37" s="28" t="s">
        <v>41</v>
      </c>
      <c r="B37" s="247">
        <v>31</v>
      </c>
      <c r="C37" s="92">
        <v>0</v>
      </c>
      <c r="D37" s="92">
        <v>0</v>
      </c>
      <c r="E37" s="35">
        <v>0</v>
      </c>
      <c r="F37" s="37"/>
      <c r="H37" s="685"/>
      <c r="I37" s="686"/>
      <c r="J37" s="686"/>
      <c r="K37" s="686"/>
      <c r="R37" s="625"/>
    </row>
    <row r="38" spans="1:18" ht="16.5" customHeight="1" thickBot="1">
      <c r="A38" s="38" t="s">
        <v>42</v>
      </c>
      <c r="B38" s="247">
        <v>32</v>
      </c>
      <c r="C38" s="98">
        <v>0</v>
      </c>
      <c r="D38" s="92">
        <v>0</v>
      </c>
      <c r="E38" s="35">
        <f>E36+E37</f>
        <v>145</v>
      </c>
      <c r="F38" s="37"/>
      <c r="G38" s="3"/>
      <c r="H38" s="687"/>
      <c r="I38" s="687"/>
      <c r="J38" s="687"/>
      <c r="K38" s="687"/>
      <c r="L38" s="3"/>
      <c r="M38" s="3"/>
      <c r="R38" s="626"/>
    </row>
  </sheetData>
  <mergeCells count="13">
    <mergeCell ref="R4:R6"/>
    <mergeCell ref="R37:R38"/>
    <mergeCell ref="C3:R3"/>
    <mergeCell ref="M4:O4"/>
    <mergeCell ref="P4:Q4"/>
    <mergeCell ref="H37:K38"/>
    <mergeCell ref="F4:H4"/>
    <mergeCell ref="I4:K4"/>
    <mergeCell ref="A3:A6"/>
    <mergeCell ref="C4:C6"/>
    <mergeCell ref="D4:D6"/>
    <mergeCell ref="E4:E6"/>
    <mergeCell ref="B3:B6"/>
  </mergeCells>
  <printOptions horizontalCentered="1"/>
  <pageMargins left="0.17" right="0.17" top="0.35433070866141736" bottom="0.2362204724409449" header="0.2362204724409449" footer="0.1968503937007874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37">
      <selection activeCell="F9" sqref="A9:IV9"/>
    </sheetView>
  </sheetViews>
  <sheetFormatPr defaultColWidth="9.00390625" defaultRowHeight="21.75" customHeight="1"/>
  <cols>
    <col min="1" max="1" width="40.75390625" style="382" customWidth="1"/>
    <col min="2" max="5" width="12.75390625" style="382" customWidth="1"/>
    <col min="6" max="12" width="9.125" style="382" customWidth="1"/>
    <col min="13" max="13" width="12.75390625" style="382" customWidth="1"/>
    <col min="14" max="16384" width="9.125" style="382" customWidth="1"/>
  </cols>
  <sheetData>
    <row r="1" spans="1:4" ht="15" customHeight="1">
      <c r="A1" s="381" t="s">
        <v>338</v>
      </c>
      <c r="D1" s="381"/>
    </row>
    <row r="2" spans="1:4" ht="21.75" customHeight="1">
      <c r="A2" s="381" t="s">
        <v>285</v>
      </c>
      <c r="D2" s="381"/>
    </row>
    <row r="3" ht="3" customHeight="1" thickBot="1">
      <c r="A3" s="383"/>
    </row>
    <row r="4" spans="1:5" ht="44.25" customHeight="1">
      <c r="A4" s="678" t="s">
        <v>92</v>
      </c>
      <c r="B4" s="384" t="s">
        <v>93</v>
      </c>
      <c r="C4" s="386" t="s">
        <v>94</v>
      </c>
      <c r="D4" s="386" t="s">
        <v>95</v>
      </c>
      <c r="E4" s="384" t="s">
        <v>96</v>
      </c>
    </row>
    <row r="5" spans="1:5" ht="15" customHeight="1" thickBot="1">
      <c r="A5" s="679"/>
      <c r="B5" s="388"/>
      <c r="C5" s="390" t="s">
        <v>97</v>
      </c>
      <c r="D5" s="390" t="s">
        <v>98</v>
      </c>
      <c r="E5" s="388" t="s">
        <v>99</v>
      </c>
    </row>
    <row r="6" spans="1:5" ht="10.5" customHeight="1">
      <c r="A6" s="680" t="s">
        <v>339</v>
      </c>
      <c r="B6" s="676"/>
      <c r="C6" s="677">
        <v>124000</v>
      </c>
      <c r="D6" s="677"/>
      <c r="E6" s="671">
        <v>124000</v>
      </c>
    </row>
    <row r="7" spans="1:5" ht="6.75" customHeight="1">
      <c r="A7" s="669"/>
      <c r="B7" s="665"/>
      <c r="C7" s="673"/>
      <c r="D7" s="673"/>
      <c r="E7" s="667"/>
    </row>
    <row r="8" spans="1:5" ht="10.5" customHeight="1">
      <c r="A8" s="668" t="s">
        <v>340</v>
      </c>
      <c r="B8" s="664"/>
      <c r="C8" s="672">
        <v>62000</v>
      </c>
      <c r="D8" s="672"/>
      <c r="E8" s="666">
        <v>62000</v>
      </c>
    </row>
    <row r="9" spans="1:5" ht="5.25" customHeight="1">
      <c r="A9" s="669"/>
      <c r="B9" s="665"/>
      <c r="C9" s="673"/>
      <c r="D9" s="673"/>
      <c r="E9" s="667"/>
    </row>
    <row r="10" spans="1:5" ht="10.5" customHeight="1">
      <c r="A10" s="668" t="s">
        <v>341</v>
      </c>
      <c r="B10" s="403"/>
      <c r="C10" s="406"/>
      <c r="D10" s="405">
        <v>1000000</v>
      </c>
      <c r="E10" s="408">
        <v>1000000</v>
      </c>
    </row>
    <row r="11" spans="1:5" ht="10.5" customHeight="1">
      <c r="A11" s="669"/>
      <c r="B11" s="398"/>
      <c r="C11" s="400"/>
      <c r="D11" s="400">
        <v>0</v>
      </c>
      <c r="E11" s="402">
        <v>0</v>
      </c>
    </row>
    <row r="12" spans="1:5" ht="10.5" customHeight="1">
      <c r="A12" s="668" t="s">
        <v>342</v>
      </c>
      <c r="B12" s="403"/>
      <c r="C12" s="406"/>
      <c r="D12" s="405">
        <v>0</v>
      </c>
      <c r="E12" s="408">
        <v>0</v>
      </c>
    </row>
    <row r="13" spans="1:5" ht="10.5" customHeight="1">
      <c r="A13" s="669"/>
      <c r="B13" s="398"/>
      <c r="C13" s="400"/>
      <c r="D13" s="400">
        <v>231000</v>
      </c>
      <c r="E13" s="402">
        <v>231000</v>
      </c>
    </row>
    <row r="14" spans="1:5" ht="10.5" customHeight="1">
      <c r="A14" s="668" t="s">
        <v>343</v>
      </c>
      <c r="B14" s="664"/>
      <c r="C14" s="672"/>
      <c r="D14" s="672">
        <v>269299</v>
      </c>
      <c r="E14" s="666">
        <v>269299</v>
      </c>
    </row>
    <row r="15" spans="1:5" ht="10.5" customHeight="1">
      <c r="A15" s="669"/>
      <c r="B15" s="665"/>
      <c r="C15" s="673"/>
      <c r="D15" s="673"/>
      <c r="E15" s="667"/>
    </row>
    <row r="16" spans="1:5" ht="10.5" customHeight="1">
      <c r="A16" s="668" t="s">
        <v>344</v>
      </c>
      <c r="B16" s="664"/>
      <c r="C16" s="672"/>
      <c r="D16" s="672">
        <v>100000</v>
      </c>
      <c r="E16" s="666">
        <v>100000</v>
      </c>
    </row>
    <row r="17" spans="1:5" ht="10.5" customHeight="1">
      <c r="A17" s="669"/>
      <c r="B17" s="665"/>
      <c r="C17" s="673"/>
      <c r="D17" s="673"/>
      <c r="E17" s="667"/>
    </row>
    <row r="18" spans="1:5" ht="10.5" customHeight="1">
      <c r="A18" s="668" t="s">
        <v>345</v>
      </c>
      <c r="B18" s="403"/>
      <c r="C18" s="406"/>
      <c r="D18" s="405">
        <v>0</v>
      </c>
      <c r="E18" s="408">
        <v>0</v>
      </c>
    </row>
    <row r="19" spans="1:5" ht="10.5" customHeight="1">
      <c r="A19" s="669"/>
      <c r="B19" s="398"/>
      <c r="C19" s="400"/>
      <c r="D19" s="400">
        <v>150000</v>
      </c>
      <c r="E19" s="402">
        <v>150000</v>
      </c>
    </row>
    <row r="20" spans="1:5" ht="10.5" customHeight="1">
      <c r="A20" s="668" t="s">
        <v>346</v>
      </c>
      <c r="B20" s="403"/>
      <c r="C20" s="406"/>
      <c r="D20" s="405">
        <v>0</v>
      </c>
      <c r="E20" s="408">
        <v>0</v>
      </c>
    </row>
    <row r="21" spans="1:5" ht="10.5" customHeight="1">
      <c r="A21" s="669"/>
      <c r="B21" s="398"/>
      <c r="C21" s="400"/>
      <c r="D21" s="400">
        <v>500000</v>
      </c>
      <c r="E21" s="402">
        <v>500000</v>
      </c>
    </row>
    <row r="22" spans="1:5" ht="10.5" customHeight="1">
      <c r="A22" s="668" t="s">
        <v>347</v>
      </c>
      <c r="B22" s="403"/>
      <c r="C22" s="406"/>
      <c r="D22" s="405">
        <v>500000</v>
      </c>
      <c r="E22" s="408">
        <v>500000</v>
      </c>
    </row>
    <row r="23" spans="1:5" ht="10.5" customHeight="1">
      <c r="A23" s="669"/>
      <c r="B23" s="398"/>
      <c r="C23" s="400"/>
      <c r="D23" s="400">
        <v>374000.01</v>
      </c>
      <c r="E23" s="402">
        <v>374000.01</v>
      </c>
    </row>
    <row r="24" spans="1:5" ht="10.5" customHeight="1">
      <c r="A24" s="668" t="s">
        <v>348</v>
      </c>
      <c r="B24" s="403"/>
      <c r="C24" s="406"/>
      <c r="D24" s="405">
        <v>0</v>
      </c>
      <c r="E24" s="408">
        <v>0</v>
      </c>
    </row>
    <row r="25" spans="1:5" ht="10.5" customHeight="1">
      <c r="A25" s="669"/>
      <c r="B25" s="398"/>
      <c r="C25" s="400"/>
      <c r="D25" s="400">
        <v>750000</v>
      </c>
      <c r="E25" s="402">
        <v>750000</v>
      </c>
    </row>
    <row r="26" spans="1:5" ht="10.5" customHeight="1">
      <c r="A26" s="668" t="s">
        <v>100</v>
      </c>
      <c r="B26" s="403"/>
      <c r="C26" s="405">
        <v>2767040</v>
      </c>
      <c r="D26" s="406"/>
      <c r="E26" s="408">
        <v>2767040</v>
      </c>
    </row>
    <row r="27" spans="1:5" ht="10.5" customHeight="1">
      <c r="A27" s="669"/>
      <c r="B27" s="398"/>
      <c r="C27" s="400">
        <v>1517040</v>
      </c>
      <c r="D27" s="400"/>
      <c r="E27" s="402">
        <v>1517040</v>
      </c>
    </row>
    <row r="28" spans="1:5" ht="10.5" customHeight="1">
      <c r="A28" s="668" t="s">
        <v>349</v>
      </c>
      <c r="B28" s="403"/>
      <c r="C28" s="406"/>
      <c r="D28" s="405">
        <v>1500000</v>
      </c>
      <c r="E28" s="408">
        <v>1500000</v>
      </c>
    </row>
    <row r="29" spans="1:5" ht="10.5" customHeight="1">
      <c r="A29" s="669"/>
      <c r="B29" s="398"/>
      <c r="C29" s="400"/>
      <c r="D29" s="400">
        <v>1600000</v>
      </c>
      <c r="E29" s="402">
        <v>1600000</v>
      </c>
    </row>
    <row r="30" spans="1:5" ht="10.5" customHeight="1">
      <c r="A30" s="668" t="s">
        <v>350</v>
      </c>
      <c r="B30" s="664">
        <v>170040</v>
      </c>
      <c r="C30" s="672">
        <v>11738960</v>
      </c>
      <c r="D30" s="672"/>
      <c r="E30" s="666">
        <v>11738960</v>
      </c>
    </row>
    <row r="31" spans="1:5" ht="10.5" customHeight="1">
      <c r="A31" s="669"/>
      <c r="B31" s="665"/>
      <c r="C31" s="673"/>
      <c r="D31" s="673"/>
      <c r="E31" s="667"/>
    </row>
    <row r="32" spans="1:5" ht="10.5" customHeight="1">
      <c r="A32" s="668" t="s">
        <v>351</v>
      </c>
      <c r="B32" s="664"/>
      <c r="C32" s="672"/>
      <c r="D32" s="672">
        <v>1000000</v>
      </c>
      <c r="E32" s="666">
        <v>1000000</v>
      </c>
    </row>
    <row r="33" spans="1:5" ht="10.5" customHeight="1">
      <c r="A33" s="669"/>
      <c r="B33" s="665"/>
      <c r="C33" s="673"/>
      <c r="D33" s="673"/>
      <c r="E33" s="667"/>
    </row>
    <row r="34" spans="1:5" ht="10.5" customHeight="1">
      <c r="A34" s="668" t="s">
        <v>352</v>
      </c>
      <c r="B34" s="403"/>
      <c r="C34" s="406"/>
      <c r="D34" s="405">
        <v>682701</v>
      </c>
      <c r="E34" s="408">
        <v>682701</v>
      </c>
    </row>
    <row r="35" spans="1:5" ht="10.5" customHeight="1">
      <c r="A35" s="669"/>
      <c r="B35" s="398"/>
      <c r="C35" s="400"/>
      <c r="D35" s="400">
        <v>506301</v>
      </c>
      <c r="E35" s="402">
        <v>506301</v>
      </c>
    </row>
    <row r="36" spans="1:5" ht="10.5" customHeight="1">
      <c r="A36" s="668" t="s">
        <v>353</v>
      </c>
      <c r="B36" s="664"/>
      <c r="C36" s="672"/>
      <c r="D36" s="672">
        <v>600000</v>
      </c>
      <c r="E36" s="666">
        <v>600000</v>
      </c>
    </row>
    <row r="37" spans="1:5" ht="10.5" customHeight="1">
      <c r="A37" s="669"/>
      <c r="B37" s="665"/>
      <c r="C37" s="673"/>
      <c r="D37" s="673"/>
      <c r="E37" s="667"/>
    </row>
    <row r="38" spans="1:5" ht="10.5" customHeight="1">
      <c r="A38" s="668" t="s">
        <v>354</v>
      </c>
      <c r="B38" s="403"/>
      <c r="C38" s="406"/>
      <c r="D38" s="405">
        <v>0</v>
      </c>
      <c r="E38" s="408">
        <v>0</v>
      </c>
    </row>
    <row r="39" spans="1:5" ht="10.5" customHeight="1">
      <c r="A39" s="669"/>
      <c r="B39" s="398"/>
      <c r="C39" s="400"/>
      <c r="D39" s="400">
        <v>150000</v>
      </c>
      <c r="E39" s="402">
        <v>150000</v>
      </c>
    </row>
    <row r="40" spans="1:5" ht="10.5" customHeight="1">
      <c r="A40" s="668" t="s">
        <v>355</v>
      </c>
      <c r="B40" s="403"/>
      <c r="C40" s="406"/>
      <c r="D40" s="405">
        <v>0</v>
      </c>
      <c r="E40" s="408">
        <v>0</v>
      </c>
    </row>
    <row r="41" spans="1:5" ht="10.5" customHeight="1">
      <c r="A41" s="669"/>
      <c r="B41" s="398"/>
      <c r="C41" s="400"/>
      <c r="D41" s="400">
        <v>350000</v>
      </c>
      <c r="E41" s="402">
        <v>350000</v>
      </c>
    </row>
    <row r="42" spans="1:5" ht="10.5" customHeight="1">
      <c r="A42" s="668" t="s">
        <v>356</v>
      </c>
      <c r="B42" s="403"/>
      <c r="C42" s="406"/>
      <c r="D42" s="405">
        <v>0</v>
      </c>
      <c r="E42" s="408">
        <v>0</v>
      </c>
    </row>
    <row r="43" spans="1:5" ht="10.5" customHeight="1" thickBot="1">
      <c r="A43" s="670"/>
      <c r="B43" s="411"/>
      <c r="C43" s="413"/>
      <c r="D43" s="413">
        <v>71399.99</v>
      </c>
      <c r="E43" s="415">
        <v>71399.99</v>
      </c>
    </row>
    <row r="44" spans="1:5" ht="16.5" customHeight="1" thickBot="1">
      <c r="A44" s="416" t="s">
        <v>101</v>
      </c>
      <c r="B44" s="417">
        <v>170040</v>
      </c>
      <c r="C44" s="419">
        <v>14692000</v>
      </c>
      <c r="D44" s="419">
        <v>5652000</v>
      </c>
      <c r="E44" s="417">
        <v>20344000</v>
      </c>
    </row>
    <row r="45" spans="1:5" ht="21.75" customHeight="1" thickBot="1">
      <c r="A45" s="416" t="s">
        <v>101</v>
      </c>
      <c r="B45" s="417">
        <v>170040</v>
      </c>
      <c r="C45" s="419">
        <v>13442000</v>
      </c>
      <c r="D45" s="419">
        <v>6652000</v>
      </c>
      <c r="E45" s="417">
        <v>20094000</v>
      </c>
    </row>
    <row r="46" ht="5.25" customHeight="1" thickBot="1"/>
    <row r="47" spans="1:5" ht="45" customHeight="1">
      <c r="A47" s="678" t="s">
        <v>102</v>
      </c>
      <c r="B47" s="384" t="s">
        <v>93</v>
      </c>
      <c r="C47" s="386" t="s">
        <v>94</v>
      </c>
      <c r="D47" s="386" t="s">
        <v>95</v>
      </c>
      <c r="E47" s="384" t="s">
        <v>96</v>
      </c>
    </row>
    <row r="48" spans="1:5" ht="15.75" customHeight="1" thickBot="1">
      <c r="A48" s="679"/>
      <c r="B48" s="388"/>
      <c r="C48" s="390" t="s">
        <v>97</v>
      </c>
      <c r="D48" s="390" t="s">
        <v>98</v>
      </c>
      <c r="E48" s="388" t="s">
        <v>99</v>
      </c>
    </row>
    <row r="49" spans="1:5" ht="10.5" customHeight="1">
      <c r="A49" s="680" t="s">
        <v>357</v>
      </c>
      <c r="B49" s="676"/>
      <c r="C49" s="677"/>
      <c r="D49" s="677">
        <v>0</v>
      </c>
      <c r="E49" s="671">
        <v>0</v>
      </c>
    </row>
    <row r="50" spans="1:5" ht="6.75" customHeight="1">
      <c r="A50" s="669"/>
      <c r="B50" s="665"/>
      <c r="C50" s="673"/>
      <c r="D50" s="673"/>
      <c r="E50" s="667"/>
    </row>
    <row r="51" spans="1:5" ht="10.5" customHeight="1">
      <c r="A51" s="668" t="s">
        <v>147</v>
      </c>
      <c r="B51" s="664"/>
      <c r="C51" s="672">
        <v>2808000</v>
      </c>
      <c r="D51" s="672"/>
      <c r="E51" s="666">
        <v>2808000</v>
      </c>
    </row>
    <row r="52" spans="1:5" ht="8.25" customHeight="1">
      <c r="A52" s="669"/>
      <c r="B52" s="665"/>
      <c r="C52" s="673"/>
      <c r="D52" s="673"/>
      <c r="E52" s="667"/>
    </row>
    <row r="53" spans="1:5" ht="10.5" customHeight="1">
      <c r="A53" s="668" t="s">
        <v>358</v>
      </c>
      <c r="B53" s="664"/>
      <c r="C53" s="672"/>
      <c r="D53" s="672">
        <v>500000</v>
      </c>
      <c r="E53" s="666">
        <v>500000</v>
      </c>
    </row>
    <row r="54" spans="1:5" ht="6.75" customHeight="1">
      <c r="A54" s="669"/>
      <c r="B54" s="665"/>
      <c r="C54" s="673"/>
      <c r="D54" s="673"/>
      <c r="E54" s="667"/>
    </row>
    <row r="55" spans="1:5" ht="10.5" customHeight="1">
      <c r="A55" s="668" t="s">
        <v>359</v>
      </c>
      <c r="B55" s="664"/>
      <c r="C55" s="672"/>
      <c r="D55" s="672">
        <v>0</v>
      </c>
      <c r="E55" s="666">
        <v>0</v>
      </c>
    </row>
    <row r="56" spans="1:5" ht="6.75" customHeight="1">
      <c r="A56" s="669"/>
      <c r="B56" s="665"/>
      <c r="C56" s="673"/>
      <c r="D56" s="673"/>
      <c r="E56" s="667"/>
    </row>
    <row r="57" spans="1:5" ht="10.5" customHeight="1">
      <c r="A57" s="668" t="s">
        <v>360</v>
      </c>
      <c r="B57" s="664"/>
      <c r="C57" s="672"/>
      <c r="D57" s="672">
        <v>0</v>
      </c>
      <c r="E57" s="666">
        <v>0</v>
      </c>
    </row>
    <row r="58" spans="1:5" ht="4.5" customHeight="1">
      <c r="A58" s="669"/>
      <c r="B58" s="665"/>
      <c r="C58" s="673"/>
      <c r="D58" s="673"/>
      <c r="E58" s="667"/>
    </row>
    <row r="59" spans="1:5" ht="10.5" customHeight="1">
      <c r="A59" s="668" t="s">
        <v>361</v>
      </c>
      <c r="B59" s="403"/>
      <c r="C59" s="406"/>
      <c r="D59" s="405">
        <v>1000000</v>
      </c>
      <c r="E59" s="408">
        <v>1000000</v>
      </c>
    </row>
    <row r="60" spans="1:5" ht="10.5" customHeight="1" thickBot="1">
      <c r="A60" s="670"/>
      <c r="B60" s="411"/>
      <c r="C60" s="413"/>
      <c r="D60" s="413">
        <v>0</v>
      </c>
      <c r="E60" s="415">
        <v>0</v>
      </c>
    </row>
    <row r="61" spans="1:5" ht="21.75" customHeight="1" thickBot="1">
      <c r="A61" s="416" t="s">
        <v>103</v>
      </c>
      <c r="B61" s="417"/>
      <c r="C61" s="419">
        <v>2808000</v>
      </c>
      <c r="D61" s="419">
        <v>1500000</v>
      </c>
      <c r="E61" s="417">
        <v>4308000</v>
      </c>
    </row>
    <row r="62" spans="1:5" ht="21.75" customHeight="1" thickBot="1">
      <c r="A62" s="416" t="s">
        <v>103</v>
      </c>
      <c r="B62" s="417"/>
      <c r="C62" s="419">
        <v>2808000</v>
      </c>
      <c r="D62" s="419">
        <v>500000</v>
      </c>
      <c r="E62" s="417">
        <v>3308000</v>
      </c>
    </row>
    <row r="63" ht="4.5" customHeight="1" thickBot="1"/>
    <row r="64" spans="1:5" ht="16.5" customHeight="1" thickBot="1">
      <c r="A64" s="416" t="s">
        <v>63</v>
      </c>
      <c r="B64" s="417">
        <v>170040</v>
      </c>
      <c r="C64" s="419">
        <v>17500000</v>
      </c>
      <c r="D64" s="419">
        <v>7152000</v>
      </c>
      <c r="E64" s="417">
        <v>24652000</v>
      </c>
    </row>
    <row r="65" spans="1:5" ht="15.75" customHeight="1" thickBot="1">
      <c r="A65" s="416" t="s">
        <v>63</v>
      </c>
      <c r="B65" s="417">
        <v>170040</v>
      </c>
      <c r="C65" s="419">
        <v>16250000</v>
      </c>
      <c r="D65" s="419">
        <v>7152000</v>
      </c>
      <c r="E65" s="417">
        <v>23402000</v>
      </c>
    </row>
  </sheetData>
  <mergeCells count="75">
    <mergeCell ref="A4:A5"/>
    <mergeCell ref="A6:A7"/>
    <mergeCell ref="B6:B7"/>
    <mergeCell ref="E6:E7"/>
    <mergeCell ref="C6:C7"/>
    <mergeCell ref="D6:D7"/>
    <mergeCell ref="A12:A13"/>
    <mergeCell ref="A14:A15"/>
    <mergeCell ref="B8:B9"/>
    <mergeCell ref="E8:E9"/>
    <mergeCell ref="A10:A11"/>
    <mergeCell ref="D8:D9"/>
    <mergeCell ref="A8:A9"/>
    <mergeCell ref="C8:C9"/>
    <mergeCell ref="B14:B15"/>
    <mergeCell ref="E14:E15"/>
    <mergeCell ref="C14:C15"/>
    <mergeCell ref="D14:D15"/>
    <mergeCell ref="B16:B17"/>
    <mergeCell ref="E16:E17"/>
    <mergeCell ref="A18:A19"/>
    <mergeCell ref="D16:D17"/>
    <mergeCell ref="A16:A17"/>
    <mergeCell ref="C16:C17"/>
    <mergeCell ref="A28:A29"/>
    <mergeCell ref="A30:A31"/>
    <mergeCell ref="A20:A21"/>
    <mergeCell ref="A22:A23"/>
    <mergeCell ref="A24:A25"/>
    <mergeCell ref="A26:A27"/>
    <mergeCell ref="B30:B31"/>
    <mergeCell ref="E30:E31"/>
    <mergeCell ref="C30:C31"/>
    <mergeCell ref="D30:D31"/>
    <mergeCell ref="B32:B33"/>
    <mergeCell ref="E32:E33"/>
    <mergeCell ref="A34:A35"/>
    <mergeCell ref="D32:D33"/>
    <mergeCell ref="A32:A33"/>
    <mergeCell ref="C32:C33"/>
    <mergeCell ref="B36:B37"/>
    <mergeCell ref="E36:E37"/>
    <mergeCell ref="A38:A39"/>
    <mergeCell ref="D36:D37"/>
    <mergeCell ref="A36:A37"/>
    <mergeCell ref="C36:C37"/>
    <mergeCell ref="A40:A41"/>
    <mergeCell ref="A42:A43"/>
    <mergeCell ref="A47:A48"/>
    <mergeCell ref="A49:A50"/>
    <mergeCell ref="E49:E50"/>
    <mergeCell ref="A51:A52"/>
    <mergeCell ref="C51:C52"/>
    <mergeCell ref="D51:D52"/>
    <mergeCell ref="D49:D50"/>
    <mergeCell ref="C49:C50"/>
    <mergeCell ref="A53:A54"/>
    <mergeCell ref="C53:C54"/>
    <mergeCell ref="D53:D54"/>
    <mergeCell ref="B49:B50"/>
    <mergeCell ref="C55:C56"/>
    <mergeCell ref="B53:B54"/>
    <mergeCell ref="E53:E54"/>
    <mergeCell ref="B51:B52"/>
    <mergeCell ref="E51:E52"/>
    <mergeCell ref="A59:A60"/>
    <mergeCell ref="B57:B58"/>
    <mergeCell ref="E57:E58"/>
    <mergeCell ref="B55:B56"/>
    <mergeCell ref="E55:E56"/>
    <mergeCell ref="A57:A58"/>
    <mergeCell ref="C57:C58"/>
    <mergeCell ref="D57:D58"/>
    <mergeCell ref="D55:D56"/>
    <mergeCell ref="A55:A56"/>
  </mergeCells>
  <printOptions horizontalCentered="1"/>
  <pageMargins left="0.35433070866141736" right="0.35433070866141736" top="0.4330708661417323" bottom="0.43307086614173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I42"/>
  <sheetViews>
    <sheetView showGridLines="0" workbookViewId="0" topLeftCell="N14">
      <selection activeCell="W33" sqref="W33"/>
    </sheetView>
  </sheetViews>
  <sheetFormatPr defaultColWidth="9.00390625" defaultRowHeight="12.75"/>
  <cols>
    <col min="1" max="1" width="31.00390625" style="44" customWidth="1"/>
    <col min="2" max="3" width="8.875" style="107" hidden="1" customWidth="1"/>
    <col min="4" max="4" width="2.625" style="44" customWidth="1"/>
    <col min="5" max="5" width="9.875" style="107" hidden="1" customWidth="1"/>
    <col min="6" max="6" width="9.375" style="107" hidden="1" customWidth="1"/>
    <col min="7" max="7" width="8.875" style="107" hidden="1" customWidth="1"/>
    <col min="8" max="8" width="9.875" style="107" customWidth="1"/>
    <col min="9" max="9" width="9.375" style="107" customWidth="1"/>
    <col min="10" max="10" width="9.875" style="107" customWidth="1"/>
    <col min="11" max="11" width="8.875" style="107" customWidth="1"/>
    <col min="12" max="12" width="9.375" style="107" customWidth="1"/>
    <col min="13" max="13" width="9.875" style="107" customWidth="1"/>
    <col min="14" max="14" width="8.875" style="107" customWidth="1"/>
    <col min="15" max="15" width="7.875" style="107" customWidth="1"/>
    <col min="16" max="18" width="9.125" style="44" customWidth="1"/>
    <col min="19" max="20" width="8.25390625" style="44" customWidth="1"/>
    <col min="21" max="21" width="31.00390625" style="48" customWidth="1"/>
    <col min="22" max="35" width="9.125" style="44" customWidth="1"/>
    <col min="36" max="16384" width="9.125" style="48" customWidth="1"/>
  </cols>
  <sheetData>
    <row r="1" spans="1:15" ht="0.75" customHeight="1">
      <c r="A1" s="147"/>
      <c r="B1" s="148"/>
      <c r="C1" s="148"/>
      <c r="E1" s="148"/>
      <c r="F1" s="148"/>
      <c r="G1" s="148"/>
      <c r="H1" s="148"/>
      <c r="K1" s="46"/>
      <c r="N1" s="46"/>
      <c r="O1" s="47"/>
    </row>
    <row r="2" spans="1:15" ht="15.75" customHeight="1" thickBot="1">
      <c r="A2" s="4" t="s">
        <v>49</v>
      </c>
      <c r="B2" s="148"/>
      <c r="C2" s="148"/>
      <c r="D2" s="4"/>
      <c r="E2" s="148"/>
      <c r="F2" s="148"/>
      <c r="G2" s="148"/>
      <c r="H2" s="148"/>
      <c r="K2" s="46"/>
      <c r="N2" s="46"/>
      <c r="O2" s="47"/>
    </row>
    <row r="3" spans="1:21" ht="15.75" customHeight="1" thickBot="1">
      <c r="A3" s="620" t="s">
        <v>0</v>
      </c>
      <c r="B3" s="207" t="s">
        <v>53</v>
      </c>
      <c r="C3" s="208"/>
      <c r="D3" s="614" t="s">
        <v>67</v>
      </c>
      <c r="E3" s="696" t="s">
        <v>53</v>
      </c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13"/>
    </row>
    <row r="4" spans="1:21" ht="23.25" customHeight="1">
      <c r="A4" s="693"/>
      <c r="B4" s="149" t="s">
        <v>54</v>
      </c>
      <c r="C4" s="50"/>
      <c r="D4" s="615"/>
      <c r="E4" s="681" t="s">
        <v>2</v>
      </c>
      <c r="F4" s="681" t="s">
        <v>2</v>
      </c>
      <c r="G4" s="50"/>
      <c r="H4" s="681" t="s">
        <v>48</v>
      </c>
      <c r="I4" s="623" t="s">
        <v>365</v>
      </c>
      <c r="J4" s="590"/>
      <c r="K4" s="624"/>
      <c r="L4" s="653" t="s">
        <v>46</v>
      </c>
      <c r="M4" s="654"/>
      <c r="N4" s="655"/>
      <c r="O4" s="225" t="s">
        <v>64</v>
      </c>
      <c r="P4" s="653" t="s">
        <v>44</v>
      </c>
      <c r="Q4" s="654"/>
      <c r="R4" s="655"/>
      <c r="S4" s="653" t="s">
        <v>45</v>
      </c>
      <c r="T4" s="695"/>
      <c r="U4" s="688" t="s">
        <v>65</v>
      </c>
    </row>
    <row r="5" spans="1:21" s="107" customFormat="1" ht="12" customHeight="1">
      <c r="A5" s="693"/>
      <c r="B5" s="150" t="s">
        <v>55</v>
      </c>
      <c r="C5" s="151" t="s">
        <v>5</v>
      </c>
      <c r="D5" s="615"/>
      <c r="E5" s="682"/>
      <c r="F5" s="682"/>
      <c r="G5" s="151" t="s">
        <v>5</v>
      </c>
      <c r="H5" s="682"/>
      <c r="I5" s="8" t="s">
        <v>4</v>
      </c>
      <c r="J5" s="6" t="s">
        <v>5</v>
      </c>
      <c r="K5" s="7" t="s">
        <v>6</v>
      </c>
      <c r="L5" s="8" t="s">
        <v>4</v>
      </c>
      <c r="M5" s="6" t="s">
        <v>5</v>
      </c>
      <c r="N5" s="7" t="s">
        <v>6</v>
      </c>
      <c r="O5" s="7" t="s">
        <v>7</v>
      </c>
      <c r="P5" s="8" t="s">
        <v>4</v>
      </c>
      <c r="Q5" s="6" t="s">
        <v>5</v>
      </c>
      <c r="R5" s="7" t="s">
        <v>6</v>
      </c>
      <c r="S5" s="9" t="s">
        <v>6</v>
      </c>
      <c r="T5" s="7" t="s">
        <v>7</v>
      </c>
      <c r="U5" s="689"/>
    </row>
    <row r="6" spans="1:21" s="107" customFormat="1" ht="10.5" customHeight="1" thickBot="1">
      <c r="A6" s="694"/>
      <c r="B6" s="152" t="s">
        <v>8</v>
      </c>
      <c r="C6" s="153" t="s">
        <v>8</v>
      </c>
      <c r="D6" s="616"/>
      <c r="E6" s="683"/>
      <c r="F6" s="683"/>
      <c r="G6" s="153" t="s">
        <v>8</v>
      </c>
      <c r="H6" s="683"/>
      <c r="I6" s="12" t="s">
        <v>8</v>
      </c>
      <c r="J6" s="10" t="s">
        <v>8</v>
      </c>
      <c r="K6" s="11"/>
      <c r="L6" s="12" t="s">
        <v>8</v>
      </c>
      <c r="M6" s="10" t="s">
        <v>8</v>
      </c>
      <c r="N6" s="11"/>
      <c r="O6" s="11" t="s">
        <v>10</v>
      </c>
      <c r="P6" s="12" t="s">
        <v>8</v>
      </c>
      <c r="Q6" s="10" t="s">
        <v>8</v>
      </c>
      <c r="R6" s="11"/>
      <c r="S6" s="13" t="s">
        <v>9</v>
      </c>
      <c r="T6" s="11" t="s">
        <v>10</v>
      </c>
      <c r="U6" s="690"/>
    </row>
    <row r="7" spans="1:21" ht="20.25" customHeight="1">
      <c r="A7" s="154" t="s">
        <v>11</v>
      </c>
      <c r="B7" s="62">
        <v>986</v>
      </c>
      <c r="C7" s="63">
        <v>0</v>
      </c>
      <c r="D7" s="250">
        <v>1</v>
      </c>
      <c r="E7" s="135">
        <f aca="true" t="shared" si="0" ref="E7:E15">SUM(B7:C7)</f>
        <v>986</v>
      </c>
      <c r="F7" s="155">
        <v>854.17</v>
      </c>
      <c r="G7" s="156"/>
      <c r="H7" s="157">
        <f aca="true" t="shared" si="1" ref="H7:H15">F7+G7</f>
        <v>854.17</v>
      </c>
      <c r="I7" s="155">
        <v>862</v>
      </c>
      <c r="J7" s="156">
        <v>0</v>
      </c>
      <c r="K7" s="157">
        <f aca="true" t="shared" si="2" ref="K7:K15">I7+J7</f>
        <v>862</v>
      </c>
      <c r="L7" s="155">
        <v>421</v>
      </c>
      <c r="M7" s="156">
        <v>0</v>
      </c>
      <c r="N7" s="157">
        <f>+L7+M7</f>
        <v>421</v>
      </c>
      <c r="O7" s="25">
        <f>+N7/K7</f>
        <v>0.48839907192575405</v>
      </c>
      <c r="P7" s="56">
        <v>829.7005714285715</v>
      </c>
      <c r="Q7" s="57">
        <v>0</v>
      </c>
      <c r="R7" s="58">
        <f>+P7+Q7</f>
        <v>829.7005714285715</v>
      </c>
      <c r="S7" s="19">
        <f>+R7-K7</f>
        <v>-32.29942857142851</v>
      </c>
      <c r="T7" s="25">
        <f>+R7/K7</f>
        <v>0.9625296652303613</v>
      </c>
      <c r="U7" s="424" t="s">
        <v>234</v>
      </c>
    </row>
    <row r="8" spans="1:21" ht="20.25" customHeight="1">
      <c r="A8" s="84" t="s">
        <v>12</v>
      </c>
      <c r="B8" s="65">
        <v>457589</v>
      </c>
      <c r="C8" s="66">
        <v>992</v>
      </c>
      <c r="D8" s="251">
        <v>2</v>
      </c>
      <c r="E8" s="127">
        <f t="shared" si="0"/>
        <v>458581</v>
      </c>
      <c r="F8" s="158">
        <v>479406.85</v>
      </c>
      <c r="G8" s="159">
        <v>973.76</v>
      </c>
      <c r="H8" s="160">
        <f t="shared" si="1"/>
        <v>480380.61</v>
      </c>
      <c r="I8" s="158">
        <v>490692</v>
      </c>
      <c r="J8" s="159">
        <v>970</v>
      </c>
      <c r="K8" s="160">
        <f t="shared" si="2"/>
        <v>491662</v>
      </c>
      <c r="L8" s="158">
        <v>255075</v>
      </c>
      <c r="M8" s="159">
        <v>546</v>
      </c>
      <c r="N8" s="157">
        <f aca="true" t="shared" si="3" ref="N8:N15">+L8+M8</f>
        <v>255621</v>
      </c>
      <c r="O8" s="25">
        <f>+N8/K8</f>
        <v>0.5199120534025408</v>
      </c>
      <c r="P8" s="65">
        <v>509154.21285714285</v>
      </c>
      <c r="Q8" s="66">
        <v>1055.5354285714286</v>
      </c>
      <c r="R8" s="58">
        <f aca="true" t="shared" si="4" ref="R8:R15">+P8+Q8</f>
        <v>510209.7482857143</v>
      </c>
      <c r="S8" s="19">
        <f aca="true" t="shared" si="5" ref="S8:S35">+R8-K8</f>
        <v>18547.748285714304</v>
      </c>
      <c r="T8" s="25">
        <f aca="true" t="shared" si="6" ref="T8:T14">+R8/K8</f>
        <v>1.0377245918653757</v>
      </c>
      <c r="U8" s="424"/>
    </row>
    <row r="9" spans="1:21" ht="20.25" customHeight="1">
      <c r="A9" s="84" t="s">
        <v>13</v>
      </c>
      <c r="B9" s="65">
        <v>33913</v>
      </c>
      <c r="C9" s="66">
        <v>3400</v>
      </c>
      <c r="D9" s="248">
        <v>3</v>
      </c>
      <c r="E9" s="127">
        <f t="shared" si="0"/>
        <v>37313</v>
      </c>
      <c r="F9" s="158">
        <v>39224.24</v>
      </c>
      <c r="G9" s="159">
        <v>72.85</v>
      </c>
      <c r="H9" s="160">
        <f t="shared" si="1"/>
        <v>39297.09</v>
      </c>
      <c r="I9" s="158">
        <v>39000</v>
      </c>
      <c r="J9" s="159">
        <v>100</v>
      </c>
      <c r="K9" s="160">
        <f t="shared" si="2"/>
        <v>39100</v>
      </c>
      <c r="L9" s="158">
        <v>20280</v>
      </c>
      <c r="M9" s="159">
        <v>766.28</v>
      </c>
      <c r="N9" s="157">
        <f t="shared" si="3"/>
        <v>21046.28</v>
      </c>
      <c r="O9" s="25">
        <f aca="true" t="shared" si="7" ref="O9:O35">+N9/K9</f>
        <v>0.5382680306905371</v>
      </c>
      <c r="P9" s="65">
        <v>41021.142857142855</v>
      </c>
      <c r="Q9" s="66">
        <v>1538.773</v>
      </c>
      <c r="R9" s="58">
        <f t="shared" si="4"/>
        <v>42559.915857142856</v>
      </c>
      <c r="S9" s="19">
        <f t="shared" si="5"/>
        <v>3459.915857142856</v>
      </c>
      <c r="T9" s="25">
        <f t="shared" si="6"/>
        <v>1.0884888966021191</v>
      </c>
      <c r="U9" s="424" t="s">
        <v>235</v>
      </c>
    </row>
    <row r="10" spans="1:21" ht="20.25" customHeight="1">
      <c r="A10" s="84" t="s">
        <v>14</v>
      </c>
      <c r="B10" s="65">
        <v>129.93</v>
      </c>
      <c r="C10" s="66"/>
      <c r="D10" s="251">
        <v>4</v>
      </c>
      <c r="E10" s="127">
        <f t="shared" si="0"/>
        <v>129.93</v>
      </c>
      <c r="F10" s="158">
        <v>141.37</v>
      </c>
      <c r="G10" s="159">
        <v>9.96</v>
      </c>
      <c r="H10" s="160">
        <f t="shared" si="1"/>
        <v>151.33</v>
      </c>
      <c r="I10" s="158">
        <v>145</v>
      </c>
      <c r="J10" s="159">
        <v>8</v>
      </c>
      <c r="K10" s="160">
        <f t="shared" si="2"/>
        <v>153</v>
      </c>
      <c r="L10" s="158">
        <v>172.01</v>
      </c>
      <c r="M10" s="159">
        <v>41.24</v>
      </c>
      <c r="N10" s="157">
        <f t="shared" si="3"/>
        <v>213.25</v>
      </c>
      <c r="O10" s="25">
        <f t="shared" si="7"/>
        <v>1.3937908496732025</v>
      </c>
      <c r="P10" s="65">
        <v>354.52457142857145</v>
      </c>
      <c r="Q10" s="66">
        <v>89.62457142857143</v>
      </c>
      <c r="R10" s="58">
        <f t="shared" si="4"/>
        <v>444.14914285714286</v>
      </c>
      <c r="S10" s="19">
        <f t="shared" si="5"/>
        <v>291.14914285714286</v>
      </c>
      <c r="T10" s="25">
        <f t="shared" si="6"/>
        <v>2.902935574229692</v>
      </c>
      <c r="U10" s="424" t="s">
        <v>233</v>
      </c>
    </row>
    <row r="11" spans="1:21" ht="20.25" customHeight="1">
      <c r="A11" s="84" t="s">
        <v>15</v>
      </c>
      <c r="B11" s="65">
        <f>71.72+209.23+558.74+635.18</f>
        <v>1474.87</v>
      </c>
      <c r="C11" s="66">
        <v>0</v>
      </c>
      <c r="D11" s="248">
        <v>5</v>
      </c>
      <c r="E11" s="127">
        <f t="shared" si="0"/>
        <v>1474.87</v>
      </c>
      <c r="F11" s="158">
        <f>2246.66+179.45+525.79+650.89</f>
        <v>3602.7899999999995</v>
      </c>
      <c r="G11" s="159"/>
      <c r="H11" s="160">
        <f t="shared" si="1"/>
        <v>3602.7899999999995</v>
      </c>
      <c r="I11" s="158">
        <v>3500</v>
      </c>
      <c r="J11" s="159">
        <v>0</v>
      </c>
      <c r="K11" s="160">
        <f t="shared" si="2"/>
        <v>3500</v>
      </c>
      <c r="L11" s="158">
        <f>1075.22+76.06+648.69+316.81</f>
        <v>2116.78</v>
      </c>
      <c r="M11" s="159">
        <v>2.45</v>
      </c>
      <c r="N11" s="157">
        <f t="shared" si="3"/>
        <v>2119.23</v>
      </c>
      <c r="O11" s="25">
        <f t="shared" si="7"/>
        <v>0.6054942857142858</v>
      </c>
      <c r="P11" s="65">
        <v>3783.4285714285716</v>
      </c>
      <c r="Q11" s="66">
        <v>6.629142857142856</v>
      </c>
      <c r="R11" s="58">
        <f t="shared" si="4"/>
        <v>3790.0577142857146</v>
      </c>
      <c r="S11" s="19">
        <f t="shared" si="5"/>
        <v>290.0577142857146</v>
      </c>
      <c r="T11" s="25">
        <f t="shared" si="6"/>
        <v>1.0828736326530612</v>
      </c>
      <c r="U11" s="424"/>
    </row>
    <row r="12" spans="1:21" ht="20.25" customHeight="1">
      <c r="A12" s="84" t="s">
        <v>16</v>
      </c>
      <c r="B12" s="65">
        <v>559</v>
      </c>
      <c r="C12" s="66">
        <v>0</v>
      </c>
      <c r="D12" s="251">
        <v>6</v>
      </c>
      <c r="E12" s="127">
        <f t="shared" si="0"/>
        <v>559</v>
      </c>
      <c r="F12" s="158">
        <v>525.79</v>
      </c>
      <c r="G12" s="159"/>
      <c r="H12" s="160">
        <f t="shared" si="1"/>
        <v>525.79</v>
      </c>
      <c r="I12" s="158">
        <v>500</v>
      </c>
      <c r="J12" s="159">
        <v>0</v>
      </c>
      <c r="K12" s="160">
        <f t="shared" si="2"/>
        <v>500</v>
      </c>
      <c r="L12" s="158">
        <v>648.69</v>
      </c>
      <c r="M12" s="159">
        <v>0</v>
      </c>
      <c r="N12" s="157">
        <f t="shared" si="3"/>
        <v>648.69</v>
      </c>
      <c r="O12" s="25">
        <f t="shared" si="7"/>
        <v>1.2973800000000002</v>
      </c>
      <c r="P12" s="65">
        <v>1236</v>
      </c>
      <c r="Q12" s="66">
        <v>0</v>
      </c>
      <c r="R12" s="58">
        <f t="shared" si="4"/>
        <v>1236</v>
      </c>
      <c r="S12" s="19">
        <f t="shared" si="5"/>
        <v>736</v>
      </c>
      <c r="T12" s="25">
        <f t="shared" si="6"/>
        <v>2.472</v>
      </c>
      <c r="U12" s="424" t="s">
        <v>236</v>
      </c>
    </row>
    <row r="13" spans="1:21" ht="20.25" customHeight="1">
      <c r="A13" s="84" t="s">
        <v>17</v>
      </c>
      <c r="B13" s="65">
        <v>0</v>
      </c>
      <c r="C13" s="66"/>
      <c r="D13" s="248">
        <v>7</v>
      </c>
      <c r="E13" s="127">
        <f t="shared" si="0"/>
        <v>0</v>
      </c>
      <c r="F13" s="158">
        <v>0</v>
      </c>
      <c r="G13" s="159"/>
      <c r="H13" s="160">
        <f t="shared" si="1"/>
        <v>0</v>
      </c>
      <c r="I13" s="158">
        <v>0</v>
      </c>
      <c r="J13" s="159">
        <v>0</v>
      </c>
      <c r="K13" s="160">
        <f t="shared" si="2"/>
        <v>0</v>
      </c>
      <c r="L13" s="158">
        <v>0</v>
      </c>
      <c r="M13" s="159">
        <v>0</v>
      </c>
      <c r="N13" s="157">
        <f t="shared" si="3"/>
        <v>0</v>
      </c>
      <c r="O13" s="25" t="e">
        <f t="shared" si="7"/>
        <v>#DIV/0!</v>
      </c>
      <c r="P13" s="65">
        <v>0</v>
      </c>
      <c r="Q13" s="66">
        <v>0</v>
      </c>
      <c r="R13" s="58">
        <f t="shared" si="4"/>
        <v>0</v>
      </c>
      <c r="S13" s="19">
        <f t="shared" si="5"/>
        <v>0</v>
      </c>
      <c r="T13" s="25" t="e">
        <f t="shared" si="6"/>
        <v>#DIV/0!</v>
      </c>
      <c r="U13" s="424"/>
    </row>
    <row r="14" spans="1:21" ht="20.25" customHeight="1">
      <c r="A14" s="84" t="s">
        <v>18</v>
      </c>
      <c r="B14" s="65">
        <v>0</v>
      </c>
      <c r="C14" s="66"/>
      <c r="D14" s="248">
        <v>8</v>
      </c>
      <c r="E14" s="127">
        <f t="shared" si="0"/>
        <v>0</v>
      </c>
      <c r="F14" s="158">
        <v>0</v>
      </c>
      <c r="G14" s="159"/>
      <c r="H14" s="160">
        <f t="shared" si="1"/>
        <v>0</v>
      </c>
      <c r="I14" s="158">
        <v>0</v>
      </c>
      <c r="J14" s="159">
        <v>0</v>
      </c>
      <c r="K14" s="160">
        <f t="shared" si="2"/>
        <v>0</v>
      </c>
      <c r="L14" s="158">
        <v>0</v>
      </c>
      <c r="M14" s="159">
        <v>0</v>
      </c>
      <c r="N14" s="157">
        <f t="shared" si="3"/>
        <v>0</v>
      </c>
      <c r="O14" s="25" t="e">
        <f t="shared" si="7"/>
        <v>#DIV/0!</v>
      </c>
      <c r="P14" s="65">
        <v>0</v>
      </c>
      <c r="Q14" s="66">
        <v>0</v>
      </c>
      <c r="R14" s="58">
        <f t="shared" si="4"/>
        <v>0</v>
      </c>
      <c r="S14" s="19">
        <f t="shared" si="5"/>
        <v>0</v>
      </c>
      <c r="T14" s="25" t="e">
        <f t="shared" si="6"/>
        <v>#DIV/0!</v>
      </c>
      <c r="U14" s="424"/>
    </row>
    <row r="15" spans="1:21" ht="20.25" customHeight="1" thickBot="1">
      <c r="A15" s="161" t="s">
        <v>19</v>
      </c>
      <c r="B15" s="74">
        <v>3786</v>
      </c>
      <c r="C15" s="75">
        <v>0</v>
      </c>
      <c r="D15" s="251">
        <v>9</v>
      </c>
      <c r="E15" s="129">
        <f t="shared" si="0"/>
        <v>3786</v>
      </c>
      <c r="F15" s="162">
        <v>1722.86</v>
      </c>
      <c r="G15" s="163"/>
      <c r="H15" s="164">
        <f t="shared" si="1"/>
        <v>1722.86</v>
      </c>
      <c r="I15" s="162">
        <v>1457</v>
      </c>
      <c r="J15" s="163">
        <v>0</v>
      </c>
      <c r="K15" s="164">
        <f t="shared" si="2"/>
        <v>1457</v>
      </c>
      <c r="L15" s="162">
        <v>826</v>
      </c>
      <c r="M15" s="163">
        <v>0</v>
      </c>
      <c r="N15" s="157">
        <f t="shared" si="3"/>
        <v>826</v>
      </c>
      <c r="O15" s="224">
        <f t="shared" si="7"/>
        <v>0.5669183253260124</v>
      </c>
      <c r="P15" s="74">
        <v>1981.7</v>
      </c>
      <c r="Q15" s="130">
        <v>0</v>
      </c>
      <c r="R15" s="58">
        <f t="shared" si="4"/>
        <v>1981.7</v>
      </c>
      <c r="S15" s="19">
        <f t="shared" si="5"/>
        <v>524.7</v>
      </c>
      <c r="T15" s="25">
        <f aca="true" t="shared" si="8" ref="T15:T20">+R15/K15</f>
        <v>1.3601235415236788</v>
      </c>
      <c r="U15" s="425" t="s">
        <v>237</v>
      </c>
    </row>
    <row r="16" spans="1:21" ht="20.25" customHeight="1" thickBot="1">
      <c r="A16" s="165" t="s">
        <v>20</v>
      </c>
      <c r="B16" s="78">
        <f>SUM(B7+B8+B9+B10+B11+B13+B15)</f>
        <v>497878.8</v>
      </c>
      <c r="C16" s="91">
        <f>SUM(C7+C8+C9+C10+C11+C13+C15)</f>
        <v>4392</v>
      </c>
      <c r="D16" s="247">
        <v>10</v>
      </c>
      <c r="E16" s="116">
        <f>SUM(E7+E8+E9+E10+E11+E13+E15)</f>
        <v>502270.8</v>
      </c>
      <c r="F16" s="166">
        <f>SUM(F7+F8+F9+F10+F11+F13+F15)</f>
        <v>524952.2799999999</v>
      </c>
      <c r="G16" s="167">
        <f>SUM(G7+G8+G9+G10+G11+G13+G15)</f>
        <v>1056.57</v>
      </c>
      <c r="H16" s="168">
        <f>SUM(H7+H8+H9+H10+H11+H13+H15)</f>
        <v>526008.85</v>
      </c>
      <c r="I16" s="166">
        <f aca="true" t="shared" si="9" ref="I16:N16">SUM(I7+I8+I9+I10+I11+I13+I15)</f>
        <v>535656</v>
      </c>
      <c r="J16" s="167">
        <f t="shared" si="9"/>
        <v>1078</v>
      </c>
      <c r="K16" s="168">
        <f t="shared" si="9"/>
        <v>536734</v>
      </c>
      <c r="L16" s="40">
        <f t="shared" si="9"/>
        <v>278890.79000000004</v>
      </c>
      <c r="M16" s="31">
        <f t="shared" si="9"/>
        <v>1355.97</v>
      </c>
      <c r="N16" s="43">
        <f t="shared" si="9"/>
        <v>280246.76</v>
      </c>
      <c r="O16" s="213">
        <f t="shared" si="7"/>
        <v>0.5221334217694427</v>
      </c>
      <c r="P16" s="78">
        <f>SUM(P7+P8+P9+P10+P11+P13+P15)</f>
        <v>557124.7094285713</v>
      </c>
      <c r="Q16" s="91">
        <f>SUM(Q7+Q8+Q9+Q10+Q11+Q13+Q15)</f>
        <v>2690.562142857143</v>
      </c>
      <c r="R16" s="80">
        <f>SUM(R7+R8+R9+R10+R11+R13+R15)</f>
        <v>559815.2715714285</v>
      </c>
      <c r="S16" s="214">
        <f t="shared" si="5"/>
        <v>23081.271571428515</v>
      </c>
      <c r="T16" s="213">
        <f t="shared" si="8"/>
        <v>1.0430031851371975</v>
      </c>
      <c r="U16" s="242"/>
    </row>
    <row r="17" spans="1:35" s="59" customFormat="1" ht="20.25" customHeight="1">
      <c r="A17" s="154" t="s">
        <v>21</v>
      </c>
      <c r="B17" s="56">
        <v>108885.82</v>
      </c>
      <c r="C17" s="57">
        <v>92.8</v>
      </c>
      <c r="D17" s="250">
        <v>11</v>
      </c>
      <c r="E17" s="135">
        <f aca="true" t="shared" si="10" ref="E17:E34">SUM(B17:C17)</f>
        <v>108978.62000000001</v>
      </c>
      <c r="F17" s="169">
        <v>117213.03</v>
      </c>
      <c r="G17" s="170">
        <v>116.15</v>
      </c>
      <c r="H17" s="157">
        <f aca="true" t="shared" si="11" ref="H17:H26">F17+G17</f>
        <v>117329.18</v>
      </c>
      <c r="I17" s="169">
        <v>110000</v>
      </c>
      <c r="J17" s="170">
        <v>100</v>
      </c>
      <c r="K17" s="157">
        <f aca="true" t="shared" si="12" ref="K17:K34">I17+J17</f>
        <v>110100</v>
      </c>
      <c r="L17" s="169">
        <v>57641.03</v>
      </c>
      <c r="M17" s="170">
        <v>156.37</v>
      </c>
      <c r="N17" s="157">
        <f>+L17+M17</f>
        <v>57797.4</v>
      </c>
      <c r="O17" s="20">
        <f t="shared" si="7"/>
        <v>0.5249536784741144</v>
      </c>
      <c r="P17" s="53">
        <v>115721.314</v>
      </c>
      <c r="Q17" s="54">
        <v>288.811</v>
      </c>
      <c r="R17" s="55">
        <f aca="true" t="shared" si="13" ref="R17:R34">+P17+Q17</f>
        <v>116010.125</v>
      </c>
      <c r="S17" s="19">
        <f t="shared" si="5"/>
        <v>5910.125</v>
      </c>
      <c r="T17" s="20">
        <f t="shared" si="8"/>
        <v>1.0536796094459582</v>
      </c>
      <c r="U17" s="426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</row>
    <row r="18" spans="1:21" ht="20.25" customHeight="1">
      <c r="A18" s="84" t="s">
        <v>22</v>
      </c>
      <c r="B18" s="65">
        <v>3509</v>
      </c>
      <c r="C18" s="66">
        <v>4</v>
      </c>
      <c r="D18" s="248">
        <v>12</v>
      </c>
      <c r="E18" s="135">
        <f t="shared" si="10"/>
        <v>3513</v>
      </c>
      <c r="F18" s="158">
        <v>9679</v>
      </c>
      <c r="G18" s="159">
        <v>37</v>
      </c>
      <c r="H18" s="157">
        <f t="shared" si="11"/>
        <v>9716</v>
      </c>
      <c r="I18" s="158">
        <v>4500</v>
      </c>
      <c r="J18" s="159">
        <v>45</v>
      </c>
      <c r="K18" s="157">
        <f t="shared" si="12"/>
        <v>4545</v>
      </c>
      <c r="L18" s="158">
        <v>1483.1270000000002</v>
      </c>
      <c r="M18" s="159">
        <v>81.924</v>
      </c>
      <c r="N18" s="157">
        <f aca="true" t="shared" si="14" ref="N18:N34">+L18+M18</f>
        <v>1565.0510000000002</v>
      </c>
      <c r="O18" s="25">
        <f t="shared" si="7"/>
        <v>0.34434565456545657</v>
      </c>
      <c r="P18" s="56">
        <v>2721.286</v>
      </c>
      <c r="Q18" s="57">
        <v>140.441</v>
      </c>
      <c r="R18" s="114">
        <f t="shared" si="13"/>
        <v>2861.727</v>
      </c>
      <c r="S18" s="19">
        <f t="shared" si="5"/>
        <v>-1683.2730000000001</v>
      </c>
      <c r="T18" s="20">
        <f t="shared" si="8"/>
        <v>0.629642904290429</v>
      </c>
      <c r="U18" s="424"/>
    </row>
    <row r="19" spans="1:21" ht="20.25" customHeight="1">
      <c r="A19" s="84" t="s">
        <v>23</v>
      </c>
      <c r="B19" s="65">
        <v>18584.04</v>
      </c>
      <c r="C19" s="66">
        <v>9.98</v>
      </c>
      <c r="D19" s="250">
        <v>13</v>
      </c>
      <c r="E19" s="135">
        <f t="shared" si="10"/>
        <v>18594.02</v>
      </c>
      <c r="F19" s="158">
        <v>19319.53</v>
      </c>
      <c r="G19" s="159">
        <v>17.35</v>
      </c>
      <c r="H19" s="157">
        <f t="shared" si="11"/>
        <v>19336.879999999997</v>
      </c>
      <c r="I19" s="158">
        <v>22500</v>
      </c>
      <c r="J19" s="159">
        <v>20</v>
      </c>
      <c r="K19" s="157">
        <f t="shared" si="12"/>
        <v>22520</v>
      </c>
      <c r="L19" s="158">
        <v>12926.43</v>
      </c>
      <c r="M19" s="159">
        <v>16.38</v>
      </c>
      <c r="N19" s="157">
        <f t="shared" si="14"/>
        <v>12942.81</v>
      </c>
      <c r="O19" s="25">
        <f t="shared" si="7"/>
        <v>0.57472513321492</v>
      </c>
      <c r="P19" s="65">
        <v>25066.847</v>
      </c>
      <c r="Q19" s="66">
        <v>15</v>
      </c>
      <c r="R19" s="114">
        <f t="shared" si="13"/>
        <v>25081.847</v>
      </c>
      <c r="S19" s="19">
        <f t="shared" si="5"/>
        <v>2561.8470000000016</v>
      </c>
      <c r="T19" s="20">
        <f t="shared" si="8"/>
        <v>1.1137587477797515</v>
      </c>
      <c r="U19" s="424"/>
    </row>
    <row r="20" spans="1:21" ht="20.25" customHeight="1">
      <c r="A20" s="84" t="s">
        <v>24</v>
      </c>
      <c r="B20" s="65">
        <v>0</v>
      </c>
      <c r="C20" s="66">
        <v>0</v>
      </c>
      <c r="D20" s="251">
        <v>14</v>
      </c>
      <c r="E20" s="135">
        <f t="shared" si="10"/>
        <v>0</v>
      </c>
      <c r="F20" s="158">
        <v>0</v>
      </c>
      <c r="G20" s="159">
        <v>0</v>
      </c>
      <c r="H20" s="157">
        <f t="shared" si="11"/>
        <v>0</v>
      </c>
      <c r="I20" s="158">
        <v>0</v>
      </c>
      <c r="J20" s="159">
        <v>0</v>
      </c>
      <c r="K20" s="157">
        <f t="shared" si="12"/>
        <v>0</v>
      </c>
      <c r="L20" s="158">
        <v>0</v>
      </c>
      <c r="M20" s="159">
        <v>0</v>
      </c>
      <c r="N20" s="157">
        <f t="shared" si="14"/>
        <v>0</v>
      </c>
      <c r="O20" s="25" t="e">
        <f t="shared" si="7"/>
        <v>#DIV/0!</v>
      </c>
      <c r="P20" s="65">
        <v>0</v>
      </c>
      <c r="Q20" s="66">
        <v>0</v>
      </c>
      <c r="R20" s="114">
        <f t="shared" si="13"/>
        <v>0</v>
      </c>
      <c r="S20" s="19">
        <f t="shared" si="5"/>
        <v>0</v>
      </c>
      <c r="T20" s="20" t="e">
        <f t="shared" si="8"/>
        <v>#DIV/0!</v>
      </c>
      <c r="U20" s="424"/>
    </row>
    <row r="21" spans="1:21" ht="20.25" customHeight="1">
      <c r="A21" s="84" t="s">
        <v>25</v>
      </c>
      <c r="B21" s="65">
        <v>28223.25</v>
      </c>
      <c r="C21" s="66">
        <v>2842.12</v>
      </c>
      <c r="D21" s="248">
        <v>15</v>
      </c>
      <c r="E21" s="135">
        <f t="shared" si="10"/>
        <v>31065.37</v>
      </c>
      <c r="F21" s="158">
        <v>32998.41</v>
      </c>
      <c r="G21" s="159">
        <v>66.84</v>
      </c>
      <c r="H21" s="157">
        <f t="shared" si="11"/>
        <v>33065.25</v>
      </c>
      <c r="I21" s="158">
        <v>33000</v>
      </c>
      <c r="J21" s="159">
        <v>92</v>
      </c>
      <c r="K21" s="157">
        <f t="shared" si="12"/>
        <v>33092</v>
      </c>
      <c r="L21" s="158">
        <v>16803.1</v>
      </c>
      <c r="M21" s="159">
        <v>648.31</v>
      </c>
      <c r="N21" s="157">
        <f t="shared" si="14"/>
        <v>17451.41</v>
      </c>
      <c r="O21" s="25">
        <f t="shared" si="7"/>
        <v>0.5273603892179378</v>
      </c>
      <c r="P21" s="65">
        <v>34065.259</v>
      </c>
      <c r="Q21" s="66">
        <v>1286.838</v>
      </c>
      <c r="R21" s="114">
        <f t="shared" si="13"/>
        <v>35352.097</v>
      </c>
      <c r="S21" s="19">
        <f t="shared" si="5"/>
        <v>2260.0970000000016</v>
      </c>
      <c r="T21" s="20">
        <f aca="true" t="shared" si="15" ref="T21:T34">+R21/K21</f>
        <v>1.068297383053306</v>
      </c>
      <c r="U21" s="424"/>
    </row>
    <row r="22" spans="1:21" ht="20.25" customHeight="1">
      <c r="A22" s="84" t="s">
        <v>26</v>
      </c>
      <c r="B22" s="65">
        <f>11840.14+476.51+66.52+59215.32</f>
        <v>71598.49</v>
      </c>
      <c r="C22" s="66">
        <f>145.92+14.89</f>
        <v>160.81</v>
      </c>
      <c r="D22" s="251">
        <v>16</v>
      </c>
      <c r="E22" s="135">
        <f t="shared" si="10"/>
        <v>71759.3</v>
      </c>
      <c r="F22" s="158">
        <f>12048.67+489.34+29.77+66109.21</f>
        <v>78676.99</v>
      </c>
      <c r="G22" s="159">
        <f>11.56+79.2</f>
        <v>90.76</v>
      </c>
      <c r="H22" s="157">
        <f t="shared" si="11"/>
        <v>78767.75</v>
      </c>
      <c r="I22" s="158">
        <v>78820</v>
      </c>
      <c r="J22" s="159">
        <v>80</v>
      </c>
      <c r="K22" s="157">
        <f t="shared" si="12"/>
        <v>78900</v>
      </c>
      <c r="L22" s="158">
        <f>6566.31+330.03+18.24+31530.84</f>
        <v>38445.42</v>
      </c>
      <c r="M22" s="159">
        <f>5.53+46.54</f>
        <v>52.07</v>
      </c>
      <c r="N22" s="157">
        <f t="shared" si="14"/>
        <v>38497.49</v>
      </c>
      <c r="O22" s="25">
        <f t="shared" si="7"/>
        <v>0.4879276299112801</v>
      </c>
      <c r="P22" s="65">
        <v>80991.38100000002</v>
      </c>
      <c r="Q22" s="66">
        <v>137.046</v>
      </c>
      <c r="R22" s="114">
        <f t="shared" si="13"/>
        <v>81128.42700000003</v>
      </c>
      <c r="S22" s="19">
        <f t="shared" si="5"/>
        <v>2228.427000000025</v>
      </c>
      <c r="T22" s="20">
        <f t="shared" si="15"/>
        <v>1.028243688212928</v>
      </c>
      <c r="U22" s="424" t="s">
        <v>238</v>
      </c>
    </row>
    <row r="23" spans="1:21" ht="20.25" customHeight="1">
      <c r="A23" s="84" t="s">
        <v>27</v>
      </c>
      <c r="B23" s="69">
        <v>11840</v>
      </c>
      <c r="C23" s="66">
        <v>15</v>
      </c>
      <c r="D23" s="248">
        <v>17</v>
      </c>
      <c r="E23" s="135">
        <f t="shared" si="10"/>
        <v>11855</v>
      </c>
      <c r="F23" s="171">
        <v>12048.67</v>
      </c>
      <c r="G23" s="159">
        <v>11.56</v>
      </c>
      <c r="H23" s="157">
        <f t="shared" si="11"/>
        <v>12060.23</v>
      </c>
      <c r="I23" s="171">
        <v>12100</v>
      </c>
      <c r="J23" s="159">
        <v>0</v>
      </c>
      <c r="K23" s="157">
        <f t="shared" si="12"/>
        <v>12100</v>
      </c>
      <c r="L23" s="171">
        <v>6566.31</v>
      </c>
      <c r="M23" s="159">
        <v>5.53</v>
      </c>
      <c r="N23" s="157">
        <f t="shared" si="14"/>
        <v>6571.84</v>
      </c>
      <c r="O23" s="25">
        <f t="shared" si="7"/>
        <v>0.5431272727272728</v>
      </c>
      <c r="P23" s="65">
        <v>14840</v>
      </c>
      <c r="Q23" s="66">
        <v>9.475</v>
      </c>
      <c r="R23" s="114">
        <f t="shared" si="13"/>
        <v>14849.475</v>
      </c>
      <c r="S23" s="19">
        <f t="shared" si="5"/>
        <v>2749.4750000000004</v>
      </c>
      <c r="T23" s="20">
        <f t="shared" si="15"/>
        <v>1.2272293388429751</v>
      </c>
      <c r="U23" s="424"/>
    </row>
    <row r="24" spans="1:21" ht="20.25" customHeight="1">
      <c r="A24" s="84" t="s">
        <v>28</v>
      </c>
      <c r="B24" s="69">
        <v>59215</v>
      </c>
      <c r="C24" s="66">
        <v>146</v>
      </c>
      <c r="D24" s="248">
        <v>18</v>
      </c>
      <c r="E24" s="135">
        <f t="shared" si="10"/>
        <v>59361</v>
      </c>
      <c r="F24" s="171">
        <v>66109.21</v>
      </c>
      <c r="G24" s="159">
        <v>79.2</v>
      </c>
      <c r="H24" s="157">
        <f t="shared" si="11"/>
        <v>66188.41</v>
      </c>
      <c r="I24" s="171">
        <v>66200</v>
      </c>
      <c r="J24" s="159">
        <v>80</v>
      </c>
      <c r="K24" s="157">
        <f t="shared" si="12"/>
        <v>66280</v>
      </c>
      <c r="L24" s="171">
        <v>31530.84</v>
      </c>
      <c r="M24" s="159">
        <v>46.54</v>
      </c>
      <c r="N24" s="157">
        <f t="shared" si="14"/>
        <v>31577.38</v>
      </c>
      <c r="O24" s="25">
        <f t="shared" si="7"/>
        <v>0.4764239589619795</v>
      </c>
      <c r="P24" s="65">
        <v>65522.374</v>
      </c>
      <c r="Q24" s="66">
        <v>127.571</v>
      </c>
      <c r="R24" s="114">
        <f t="shared" si="13"/>
        <v>65649.945</v>
      </c>
      <c r="S24" s="19">
        <f t="shared" si="5"/>
        <v>-630.054999999993</v>
      </c>
      <c r="T24" s="20">
        <f t="shared" si="15"/>
        <v>0.9904940404345203</v>
      </c>
      <c r="U24" s="424" t="s">
        <v>232</v>
      </c>
    </row>
    <row r="25" spans="1:21" ht="20.25" customHeight="1">
      <c r="A25" s="146" t="s">
        <v>29</v>
      </c>
      <c r="B25" s="65">
        <f>191157.96+66850.57+3804.31+22.33</f>
        <v>261835.16999999998</v>
      </c>
      <c r="C25" s="66">
        <f>93.52+32.89+1.88</f>
        <v>128.29</v>
      </c>
      <c r="D25" s="250">
        <v>19</v>
      </c>
      <c r="E25" s="135">
        <f t="shared" si="10"/>
        <v>261963.46</v>
      </c>
      <c r="F25" s="158">
        <f>198539.36+69438.55+4307.11+16.22</f>
        <v>272301.23999999993</v>
      </c>
      <c r="G25" s="159">
        <f>84.66+29.63+1.69</f>
        <v>115.97999999999999</v>
      </c>
      <c r="H25" s="157">
        <f t="shared" si="11"/>
        <v>272417.2199999999</v>
      </c>
      <c r="I25" s="158">
        <v>302168.99337</v>
      </c>
      <c r="J25" s="159">
        <v>137.56363636363636</v>
      </c>
      <c r="K25" s="157">
        <f t="shared" si="12"/>
        <v>302306.55700636364</v>
      </c>
      <c r="L25" s="158">
        <f>105707.3+37932.32+2156.14+14.26</f>
        <v>145810.02000000002</v>
      </c>
      <c r="M25" s="159">
        <f>133.92+46.88+3.39</f>
        <v>184.18999999999997</v>
      </c>
      <c r="N25" s="157">
        <f t="shared" si="14"/>
        <v>145994.21000000002</v>
      </c>
      <c r="O25" s="25">
        <f t="shared" si="7"/>
        <v>0.4829343149077868</v>
      </c>
      <c r="P25" s="65">
        <v>302168.99337</v>
      </c>
      <c r="Q25" s="66">
        <v>137.56363636363636</v>
      </c>
      <c r="R25" s="114">
        <f t="shared" si="13"/>
        <v>302306.55700636364</v>
      </c>
      <c r="S25" s="19">
        <f t="shared" si="5"/>
        <v>0</v>
      </c>
      <c r="T25" s="20">
        <f t="shared" si="15"/>
        <v>1</v>
      </c>
      <c r="U25" s="424"/>
    </row>
    <row r="26" spans="1:21" ht="20.25" customHeight="1">
      <c r="A26" s="84" t="s">
        <v>30</v>
      </c>
      <c r="B26" s="69">
        <v>191158</v>
      </c>
      <c r="C26" s="70">
        <v>94</v>
      </c>
      <c r="D26" s="248">
        <v>20</v>
      </c>
      <c r="E26" s="135">
        <f t="shared" si="10"/>
        <v>191252</v>
      </c>
      <c r="F26" s="171">
        <v>198539.36</v>
      </c>
      <c r="G26" s="172">
        <v>84.66</v>
      </c>
      <c r="H26" s="157">
        <f t="shared" si="11"/>
        <v>198624.02</v>
      </c>
      <c r="I26" s="171">
        <v>219923.66</v>
      </c>
      <c r="J26" s="172">
        <v>100.35927272727272</v>
      </c>
      <c r="K26" s="157">
        <f t="shared" si="12"/>
        <v>220024.01927272728</v>
      </c>
      <c r="L26" s="171">
        <v>105707.3</v>
      </c>
      <c r="M26" s="172">
        <v>133.92</v>
      </c>
      <c r="N26" s="157">
        <f t="shared" si="14"/>
        <v>105841.22</v>
      </c>
      <c r="O26" s="25">
        <f t="shared" si="7"/>
        <v>0.4810439348842464</v>
      </c>
      <c r="P26" s="65">
        <v>219923.66</v>
      </c>
      <c r="Q26" s="70">
        <v>100.35927272727272</v>
      </c>
      <c r="R26" s="114">
        <f t="shared" si="13"/>
        <v>220024.01927272728</v>
      </c>
      <c r="S26" s="19">
        <f t="shared" si="5"/>
        <v>0</v>
      </c>
      <c r="T26" s="20">
        <f t="shared" si="15"/>
        <v>1</v>
      </c>
      <c r="U26" s="424"/>
    </row>
    <row r="27" spans="1:21" ht="20.25" customHeight="1">
      <c r="A27" s="146" t="s">
        <v>31</v>
      </c>
      <c r="B27" s="65">
        <v>189780</v>
      </c>
      <c r="C27" s="66"/>
      <c r="D27" s="250">
        <v>21</v>
      </c>
      <c r="E27" s="135">
        <f t="shared" si="10"/>
        <v>189780</v>
      </c>
      <c r="F27" s="158">
        <v>197208.452</v>
      </c>
      <c r="G27" s="159">
        <v>84.659</v>
      </c>
      <c r="H27" s="157">
        <v>197075</v>
      </c>
      <c r="I27" s="158">
        <v>218368.23799999998</v>
      </c>
      <c r="J27" s="159">
        <v>100.35927272727272</v>
      </c>
      <c r="K27" s="157">
        <f t="shared" si="12"/>
        <v>218468.59727272726</v>
      </c>
      <c r="L27" s="158">
        <v>104603.303</v>
      </c>
      <c r="M27" s="159">
        <v>133.92</v>
      </c>
      <c r="N27" s="157">
        <f t="shared" si="14"/>
        <v>104737.223</v>
      </c>
      <c r="O27" s="25">
        <f t="shared" si="7"/>
        <v>0.47941545973882155</v>
      </c>
      <c r="P27" s="65">
        <v>218368.23799999998</v>
      </c>
      <c r="Q27" s="66">
        <v>100.35927272727272</v>
      </c>
      <c r="R27" s="114">
        <f t="shared" si="13"/>
        <v>218468.59727272726</v>
      </c>
      <c r="S27" s="19">
        <f t="shared" si="5"/>
        <v>0</v>
      </c>
      <c r="T27" s="20">
        <f t="shared" si="15"/>
        <v>1</v>
      </c>
      <c r="U27" s="424"/>
    </row>
    <row r="28" spans="1:21" ht="20.25" customHeight="1">
      <c r="A28" s="84" t="s">
        <v>32</v>
      </c>
      <c r="B28" s="65">
        <v>1378</v>
      </c>
      <c r="C28" s="66"/>
      <c r="D28" s="251">
        <v>22</v>
      </c>
      <c r="E28" s="135">
        <f t="shared" si="10"/>
        <v>1378</v>
      </c>
      <c r="F28" s="158">
        <v>1330.5480000000098</v>
      </c>
      <c r="G28" s="159">
        <v>0</v>
      </c>
      <c r="H28" s="157">
        <v>1549</v>
      </c>
      <c r="I28" s="158">
        <v>1555.422</v>
      </c>
      <c r="J28" s="159">
        <v>0</v>
      </c>
      <c r="K28" s="157">
        <f t="shared" si="12"/>
        <v>1555.422</v>
      </c>
      <c r="L28" s="158">
        <v>1103.997</v>
      </c>
      <c r="M28" s="159">
        <v>0</v>
      </c>
      <c r="N28" s="157">
        <f t="shared" si="14"/>
        <v>1103.997</v>
      </c>
      <c r="O28" s="25">
        <f t="shared" si="7"/>
        <v>0.7097732962501495</v>
      </c>
      <c r="P28" s="65">
        <v>1555.422</v>
      </c>
      <c r="Q28" s="66">
        <v>0</v>
      </c>
      <c r="R28" s="114">
        <f t="shared" si="13"/>
        <v>1555.422</v>
      </c>
      <c r="S28" s="19">
        <f t="shared" si="5"/>
        <v>0</v>
      </c>
      <c r="T28" s="20">
        <f t="shared" si="15"/>
        <v>1</v>
      </c>
      <c r="U28" s="424"/>
    </row>
    <row r="29" spans="1:21" ht="20.25" customHeight="1">
      <c r="A29" s="84" t="s">
        <v>33</v>
      </c>
      <c r="B29" s="65">
        <f>66850.57+3804.31+22.33</f>
        <v>70677.21</v>
      </c>
      <c r="C29" s="66">
        <f>32.89+1.88</f>
        <v>34.77</v>
      </c>
      <c r="D29" s="248">
        <v>23</v>
      </c>
      <c r="E29" s="135">
        <f t="shared" si="10"/>
        <v>70711.98000000001</v>
      </c>
      <c r="F29" s="158">
        <v>73761.88</v>
      </c>
      <c r="G29" s="159">
        <v>31</v>
      </c>
      <c r="H29" s="157">
        <v>73792.88</v>
      </c>
      <c r="I29" s="158">
        <v>82245.33337000001</v>
      </c>
      <c r="J29" s="159">
        <v>37.20436363636364</v>
      </c>
      <c r="K29" s="157">
        <f t="shared" si="12"/>
        <v>82282.53773363637</v>
      </c>
      <c r="L29" s="158">
        <f>37932.32+2156.14+14.26</f>
        <v>40102.72</v>
      </c>
      <c r="M29" s="159">
        <f>46.88+3.39</f>
        <v>50.27</v>
      </c>
      <c r="N29" s="157">
        <f t="shared" si="14"/>
        <v>40152.99</v>
      </c>
      <c r="O29" s="25">
        <f t="shared" si="7"/>
        <v>0.4879892028850954</v>
      </c>
      <c r="P29" s="65">
        <v>82245.33337000001</v>
      </c>
      <c r="Q29" s="66">
        <v>37.20436363636364</v>
      </c>
      <c r="R29" s="114">
        <f t="shared" si="13"/>
        <v>82282.53773363637</v>
      </c>
      <c r="S29" s="19">
        <f t="shared" si="5"/>
        <v>0</v>
      </c>
      <c r="T29" s="20">
        <f t="shared" si="15"/>
        <v>1</v>
      </c>
      <c r="U29" s="424"/>
    </row>
    <row r="30" spans="1:21" ht="20.25" customHeight="1">
      <c r="A30" s="146" t="s">
        <v>34</v>
      </c>
      <c r="B30" s="65">
        <v>0.89</v>
      </c>
      <c r="C30" s="66">
        <v>0</v>
      </c>
      <c r="D30" s="248">
        <v>24</v>
      </c>
      <c r="E30" s="135">
        <f t="shared" si="10"/>
        <v>0.89</v>
      </c>
      <c r="F30" s="158">
        <v>0.77</v>
      </c>
      <c r="G30" s="159"/>
      <c r="H30" s="157">
        <f>F30+G30</f>
        <v>0.77</v>
      </c>
      <c r="I30" s="158">
        <v>1</v>
      </c>
      <c r="J30" s="159">
        <v>0</v>
      </c>
      <c r="K30" s="157">
        <f t="shared" si="12"/>
        <v>1</v>
      </c>
      <c r="L30" s="158">
        <f>22.37+0.77</f>
        <v>23.14</v>
      </c>
      <c r="M30" s="159">
        <v>0</v>
      </c>
      <c r="N30" s="157">
        <f t="shared" si="14"/>
        <v>23.14</v>
      </c>
      <c r="O30" s="25">
        <f t="shared" si="7"/>
        <v>23.14</v>
      </c>
      <c r="P30" s="65">
        <v>26</v>
      </c>
      <c r="Q30" s="66">
        <v>0</v>
      </c>
      <c r="R30" s="114">
        <f t="shared" si="13"/>
        <v>26</v>
      </c>
      <c r="S30" s="19">
        <f t="shared" si="5"/>
        <v>25</v>
      </c>
      <c r="T30" s="20">
        <f t="shared" si="15"/>
        <v>26</v>
      </c>
      <c r="U30" s="424" t="s">
        <v>239</v>
      </c>
    </row>
    <row r="31" spans="1:21" ht="20.25" customHeight="1">
      <c r="A31" s="146" t="s">
        <v>35</v>
      </c>
      <c r="B31" s="65">
        <f>45.66+1.46+200.05+937.76+3847.41</f>
        <v>5032.34</v>
      </c>
      <c r="C31" s="66">
        <v>6</v>
      </c>
      <c r="D31" s="250">
        <v>25</v>
      </c>
      <c r="E31" s="135">
        <f t="shared" si="10"/>
        <v>5038.34</v>
      </c>
      <c r="F31" s="158">
        <f>37.11+96.99+21.03+98.23+2018.87</f>
        <v>2272.23</v>
      </c>
      <c r="G31" s="159">
        <f>0.8+0.25</f>
        <v>1.05</v>
      </c>
      <c r="H31" s="157">
        <f>F31+G31</f>
        <v>2273.28</v>
      </c>
      <c r="I31" s="158">
        <v>2100</v>
      </c>
      <c r="J31" s="159">
        <v>0.6</v>
      </c>
      <c r="K31" s="157">
        <f t="shared" si="12"/>
        <v>2100.6</v>
      </c>
      <c r="L31" s="158">
        <f>11.93+455.26+174.69+62.88+724.09</f>
        <v>1428.85</v>
      </c>
      <c r="M31" s="159">
        <f>5.63+0.24</f>
        <v>5.87</v>
      </c>
      <c r="N31" s="157">
        <f t="shared" si="14"/>
        <v>1434.7199999999998</v>
      </c>
      <c r="O31" s="25">
        <f t="shared" si="7"/>
        <v>0.6830048557554984</v>
      </c>
      <c r="P31" s="65">
        <v>2769.264</v>
      </c>
      <c r="Q31" s="66">
        <v>11.773</v>
      </c>
      <c r="R31" s="114">
        <f t="shared" si="13"/>
        <v>2781.0370000000003</v>
      </c>
      <c r="S31" s="19">
        <f t="shared" si="5"/>
        <v>680.4370000000004</v>
      </c>
      <c r="T31" s="20">
        <f t="shared" si="15"/>
        <v>1.323925069027897</v>
      </c>
      <c r="U31" s="424" t="s">
        <v>240</v>
      </c>
    </row>
    <row r="32" spans="1:21" ht="20.25" customHeight="1">
      <c r="A32" s="84" t="s">
        <v>36</v>
      </c>
      <c r="B32" s="69">
        <v>3359.6</v>
      </c>
      <c r="C32" s="66"/>
      <c r="D32" s="248">
        <v>26</v>
      </c>
      <c r="E32" s="135">
        <f t="shared" si="10"/>
        <v>3359.6</v>
      </c>
      <c r="F32" s="171">
        <v>2303.56</v>
      </c>
      <c r="G32" s="159"/>
      <c r="H32" s="157">
        <f>F32+G32</f>
        <v>2303.56</v>
      </c>
      <c r="I32" s="171">
        <v>5213.525</v>
      </c>
      <c r="J32" s="159">
        <v>0</v>
      </c>
      <c r="K32" s="157">
        <f t="shared" si="12"/>
        <v>5213.525</v>
      </c>
      <c r="L32" s="171">
        <v>1860.41</v>
      </c>
      <c r="M32" s="159">
        <v>0</v>
      </c>
      <c r="N32" s="157">
        <f t="shared" si="14"/>
        <v>1860.41</v>
      </c>
      <c r="O32" s="25">
        <f t="shared" si="7"/>
        <v>0.35684301887878167</v>
      </c>
      <c r="P32" s="65">
        <v>4810</v>
      </c>
      <c r="Q32" s="66">
        <v>0</v>
      </c>
      <c r="R32" s="114">
        <f t="shared" si="13"/>
        <v>4810</v>
      </c>
      <c r="S32" s="19">
        <f t="shared" si="5"/>
        <v>-403.52499999999964</v>
      </c>
      <c r="T32" s="20">
        <f t="shared" si="15"/>
        <v>0.9226003519691572</v>
      </c>
      <c r="U32" s="424"/>
    </row>
    <row r="33" spans="1:21" ht="20.25" customHeight="1">
      <c r="A33" s="84" t="s">
        <v>37</v>
      </c>
      <c r="B33" s="69">
        <v>3360</v>
      </c>
      <c r="C33" s="66">
        <v>0</v>
      </c>
      <c r="D33" s="250">
        <v>27</v>
      </c>
      <c r="E33" s="135">
        <f t="shared" si="10"/>
        <v>3360</v>
      </c>
      <c r="F33" s="171">
        <v>2303.56</v>
      </c>
      <c r="G33" s="159"/>
      <c r="H33" s="157">
        <f>F33+G33</f>
        <v>2303.56</v>
      </c>
      <c r="I33" s="171">
        <v>5213.525</v>
      </c>
      <c r="J33" s="159">
        <v>0</v>
      </c>
      <c r="K33" s="157">
        <f t="shared" si="12"/>
        <v>5213.525</v>
      </c>
      <c r="L33" s="171">
        <f>+L32</f>
        <v>1860.41</v>
      </c>
      <c r="M33" s="159">
        <v>0</v>
      </c>
      <c r="N33" s="157">
        <f t="shared" si="14"/>
        <v>1860.41</v>
      </c>
      <c r="O33" s="25">
        <f t="shared" si="7"/>
        <v>0.35684301887878167</v>
      </c>
      <c r="P33" s="65">
        <v>4810</v>
      </c>
      <c r="Q33" s="66">
        <v>0</v>
      </c>
      <c r="R33" s="114">
        <f t="shared" si="13"/>
        <v>4810</v>
      </c>
      <c r="S33" s="19">
        <f t="shared" si="5"/>
        <v>-403.52499999999964</v>
      </c>
      <c r="T33" s="20">
        <f t="shared" si="15"/>
        <v>0.9226003519691572</v>
      </c>
      <c r="U33" s="424"/>
    </row>
    <row r="34" spans="1:21" ht="20.25" customHeight="1" thickBot="1">
      <c r="A34" s="173" t="s">
        <v>38</v>
      </c>
      <c r="B34" s="87">
        <f>1304.4-62.32</f>
        <v>1242.0800000000002</v>
      </c>
      <c r="C34" s="75">
        <v>0</v>
      </c>
      <c r="D34" s="251">
        <v>28</v>
      </c>
      <c r="E34" s="126">
        <f t="shared" si="10"/>
        <v>1242.0800000000002</v>
      </c>
      <c r="F34" s="174">
        <f>500+10.82</f>
        <v>510.82</v>
      </c>
      <c r="G34" s="163"/>
      <c r="H34" s="175">
        <f>F34+G34</f>
        <v>510.82</v>
      </c>
      <c r="I34" s="174">
        <v>0</v>
      </c>
      <c r="J34" s="163">
        <v>0</v>
      </c>
      <c r="K34" s="175">
        <f t="shared" si="12"/>
        <v>0</v>
      </c>
      <c r="L34" s="174">
        <v>-113.86</v>
      </c>
      <c r="M34" s="163">
        <v>0</v>
      </c>
      <c r="N34" s="157">
        <f t="shared" si="14"/>
        <v>-113.86</v>
      </c>
      <c r="O34" s="25" t="e">
        <f t="shared" si="7"/>
        <v>#DIV/0!</v>
      </c>
      <c r="P34" s="87">
        <v>0</v>
      </c>
      <c r="Q34" s="75">
        <v>0</v>
      </c>
      <c r="R34" s="115">
        <f t="shared" si="13"/>
        <v>0</v>
      </c>
      <c r="S34" s="19">
        <f t="shared" si="5"/>
        <v>0</v>
      </c>
      <c r="T34" s="20" t="e">
        <f t="shared" si="15"/>
        <v>#DIV/0!</v>
      </c>
      <c r="U34" s="425"/>
    </row>
    <row r="35" spans="1:21" ht="20.25" customHeight="1" thickBot="1">
      <c r="A35" s="165" t="s">
        <v>39</v>
      </c>
      <c r="B35" s="90">
        <f aca="true" t="shared" si="16" ref="B35:H35">SUM(B17+B19+B20+B21+B22+B25+B30+B31+B32+B34)</f>
        <v>498761.68000000005</v>
      </c>
      <c r="C35" s="79">
        <f t="shared" si="16"/>
        <v>3240</v>
      </c>
      <c r="D35" s="249">
        <v>29</v>
      </c>
      <c r="E35" s="80">
        <f t="shared" si="16"/>
        <v>502001.68000000005</v>
      </c>
      <c r="F35" s="176">
        <f t="shared" si="16"/>
        <v>525596.58</v>
      </c>
      <c r="G35" s="177">
        <f t="shared" si="16"/>
        <v>408.13000000000005</v>
      </c>
      <c r="H35" s="178">
        <f t="shared" si="16"/>
        <v>526004.71</v>
      </c>
      <c r="I35" s="176">
        <f aca="true" t="shared" si="17" ref="I35:N35">SUM(I17+I19+I20+I21+I22+I25+I30+I31+I32+I34)</f>
        <v>553803.5183700001</v>
      </c>
      <c r="J35" s="177">
        <f t="shared" si="17"/>
        <v>430.1636363636364</v>
      </c>
      <c r="K35" s="178">
        <f t="shared" si="17"/>
        <v>554233.6820063636</v>
      </c>
      <c r="L35" s="78">
        <f t="shared" si="17"/>
        <v>274824.54</v>
      </c>
      <c r="M35" s="91">
        <f t="shared" si="17"/>
        <v>1063.1899999999998</v>
      </c>
      <c r="N35" s="116">
        <f t="shared" si="17"/>
        <v>275887.73000000004</v>
      </c>
      <c r="O35" s="213">
        <f t="shared" si="7"/>
        <v>0.4977823235160802</v>
      </c>
      <c r="P35" s="78">
        <f>SUM(P17+P19+P20+P21+P22+P25+P30+P31+P32+P34)</f>
        <v>565619.05837</v>
      </c>
      <c r="Q35" s="91">
        <f>SUM(Q17+Q19+Q20+Q21+Q22+Q25+Q30+Q31+Q32+Q34)</f>
        <v>1877.0316363636362</v>
      </c>
      <c r="R35" s="116">
        <f>SUM(R17+R19+R20+R21+R22+R25+R30+R31+R32+R34)</f>
        <v>567496.0900063637</v>
      </c>
      <c r="S35" s="214">
        <f t="shared" si="5"/>
        <v>13262.408000000054</v>
      </c>
      <c r="T35" s="213">
        <f>+R35/K35</f>
        <v>1.0239292710468069</v>
      </c>
      <c r="U35" s="242"/>
    </row>
    <row r="36" spans="1:21" ht="19.5" customHeight="1" thickBot="1">
      <c r="A36" s="165" t="s">
        <v>40</v>
      </c>
      <c r="B36" s="141">
        <f>+E16-E35</f>
        <v>269.11999999993714</v>
      </c>
      <c r="C36" s="179"/>
      <c r="D36" s="247">
        <v>30</v>
      </c>
      <c r="E36" s="139">
        <f>+B36</f>
        <v>269.11999999993714</v>
      </c>
      <c r="F36" s="141">
        <f>+H16-H35</f>
        <v>4.14000000001397</v>
      </c>
      <c r="G36" s="179">
        <f>SUM(G16-G35)</f>
        <v>648.4399999999998</v>
      </c>
      <c r="H36" s="205">
        <f>SUM(H16-H35)</f>
        <v>4.14000000001397</v>
      </c>
      <c r="I36" s="617">
        <f>+K16-K35</f>
        <v>-17499.68200636364</v>
      </c>
      <c r="J36" s="691">
        <v>647.8363636363636</v>
      </c>
      <c r="K36" s="692">
        <v>-9900.402006363729</v>
      </c>
      <c r="L36" s="617">
        <f>+N16-N35</f>
        <v>4359.02999999997</v>
      </c>
      <c r="M36" s="691"/>
      <c r="N36" s="692"/>
      <c r="O36" s="216"/>
      <c r="P36" s="93">
        <f>P16-P35</f>
        <v>-8494.348941428703</v>
      </c>
      <c r="Q36" s="94">
        <f>Q16-Q35</f>
        <v>813.5305064935069</v>
      </c>
      <c r="R36" s="95">
        <f>R16-R35</f>
        <v>-7680.8184349351795</v>
      </c>
      <c r="S36" s="215"/>
      <c r="T36" s="216"/>
      <c r="U36" s="244"/>
    </row>
    <row r="37" spans="1:35" ht="19.5" customHeight="1" thickBot="1">
      <c r="A37" s="96" t="s">
        <v>41</v>
      </c>
      <c r="B37" s="141">
        <v>-52907.81</v>
      </c>
      <c r="C37" s="209"/>
      <c r="D37" s="247">
        <v>31</v>
      </c>
      <c r="E37" s="139">
        <f>+B37</f>
        <v>-52907.81</v>
      </c>
      <c r="F37" s="141">
        <v>-18880.2</v>
      </c>
      <c r="G37" s="209"/>
      <c r="H37" s="205">
        <f>+F37</f>
        <v>-18880.2</v>
      </c>
      <c r="I37" s="113"/>
      <c r="J37" s="48"/>
      <c r="K37" s="48"/>
      <c r="L37" s="113"/>
      <c r="M37" s="48"/>
      <c r="N37" s="48"/>
      <c r="O37" s="48"/>
      <c r="P37" s="48"/>
      <c r="Q37" s="48"/>
      <c r="R37" s="48"/>
      <c r="S37" s="48"/>
      <c r="T37" s="48"/>
      <c r="U37" s="625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22.5" customHeight="1" thickBot="1">
      <c r="A38" s="97" t="s">
        <v>42</v>
      </c>
      <c r="B38" s="211">
        <f>SUM(B36:E37)</f>
        <v>-105216.38000000012</v>
      </c>
      <c r="C38" s="108"/>
      <c r="D38" s="247">
        <v>32</v>
      </c>
      <c r="E38" s="139">
        <f>+B38</f>
        <v>-105216.38000000012</v>
      </c>
      <c r="F38" s="211">
        <f>+F36+F37</f>
        <v>-18876.059999999987</v>
      </c>
      <c r="G38" s="108"/>
      <c r="H38" s="205">
        <f>+F38</f>
        <v>-18876.059999999987</v>
      </c>
      <c r="I38" s="48"/>
      <c r="J38" s="48"/>
      <c r="K38" s="48"/>
      <c r="L38" s="48"/>
      <c r="M38" s="48"/>
      <c r="N38" s="48"/>
      <c r="O38" s="48"/>
      <c r="P38" s="48"/>
      <c r="Q38" s="113"/>
      <c r="R38" s="48"/>
      <c r="S38" s="48"/>
      <c r="T38" s="48"/>
      <c r="U38" s="626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ht="7.5" customHeight="1">
      <c r="A39" s="45"/>
    </row>
    <row r="40" ht="7.5" customHeight="1">
      <c r="A40" s="45"/>
    </row>
    <row r="42" ht="15.75">
      <c r="A42" s="4"/>
    </row>
    <row r="87" ht="15.75" customHeight="1"/>
  </sheetData>
  <mergeCells count="14">
    <mergeCell ref="U37:U38"/>
    <mergeCell ref="E3:U3"/>
    <mergeCell ref="H4:H6"/>
    <mergeCell ref="I4:K4"/>
    <mergeCell ref="D3:D6"/>
    <mergeCell ref="U4:U6"/>
    <mergeCell ref="I36:K36"/>
    <mergeCell ref="A3:A6"/>
    <mergeCell ref="L4:N4"/>
    <mergeCell ref="L36:N36"/>
    <mergeCell ref="P4:R4"/>
    <mergeCell ref="S4:T4"/>
    <mergeCell ref="E4:E6"/>
    <mergeCell ref="F4:F6"/>
  </mergeCells>
  <printOptions horizontalCentered="1"/>
  <pageMargins left="0.17" right="0.17" top="0.25" bottom="0.1968503937007874" header="0.2362204724409449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46">
      <selection activeCell="B3" sqref="B3"/>
    </sheetView>
  </sheetViews>
  <sheetFormatPr defaultColWidth="9.00390625" defaultRowHeight="21.75" customHeight="1"/>
  <cols>
    <col min="1" max="1" width="37.00390625" style="382" customWidth="1"/>
    <col min="2" max="2" width="12.75390625" style="382" customWidth="1"/>
    <col min="3" max="6" width="11.75390625" style="382" customWidth="1"/>
    <col min="7" max="7" width="10.75390625" style="382" customWidth="1"/>
    <col min="8" max="9" width="11.75390625" style="382" customWidth="1"/>
    <col min="10" max="16" width="9.125" style="382" customWidth="1"/>
    <col min="17" max="17" width="12.75390625" style="382" customWidth="1"/>
    <col min="18" max="16384" width="9.125" style="382" customWidth="1"/>
  </cols>
  <sheetData>
    <row r="1" spans="1:8" ht="21.75" customHeight="1">
      <c r="A1" s="381" t="s">
        <v>179</v>
      </c>
      <c r="H1" s="381"/>
    </row>
    <row r="2" spans="1:8" ht="21.75" customHeight="1">
      <c r="A2" s="381" t="s">
        <v>285</v>
      </c>
      <c r="H2" s="381"/>
    </row>
    <row r="3" ht="21.75" customHeight="1" thickBot="1">
      <c r="A3" s="383"/>
    </row>
    <row r="4" spans="1:9" ht="49.5" customHeight="1">
      <c r="A4" s="678" t="s">
        <v>92</v>
      </c>
      <c r="B4" s="384" t="s">
        <v>93</v>
      </c>
      <c r="C4" s="385" t="s">
        <v>104</v>
      </c>
      <c r="D4" s="386" t="s">
        <v>94</v>
      </c>
      <c r="E4" s="386" t="s">
        <v>180</v>
      </c>
      <c r="F4" s="386" t="s">
        <v>95</v>
      </c>
      <c r="G4" s="386" t="s">
        <v>369</v>
      </c>
      <c r="H4" s="387" t="s">
        <v>181</v>
      </c>
      <c r="I4" s="384" t="s">
        <v>96</v>
      </c>
    </row>
    <row r="5" spans="1:9" ht="21.75" customHeight="1" thickBot="1">
      <c r="A5" s="679"/>
      <c r="B5" s="388"/>
      <c r="C5" s="389" t="s">
        <v>105</v>
      </c>
      <c r="D5" s="390" t="s">
        <v>97</v>
      </c>
      <c r="E5" s="390" t="s">
        <v>182</v>
      </c>
      <c r="F5" s="390" t="s">
        <v>98</v>
      </c>
      <c r="G5" s="390" t="s">
        <v>370</v>
      </c>
      <c r="H5" s="391" t="s">
        <v>183</v>
      </c>
      <c r="I5" s="388" t="s">
        <v>99</v>
      </c>
    </row>
    <row r="6" spans="1:9" ht="10.5" customHeight="1">
      <c r="A6" s="680" t="s">
        <v>184</v>
      </c>
      <c r="B6" s="392"/>
      <c r="C6" s="393">
        <v>0</v>
      </c>
      <c r="D6" s="394">
        <v>200000</v>
      </c>
      <c r="E6" s="395"/>
      <c r="F6" s="395"/>
      <c r="G6" s="395"/>
      <c r="H6" s="396"/>
      <c r="I6" s="397">
        <v>200000</v>
      </c>
    </row>
    <row r="7" spans="1:9" ht="10.5" customHeight="1">
      <c r="A7" s="669"/>
      <c r="B7" s="398"/>
      <c r="C7" s="399">
        <v>312000</v>
      </c>
      <c r="D7" s="400">
        <v>48000</v>
      </c>
      <c r="E7" s="400"/>
      <c r="F7" s="400"/>
      <c r="G7" s="400"/>
      <c r="H7" s="401"/>
      <c r="I7" s="402">
        <v>360000</v>
      </c>
    </row>
    <row r="8" spans="1:9" ht="10.5" customHeight="1">
      <c r="A8" s="668" t="s">
        <v>185</v>
      </c>
      <c r="B8" s="403"/>
      <c r="C8" s="404"/>
      <c r="D8" s="405">
        <v>0</v>
      </c>
      <c r="E8" s="406"/>
      <c r="F8" s="406"/>
      <c r="G8" s="406"/>
      <c r="H8" s="407"/>
      <c r="I8" s="408">
        <v>0</v>
      </c>
    </row>
    <row r="9" spans="1:9" ht="10.5" customHeight="1">
      <c r="A9" s="669"/>
      <c r="B9" s="398"/>
      <c r="C9" s="399"/>
      <c r="D9" s="400">
        <v>80000</v>
      </c>
      <c r="E9" s="400"/>
      <c r="F9" s="400"/>
      <c r="G9" s="400"/>
      <c r="H9" s="401"/>
      <c r="I9" s="402">
        <v>80000</v>
      </c>
    </row>
    <row r="10" spans="1:9" ht="10.5" customHeight="1">
      <c r="A10" s="668" t="s">
        <v>371</v>
      </c>
      <c r="B10" s="664"/>
      <c r="C10" s="699"/>
      <c r="D10" s="672">
        <v>400000</v>
      </c>
      <c r="E10" s="672"/>
      <c r="F10" s="672"/>
      <c r="G10" s="672"/>
      <c r="H10" s="674"/>
      <c r="I10" s="666">
        <v>400000</v>
      </c>
    </row>
    <row r="11" spans="1:9" ht="10.5" customHeight="1">
      <c r="A11" s="669"/>
      <c r="B11" s="665"/>
      <c r="C11" s="700"/>
      <c r="D11" s="673"/>
      <c r="E11" s="673"/>
      <c r="F11" s="673"/>
      <c r="G11" s="673"/>
      <c r="H11" s="698"/>
      <c r="I11" s="667"/>
    </row>
    <row r="12" spans="1:9" ht="10.5" customHeight="1">
      <c r="A12" s="668" t="s">
        <v>186</v>
      </c>
      <c r="B12" s="664"/>
      <c r="C12" s="699"/>
      <c r="D12" s="672">
        <v>1800000</v>
      </c>
      <c r="E12" s="672"/>
      <c r="F12" s="672"/>
      <c r="G12" s="672"/>
      <c r="H12" s="674"/>
      <c r="I12" s="666">
        <v>1800000</v>
      </c>
    </row>
    <row r="13" spans="1:9" ht="10.5" customHeight="1">
      <c r="A13" s="669"/>
      <c r="B13" s="665"/>
      <c r="C13" s="700"/>
      <c r="D13" s="673"/>
      <c r="E13" s="673"/>
      <c r="F13" s="673"/>
      <c r="G13" s="673"/>
      <c r="H13" s="698"/>
      <c r="I13" s="667"/>
    </row>
    <row r="14" spans="1:9" ht="10.5" customHeight="1">
      <c r="A14" s="668" t="s">
        <v>187</v>
      </c>
      <c r="B14" s="403"/>
      <c r="C14" s="404"/>
      <c r="D14" s="405">
        <v>1560000</v>
      </c>
      <c r="E14" s="406"/>
      <c r="F14" s="406"/>
      <c r="G14" s="406"/>
      <c r="H14" s="407"/>
      <c r="I14" s="408">
        <v>1560000</v>
      </c>
    </row>
    <row r="15" spans="1:9" ht="10.5" customHeight="1">
      <c r="A15" s="669"/>
      <c r="B15" s="398"/>
      <c r="C15" s="399"/>
      <c r="D15" s="400">
        <v>1720000</v>
      </c>
      <c r="E15" s="400"/>
      <c r="F15" s="400"/>
      <c r="G15" s="400"/>
      <c r="H15" s="401"/>
      <c r="I15" s="402">
        <v>1720000</v>
      </c>
    </row>
    <row r="16" spans="1:9" ht="10.5" customHeight="1">
      <c r="A16" s="668" t="s">
        <v>188</v>
      </c>
      <c r="B16" s="403"/>
      <c r="C16" s="404"/>
      <c r="D16" s="405">
        <v>500000</v>
      </c>
      <c r="E16" s="406"/>
      <c r="F16" s="406"/>
      <c r="G16" s="406"/>
      <c r="H16" s="407"/>
      <c r="I16" s="408">
        <v>500000</v>
      </c>
    </row>
    <row r="17" spans="1:9" ht="10.5" customHeight="1">
      <c r="A17" s="669"/>
      <c r="B17" s="398"/>
      <c r="C17" s="399"/>
      <c r="D17" s="400">
        <v>452129.8</v>
      </c>
      <c r="E17" s="400"/>
      <c r="F17" s="400"/>
      <c r="G17" s="400"/>
      <c r="H17" s="401"/>
      <c r="I17" s="402">
        <v>452129.8</v>
      </c>
    </row>
    <row r="18" spans="1:9" ht="10.5" customHeight="1">
      <c r="A18" s="668" t="s">
        <v>189</v>
      </c>
      <c r="B18" s="403"/>
      <c r="C18" s="404"/>
      <c r="D18" s="406"/>
      <c r="E18" s="406"/>
      <c r="F18" s="405">
        <v>1000000</v>
      </c>
      <c r="G18" s="406"/>
      <c r="H18" s="407"/>
      <c r="I18" s="408">
        <v>1000000</v>
      </c>
    </row>
    <row r="19" spans="1:9" ht="10.5" customHeight="1">
      <c r="A19" s="669"/>
      <c r="B19" s="398"/>
      <c r="C19" s="399"/>
      <c r="D19" s="400"/>
      <c r="E19" s="400"/>
      <c r="F19" s="400">
        <v>0</v>
      </c>
      <c r="G19" s="400"/>
      <c r="H19" s="401"/>
      <c r="I19" s="402">
        <v>0</v>
      </c>
    </row>
    <row r="20" spans="1:9" ht="10.5" customHeight="1">
      <c r="A20" s="668" t="s">
        <v>190</v>
      </c>
      <c r="B20" s="664">
        <v>406098</v>
      </c>
      <c r="C20" s="699"/>
      <c r="D20" s="672"/>
      <c r="E20" s="672"/>
      <c r="F20" s="672"/>
      <c r="G20" s="672"/>
      <c r="H20" s="674"/>
      <c r="I20" s="666"/>
    </row>
    <row r="21" spans="1:9" ht="10.5" customHeight="1">
      <c r="A21" s="669"/>
      <c r="B21" s="665"/>
      <c r="C21" s="700"/>
      <c r="D21" s="673"/>
      <c r="E21" s="673"/>
      <c r="F21" s="673"/>
      <c r="G21" s="673"/>
      <c r="H21" s="698"/>
      <c r="I21" s="667"/>
    </row>
    <row r="22" spans="1:9" ht="10.5" customHeight="1">
      <c r="A22" s="668" t="s">
        <v>191</v>
      </c>
      <c r="B22" s="403"/>
      <c r="C22" s="404"/>
      <c r="D22" s="405">
        <v>0</v>
      </c>
      <c r="E22" s="406"/>
      <c r="F22" s="405">
        <v>300000</v>
      </c>
      <c r="G22" s="406"/>
      <c r="H22" s="407"/>
      <c r="I22" s="408">
        <v>300000</v>
      </c>
    </row>
    <row r="23" spans="1:9" ht="10.5" customHeight="1">
      <c r="A23" s="669"/>
      <c r="B23" s="398"/>
      <c r="C23" s="399"/>
      <c r="D23" s="400">
        <v>300000</v>
      </c>
      <c r="E23" s="400"/>
      <c r="F23" s="400">
        <v>0</v>
      </c>
      <c r="G23" s="400"/>
      <c r="H23" s="401"/>
      <c r="I23" s="402">
        <v>300000</v>
      </c>
    </row>
    <row r="24" spans="1:9" ht="10.5" customHeight="1">
      <c r="A24" s="668" t="s">
        <v>372</v>
      </c>
      <c r="B24" s="410">
        <v>0</v>
      </c>
      <c r="C24" s="404"/>
      <c r="D24" s="406"/>
      <c r="E24" s="406"/>
      <c r="F24" s="406"/>
      <c r="G24" s="406"/>
      <c r="H24" s="407"/>
      <c r="I24" s="408"/>
    </row>
    <row r="25" spans="1:9" ht="10.5" customHeight="1">
      <c r="A25" s="669"/>
      <c r="B25" s="398">
        <v>1297100</v>
      </c>
      <c r="C25" s="399"/>
      <c r="D25" s="400"/>
      <c r="E25" s="400"/>
      <c r="F25" s="400"/>
      <c r="G25" s="400"/>
      <c r="H25" s="401"/>
      <c r="I25" s="402"/>
    </row>
    <row r="26" spans="1:9" ht="10.5" customHeight="1">
      <c r="A26" s="668" t="s">
        <v>192</v>
      </c>
      <c r="B26" s="403"/>
      <c r="C26" s="404"/>
      <c r="D26" s="405">
        <v>700000</v>
      </c>
      <c r="E26" s="406"/>
      <c r="F26" s="406"/>
      <c r="G26" s="406"/>
      <c r="H26" s="407"/>
      <c r="I26" s="408">
        <v>700000</v>
      </c>
    </row>
    <row r="27" spans="1:9" ht="10.5" customHeight="1">
      <c r="A27" s="669"/>
      <c r="B27" s="398"/>
      <c r="C27" s="399"/>
      <c r="D27" s="400">
        <v>826000</v>
      </c>
      <c r="E27" s="400"/>
      <c r="F27" s="400"/>
      <c r="G27" s="400"/>
      <c r="H27" s="401"/>
      <c r="I27" s="402">
        <v>826000</v>
      </c>
    </row>
    <row r="28" spans="1:9" ht="10.5" customHeight="1">
      <c r="A28" s="668" t="s">
        <v>373</v>
      </c>
      <c r="B28" s="403"/>
      <c r="C28" s="404"/>
      <c r="D28" s="405">
        <v>0</v>
      </c>
      <c r="E28" s="406"/>
      <c r="F28" s="406"/>
      <c r="G28" s="406"/>
      <c r="H28" s="407"/>
      <c r="I28" s="408">
        <v>0</v>
      </c>
    </row>
    <row r="29" spans="1:9" ht="10.5" customHeight="1">
      <c r="A29" s="669"/>
      <c r="B29" s="398"/>
      <c r="C29" s="399"/>
      <c r="D29" s="400">
        <v>264000</v>
      </c>
      <c r="E29" s="400"/>
      <c r="F29" s="400"/>
      <c r="G29" s="400"/>
      <c r="H29" s="401"/>
      <c r="I29" s="402">
        <v>264000</v>
      </c>
    </row>
    <row r="30" spans="1:9" ht="10.5" customHeight="1">
      <c r="A30" s="668" t="s">
        <v>193</v>
      </c>
      <c r="B30" s="403"/>
      <c r="C30" s="404"/>
      <c r="D30" s="405">
        <v>500000</v>
      </c>
      <c r="E30" s="406"/>
      <c r="F30" s="406"/>
      <c r="G30" s="406"/>
      <c r="H30" s="407"/>
      <c r="I30" s="408">
        <v>500000</v>
      </c>
    </row>
    <row r="31" spans="1:9" ht="10.5" customHeight="1">
      <c r="A31" s="669"/>
      <c r="B31" s="398"/>
      <c r="C31" s="399"/>
      <c r="D31" s="400">
        <v>400000</v>
      </c>
      <c r="E31" s="400"/>
      <c r="F31" s="400"/>
      <c r="G31" s="400"/>
      <c r="H31" s="401"/>
      <c r="I31" s="402">
        <v>400000</v>
      </c>
    </row>
    <row r="32" spans="1:9" ht="10.5" customHeight="1">
      <c r="A32" s="668" t="s">
        <v>194</v>
      </c>
      <c r="B32" s="664">
        <v>174930</v>
      </c>
      <c r="C32" s="699"/>
      <c r="D32" s="672"/>
      <c r="E32" s="672"/>
      <c r="F32" s="672"/>
      <c r="G32" s="672"/>
      <c r="H32" s="674"/>
      <c r="I32" s="666"/>
    </row>
    <row r="33" spans="1:9" ht="10.5" customHeight="1">
      <c r="A33" s="669"/>
      <c r="B33" s="665"/>
      <c r="C33" s="700"/>
      <c r="D33" s="673"/>
      <c r="E33" s="673"/>
      <c r="F33" s="673"/>
      <c r="G33" s="673"/>
      <c r="H33" s="698"/>
      <c r="I33" s="667"/>
    </row>
    <row r="34" spans="1:9" ht="10.5" customHeight="1">
      <c r="A34" s="668" t="s">
        <v>195</v>
      </c>
      <c r="B34" s="403"/>
      <c r="C34" s="404"/>
      <c r="D34" s="405">
        <v>0</v>
      </c>
      <c r="E34" s="406"/>
      <c r="F34" s="405">
        <v>2100000</v>
      </c>
      <c r="G34" s="406"/>
      <c r="H34" s="407"/>
      <c r="I34" s="408">
        <v>2100000</v>
      </c>
    </row>
    <row r="35" spans="1:9" ht="10.5" customHeight="1">
      <c r="A35" s="669"/>
      <c r="B35" s="398"/>
      <c r="C35" s="399"/>
      <c r="D35" s="400">
        <v>2100000</v>
      </c>
      <c r="E35" s="400"/>
      <c r="F35" s="400">
        <v>0</v>
      </c>
      <c r="G35" s="400"/>
      <c r="H35" s="401"/>
      <c r="I35" s="402">
        <v>2100000</v>
      </c>
    </row>
    <row r="36" spans="1:9" ht="10.5" customHeight="1">
      <c r="A36" s="668" t="s">
        <v>374</v>
      </c>
      <c r="B36" s="403"/>
      <c r="C36" s="404"/>
      <c r="D36" s="405">
        <v>0</v>
      </c>
      <c r="E36" s="406"/>
      <c r="F36" s="406"/>
      <c r="G36" s="406"/>
      <c r="H36" s="407"/>
      <c r="I36" s="408">
        <v>0</v>
      </c>
    </row>
    <row r="37" spans="1:9" ht="10.5" customHeight="1">
      <c r="A37" s="669"/>
      <c r="B37" s="398"/>
      <c r="C37" s="399"/>
      <c r="D37" s="400">
        <v>88357</v>
      </c>
      <c r="E37" s="400"/>
      <c r="F37" s="400"/>
      <c r="G37" s="400"/>
      <c r="H37" s="401"/>
      <c r="I37" s="402">
        <v>88357</v>
      </c>
    </row>
    <row r="38" spans="1:9" ht="10.5" customHeight="1">
      <c r="A38" s="668" t="s">
        <v>196</v>
      </c>
      <c r="B38" s="403"/>
      <c r="C38" s="404"/>
      <c r="D38" s="405">
        <v>680000</v>
      </c>
      <c r="E38" s="406"/>
      <c r="F38" s="406"/>
      <c r="G38" s="406"/>
      <c r="H38" s="407"/>
      <c r="I38" s="408">
        <v>680000</v>
      </c>
    </row>
    <row r="39" spans="1:9" ht="10.5" customHeight="1">
      <c r="A39" s="669"/>
      <c r="B39" s="398"/>
      <c r="C39" s="399"/>
      <c r="D39" s="400">
        <v>625972.3</v>
      </c>
      <c r="E39" s="400"/>
      <c r="F39" s="400"/>
      <c r="G39" s="400"/>
      <c r="H39" s="401"/>
      <c r="I39" s="402">
        <v>625972.3</v>
      </c>
    </row>
    <row r="40" spans="1:9" ht="10.5" customHeight="1">
      <c r="A40" s="668" t="s">
        <v>197</v>
      </c>
      <c r="B40" s="403"/>
      <c r="C40" s="409">
        <v>0</v>
      </c>
      <c r="D40" s="405">
        <v>0</v>
      </c>
      <c r="E40" s="406"/>
      <c r="F40" s="406"/>
      <c r="G40" s="406"/>
      <c r="H40" s="407"/>
      <c r="I40" s="408">
        <v>0</v>
      </c>
    </row>
    <row r="41" spans="1:9" ht="10.5" customHeight="1">
      <c r="A41" s="669"/>
      <c r="B41" s="398"/>
      <c r="C41" s="399">
        <v>1660000</v>
      </c>
      <c r="D41" s="400">
        <v>704200</v>
      </c>
      <c r="E41" s="400"/>
      <c r="F41" s="400"/>
      <c r="G41" s="400"/>
      <c r="H41" s="401"/>
      <c r="I41" s="402">
        <v>2364200</v>
      </c>
    </row>
    <row r="42" spans="1:9" ht="10.5" customHeight="1">
      <c r="A42" s="668" t="s">
        <v>198</v>
      </c>
      <c r="B42" s="403"/>
      <c r="C42" s="404"/>
      <c r="D42" s="405">
        <v>0</v>
      </c>
      <c r="E42" s="406"/>
      <c r="F42" s="406"/>
      <c r="G42" s="406"/>
      <c r="H42" s="407"/>
      <c r="I42" s="408">
        <v>0</v>
      </c>
    </row>
    <row r="43" spans="1:9" ht="10.5" customHeight="1">
      <c r="A43" s="669"/>
      <c r="B43" s="398"/>
      <c r="C43" s="399"/>
      <c r="D43" s="400">
        <v>850000</v>
      </c>
      <c r="E43" s="400"/>
      <c r="F43" s="400"/>
      <c r="G43" s="400"/>
      <c r="H43" s="401"/>
      <c r="I43" s="402">
        <v>850000</v>
      </c>
    </row>
    <row r="44" spans="1:9" ht="10.5" customHeight="1">
      <c r="A44" s="668" t="s">
        <v>199</v>
      </c>
      <c r="B44" s="410">
        <v>9930057</v>
      </c>
      <c r="C44" s="404"/>
      <c r="D44" s="405">
        <v>0</v>
      </c>
      <c r="E44" s="406"/>
      <c r="F44" s="405">
        <v>4069942.55</v>
      </c>
      <c r="G44" s="406"/>
      <c r="H44" s="407">
        <v>6000000</v>
      </c>
      <c r="I44" s="408">
        <v>10069942.55</v>
      </c>
    </row>
    <row r="45" spans="1:9" ht="10.5" customHeight="1">
      <c r="A45" s="669"/>
      <c r="B45" s="398">
        <v>5930057.45</v>
      </c>
      <c r="C45" s="399"/>
      <c r="D45" s="400">
        <v>536942.55</v>
      </c>
      <c r="E45" s="400"/>
      <c r="F45" s="400">
        <v>7533000</v>
      </c>
      <c r="G45" s="400"/>
      <c r="H45" s="401"/>
      <c r="I45" s="402">
        <v>14069942.55</v>
      </c>
    </row>
    <row r="46" spans="1:9" ht="10.5" customHeight="1">
      <c r="A46" s="668" t="s">
        <v>200</v>
      </c>
      <c r="B46" s="403"/>
      <c r="C46" s="404"/>
      <c r="D46" s="405">
        <v>21943</v>
      </c>
      <c r="E46" s="406"/>
      <c r="F46" s="405">
        <v>63057.45</v>
      </c>
      <c r="G46" s="406"/>
      <c r="H46" s="407"/>
      <c r="I46" s="408">
        <v>85000.45</v>
      </c>
    </row>
    <row r="47" spans="1:9" ht="10.5" customHeight="1">
      <c r="A47" s="669"/>
      <c r="B47" s="398"/>
      <c r="C47" s="399"/>
      <c r="D47" s="400">
        <v>93760.1</v>
      </c>
      <c r="E47" s="400"/>
      <c r="F47" s="400">
        <v>0</v>
      </c>
      <c r="G47" s="400"/>
      <c r="H47" s="401"/>
      <c r="I47" s="402">
        <v>93760.1</v>
      </c>
    </row>
    <row r="48" spans="1:9" ht="10.5" customHeight="1">
      <c r="A48" s="668" t="s">
        <v>201</v>
      </c>
      <c r="B48" s="403"/>
      <c r="C48" s="404"/>
      <c r="D48" s="405">
        <v>2205239</v>
      </c>
      <c r="E48" s="405">
        <v>160298</v>
      </c>
      <c r="F48" s="406"/>
      <c r="G48" s="405">
        <v>0</v>
      </c>
      <c r="H48" s="407"/>
      <c r="I48" s="408">
        <v>2365537</v>
      </c>
    </row>
    <row r="49" spans="1:9" ht="10.5" customHeight="1">
      <c r="A49" s="669"/>
      <c r="B49" s="398"/>
      <c r="C49" s="399"/>
      <c r="D49" s="400">
        <v>65750.85</v>
      </c>
      <c r="E49" s="400">
        <v>60297.58</v>
      </c>
      <c r="F49" s="400"/>
      <c r="G49" s="400">
        <v>56933</v>
      </c>
      <c r="H49" s="401"/>
      <c r="I49" s="402">
        <v>182981.43</v>
      </c>
    </row>
    <row r="50" spans="1:9" ht="10.5" customHeight="1">
      <c r="A50" s="668" t="s">
        <v>202</v>
      </c>
      <c r="B50" s="664"/>
      <c r="C50" s="699"/>
      <c r="D50" s="672">
        <v>77274</v>
      </c>
      <c r="E50" s="672"/>
      <c r="F50" s="672"/>
      <c r="G50" s="672"/>
      <c r="H50" s="674"/>
      <c r="I50" s="666">
        <v>77274</v>
      </c>
    </row>
    <row r="51" spans="1:9" ht="10.5" customHeight="1">
      <c r="A51" s="669"/>
      <c r="B51" s="665"/>
      <c r="C51" s="700"/>
      <c r="D51" s="673"/>
      <c r="E51" s="673"/>
      <c r="F51" s="673"/>
      <c r="G51" s="673"/>
      <c r="H51" s="698"/>
      <c r="I51" s="667"/>
    </row>
    <row r="52" spans="1:9" ht="10.5" customHeight="1">
      <c r="A52" s="668" t="s">
        <v>203</v>
      </c>
      <c r="B52" s="403"/>
      <c r="C52" s="404"/>
      <c r="D52" s="405">
        <v>250000</v>
      </c>
      <c r="E52" s="406"/>
      <c r="F52" s="406"/>
      <c r="G52" s="406"/>
      <c r="H52" s="407"/>
      <c r="I52" s="408">
        <v>250000</v>
      </c>
    </row>
    <row r="53" spans="1:9" ht="10.5" customHeight="1">
      <c r="A53" s="669"/>
      <c r="B53" s="398"/>
      <c r="C53" s="399"/>
      <c r="D53" s="400">
        <v>0</v>
      </c>
      <c r="E53" s="400"/>
      <c r="F53" s="400"/>
      <c r="G53" s="400"/>
      <c r="H53" s="401"/>
      <c r="I53" s="402">
        <v>0</v>
      </c>
    </row>
    <row r="54" spans="1:9" ht="10.5" customHeight="1">
      <c r="A54" s="668" t="s">
        <v>204</v>
      </c>
      <c r="B54" s="403"/>
      <c r="C54" s="404"/>
      <c r="D54" s="405">
        <v>1000000</v>
      </c>
      <c r="E54" s="406"/>
      <c r="F54" s="406"/>
      <c r="G54" s="406"/>
      <c r="H54" s="407"/>
      <c r="I54" s="408">
        <v>1000000</v>
      </c>
    </row>
    <row r="55" spans="1:9" ht="10.5" customHeight="1">
      <c r="A55" s="669"/>
      <c r="B55" s="398"/>
      <c r="C55" s="399"/>
      <c r="D55" s="400">
        <v>948995</v>
      </c>
      <c r="E55" s="400"/>
      <c r="F55" s="400"/>
      <c r="G55" s="400"/>
      <c r="H55" s="401"/>
      <c r="I55" s="402">
        <v>948995</v>
      </c>
    </row>
    <row r="56" spans="1:9" ht="10.5" customHeight="1">
      <c r="A56" s="668" t="s">
        <v>205</v>
      </c>
      <c r="B56" s="410">
        <v>152008</v>
      </c>
      <c r="C56" s="404"/>
      <c r="D56" s="406"/>
      <c r="E56" s="406"/>
      <c r="F56" s="406"/>
      <c r="G56" s="406"/>
      <c r="H56" s="407"/>
      <c r="I56" s="408"/>
    </row>
    <row r="57" spans="1:9" ht="10.5" customHeight="1">
      <c r="A57" s="669"/>
      <c r="B57" s="398">
        <v>152007.8</v>
      </c>
      <c r="C57" s="399"/>
      <c r="D57" s="400"/>
      <c r="E57" s="400"/>
      <c r="F57" s="400"/>
      <c r="G57" s="400"/>
      <c r="H57" s="401"/>
      <c r="I57" s="402"/>
    </row>
    <row r="58" spans="1:9" ht="10.5" customHeight="1">
      <c r="A58" s="668" t="s">
        <v>206</v>
      </c>
      <c r="B58" s="403"/>
      <c r="C58" s="404"/>
      <c r="D58" s="405">
        <v>152000</v>
      </c>
      <c r="E58" s="406"/>
      <c r="F58" s="406"/>
      <c r="G58" s="406"/>
      <c r="H58" s="407"/>
      <c r="I58" s="408">
        <v>152000</v>
      </c>
    </row>
    <row r="59" spans="1:9" ht="10.5" customHeight="1">
      <c r="A59" s="669"/>
      <c r="B59" s="398"/>
      <c r="C59" s="399"/>
      <c r="D59" s="400">
        <v>55999</v>
      </c>
      <c r="E59" s="400"/>
      <c r="F59" s="400"/>
      <c r="G59" s="400"/>
      <c r="H59" s="401"/>
      <c r="I59" s="402">
        <v>55999</v>
      </c>
    </row>
    <row r="60" spans="1:9" ht="10.5" customHeight="1">
      <c r="A60" s="668" t="s">
        <v>375</v>
      </c>
      <c r="B60" s="403"/>
      <c r="C60" s="404"/>
      <c r="D60" s="406"/>
      <c r="E60" s="405">
        <v>0</v>
      </c>
      <c r="F60" s="406"/>
      <c r="G60" s="406"/>
      <c r="H60" s="407"/>
      <c r="I60" s="408">
        <v>0</v>
      </c>
    </row>
    <row r="61" spans="1:9" ht="10.5" customHeight="1">
      <c r="A61" s="669"/>
      <c r="B61" s="398"/>
      <c r="C61" s="399"/>
      <c r="D61" s="400"/>
      <c r="E61" s="400">
        <v>100000</v>
      </c>
      <c r="F61" s="400"/>
      <c r="G61" s="400"/>
      <c r="H61" s="401"/>
      <c r="I61" s="402">
        <v>100000</v>
      </c>
    </row>
    <row r="62" spans="1:9" ht="10.5" customHeight="1">
      <c r="A62" s="668" t="s">
        <v>376</v>
      </c>
      <c r="B62" s="403"/>
      <c r="C62" s="404"/>
      <c r="D62" s="405">
        <v>0</v>
      </c>
      <c r="E62" s="406"/>
      <c r="F62" s="406"/>
      <c r="G62" s="406"/>
      <c r="H62" s="407"/>
      <c r="I62" s="408">
        <v>0</v>
      </c>
    </row>
    <row r="63" spans="1:9" ht="10.5" customHeight="1" thickBot="1">
      <c r="A63" s="670"/>
      <c r="B63" s="411"/>
      <c r="C63" s="412"/>
      <c r="D63" s="413">
        <v>250000</v>
      </c>
      <c r="E63" s="413"/>
      <c r="F63" s="413"/>
      <c r="G63" s="413"/>
      <c r="H63" s="414"/>
      <c r="I63" s="415">
        <v>250000</v>
      </c>
    </row>
    <row r="64" spans="1:9" ht="21.75" customHeight="1" thickBot="1">
      <c r="A64" s="416" t="s">
        <v>101</v>
      </c>
      <c r="B64" s="417">
        <v>10663093</v>
      </c>
      <c r="C64" s="418">
        <v>0</v>
      </c>
      <c r="D64" s="419">
        <v>10046456</v>
      </c>
      <c r="E64" s="419">
        <v>160298</v>
      </c>
      <c r="F64" s="419">
        <v>7533000</v>
      </c>
      <c r="G64" s="419">
        <v>0</v>
      </c>
      <c r="H64" s="420">
        <v>6000000</v>
      </c>
      <c r="I64" s="417">
        <v>23739754</v>
      </c>
    </row>
    <row r="65" spans="1:9" ht="21.75" customHeight="1" thickBot="1">
      <c r="A65" s="416" t="s">
        <v>101</v>
      </c>
      <c r="B65" s="417">
        <v>7960193.25</v>
      </c>
      <c r="C65" s="418">
        <v>1972000</v>
      </c>
      <c r="D65" s="419">
        <v>12687380.6</v>
      </c>
      <c r="E65" s="419">
        <v>160297.58</v>
      </c>
      <c r="F65" s="419">
        <v>7533000</v>
      </c>
      <c r="G65" s="419">
        <v>56933</v>
      </c>
      <c r="H65" s="420">
        <v>6000000</v>
      </c>
      <c r="I65" s="417">
        <v>28409611.18</v>
      </c>
    </row>
    <row r="66" ht="21.75" customHeight="1" thickBot="1"/>
    <row r="67" spans="1:9" ht="49.5" customHeight="1">
      <c r="A67" s="678" t="s">
        <v>102</v>
      </c>
      <c r="B67" s="384" t="s">
        <v>93</v>
      </c>
      <c r="C67" s="385" t="s">
        <v>104</v>
      </c>
      <c r="D67" s="386" t="s">
        <v>94</v>
      </c>
      <c r="E67" s="386" t="s">
        <v>180</v>
      </c>
      <c r="F67" s="386" t="s">
        <v>95</v>
      </c>
      <c r="G67" s="386" t="s">
        <v>369</v>
      </c>
      <c r="H67" s="387" t="s">
        <v>181</v>
      </c>
      <c r="I67" s="384" t="s">
        <v>96</v>
      </c>
    </row>
    <row r="68" spans="1:9" ht="21.75" customHeight="1" thickBot="1">
      <c r="A68" s="679"/>
      <c r="B68" s="388"/>
      <c r="C68" s="389" t="s">
        <v>105</v>
      </c>
      <c r="D68" s="390" t="s">
        <v>97</v>
      </c>
      <c r="E68" s="390" t="s">
        <v>182</v>
      </c>
      <c r="F68" s="390" t="s">
        <v>98</v>
      </c>
      <c r="G68" s="390" t="s">
        <v>370</v>
      </c>
      <c r="H68" s="391" t="s">
        <v>183</v>
      </c>
      <c r="I68" s="388" t="s">
        <v>99</v>
      </c>
    </row>
    <row r="69" spans="1:9" ht="10.5" customHeight="1">
      <c r="A69" s="680" t="s">
        <v>207</v>
      </c>
      <c r="B69" s="392"/>
      <c r="C69" s="421"/>
      <c r="D69" s="394">
        <v>2324233</v>
      </c>
      <c r="E69" s="395"/>
      <c r="F69" s="395"/>
      <c r="G69" s="395"/>
      <c r="H69" s="396"/>
      <c r="I69" s="397">
        <v>2324233</v>
      </c>
    </row>
    <row r="70" spans="1:9" ht="10.5" customHeight="1">
      <c r="A70" s="669"/>
      <c r="B70" s="398"/>
      <c r="C70" s="399"/>
      <c r="D70" s="400">
        <v>2324233.1</v>
      </c>
      <c r="E70" s="400"/>
      <c r="F70" s="400"/>
      <c r="G70" s="400"/>
      <c r="H70" s="401"/>
      <c r="I70" s="402">
        <v>2324233.1</v>
      </c>
    </row>
    <row r="71" spans="1:9" ht="10.5" customHeight="1">
      <c r="A71" s="668" t="s">
        <v>208</v>
      </c>
      <c r="B71" s="664"/>
      <c r="C71" s="699"/>
      <c r="D71" s="672">
        <v>100000</v>
      </c>
      <c r="E71" s="672"/>
      <c r="F71" s="672"/>
      <c r="G71" s="672"/>
      <c r="H71" s="674"/>
      <c r="I71" s="666">
        <v>100000</v>
      </c>
    </row>
    <row r="72" spans="1:9" ht="10.5" customHeight="1">
      <c r="A72" s="669"/>
      <c r="B72" s="665"/>
      <c r="C72" s="700"/>
      <c r="D72" s="673"/>
      <c r="E72" s="673"/>
      <c r="F72" s="673"/>
      <c r="G72" s="673"/>
      <c r="H72" s="698"/>
      <c r="I72" s="667"/>
    </row>
    <row r="73" spans="1:9" ht="10.5" customHeight="1">
      <c r="A73" s="668" t="s">
        <v>209</v>
      </c>
      <c r="B73" s="664"/>
      <c r="C73" s="699"/>
      <c r="D73" s="672">
        <v>50000</v>
      </c>
      <c r="E73" s="672"/>
      <c r="F73" s="672"/>
      <c r="G73" s="672"/>
      <c r="H73" s="674"/>
      <c r="I73" s="666">
        <v>50000</v>
      </c>
    </row>
    <row r="74" spans="1:9" ht="10.5" customHeight="1">
      <c r="A74" s="669"/>
      <c r="B74" s="665"/>
      <c r="C74" s="700"/>
      <c r="D74" s="673"/>
      <c r="E74" s="673"/>
      <c r="F74" s="673"/>
      <c r="G74" s="673"/>
      <c r="H74" s="698"/>
      <c r="I74" s="667"/>
    </row>
    <row r="75" spans="1:9" ht="10.5" customHeight="1">
      <c r="A75" s="668" t="s">
        <v>210</v>
      </c>
      <c r="B75" s="664"/>
      <c r="C75" s="699"/>
      <c r="D75" s="672">
        <v>59500</v>
      </c>
      <c r="E75" s="672"/>
      <c r="F75" s="672"/>
      <c r="G75" s="672"/>
      <c r="H75" s="674"/>
      <c r="I75" s="666">
        <v>59500</v>
      </c>
    </row>
    <row r="76" spans="1:9" ht="10.5" customHeight="1">
      <c r="A76" s="669"/>
      <c r="B76" s="665"/>
      <c r="C76" s="700"/>
      <c r="D76" s="673"/>
      <c r="E76" s="673"/>
      <c r="F76" s="673"/>
      <c r="G76" s="673"/>
      <c r="H76" s="698"/>
      <c r="I76" s="667"/>
    </row>
    <row r="77" spans="1:9" ht="10.5" customHeight="1">
      <c r="A77" s="668" t="s">
        <v>211</v>
      </c>
      <c r="B77" s="664"/>
      <c r="C77" s="699"/>
      <c r="D77" s="672">
        <v>2261000</v>
      </c>
      <c r="E77" s="672"/>
      <c r="F77" s="672"/>
      <c r="G77" s="672"/>
      <c r="H77" s="674"/>
      <c r="I77" s="666">
        <v>2261000</v>
      </c>
    </row>
    <row r="78" spans="1:9" ht="10.5" customHeight="1">
      <c r="A78" s="669"/>
      <c r="B78" s="665"/>
      <c r="C78" s="700"/>
      <c r="D78" s="673"/>
      <c r="E78" s="673"/>
      <c r="F78" s="673"/>
      <c r="G78" s="673"/>
      <c r="H78" s="698"/>
      <c r="I78" s="667"/>
    </row>
    <row r="79" spans="1:9" ht="10.5" customHeight="1">
      <c r="A79" s="668" t="s">
        <v>212</v>
      </c>
      <c r="B79" s="403"/>
      <c r="C79" s="404"/>
      <c r="D79" s="405">
        <v>1558900</v>
      </c>
      <c r="E79" s="406"/>
      <c r="F79" s="406"/>
      <c r="G79" s="406"/>
      <c r="H79" s="407"/>
      <c r="I79" s="408">
        <v>1558900</v>
      </c>
    </row>
    <row r="80" spans="1:9" ht="10.5" customHeight="1">
      <c r="A80" s="669"/>
      <c r="B80" s="398"/>
      <c r="C80" s="399"/>
      <c r="D80" s="400">
        <v>1403010</v>
      </c>
      <c r="E80" s="400"/>
      <c r="F80" s="400"/>
      <c r="G80" s="400"/>
      <c r="H80" s="401"/>
      <c r="I80" s="402">
        <v>1403010</v>
      </c>
    </row>
    <row r="81" spans="1:9" ht="10.5" customHeight="1">
      <c r="A81" s="668" t="s">
        <v>213</v>
      </c>
      <c r="B81" s="403"/>
      <c r="C81" s="404"/>
      <c r="D81" s="405">
        <v>80000</v>
      </c>
      <c r="E81" s="406"/>
      <c r="F81" s="406"/>
      <c r="G81" s="406"/>
      <c r="H81" s="407"/>
      <c r="I81" s="408">
        <v>80000</v>
      </c>
    </row>
    <row r="82" spans="1:9" ht="10.5" customHeight="1">
      <c r="A82" s="669"/>
      <c r="B82" s="398"/>
      <c r="C82" s="399"/>
      <c r="D82" s="400">
        <v>0</v>
      </c>
      <c r="E82" s="400"/>
      <c r="F82" s="400"/>
      <c r="G82" s="400"/>
      <c r="H82" s="401"/>
      <c r="I82" s="402">
        <v>0</v>
      </c>
    </row>
    <row r="83" spans="1:9" ht="10.5" customHeight="1">
      <c r="A83" s="668" t="s">
        <v>214</v>
      </c>
      <c r="B83" s="403"/>
      <c r="C83" s="404"/>
      <c r="D83" s="405">
        <v>100000</v>
      </c>
      <c r="E83" s="406"/>
      <c r="F83" s="406"/>
      <c r="G83" s="406"/>
      <c r="H83" s="407"/>
      <c r="I83" s="408">
        <v>100000</v>
      </c>
    </row>
    <row r="84" spans="1:9" ht="10.5" customHeight="1">
      <c r="A84" s="669"/>
      <c r="B84" s="398"/>
      <c r="C84" s="399"/>
      <c r="D84" s="400">
        <v>230000</v>
      </c>
      <c r="E84" s="400"/>
      <c r="F84" s="400"/>
      <c r="G84" s="400"/>
      <c r="H84" s="401"/>
      <c r="I84" s="402">
        <v>230000</v>
      </c>
    </row>
    <row r="85" spans="1:9" ht="10.5" customHeight="1">
      <c r="A85" s="668" t="s">
        <v>215</v>
      </c>
      <c r="B85" s="410">
        <v>8004022</v>
      </c>
      <c r="C85" s="404"/>
      <c r="D85" s="405">
        <v>3100000</v>
      </c>
      <c r="E85" s="406"/>
      <c r="F85" s="406"/>
      <c r="G85" s="406"/>
      <c r="H85" s="407"/>
      <c r="I85" s="408">
        <v>3100000</v>
      </c>
    </row>
    <row r="86" spans="1:9" ht="10.5" customHeight="1">
      <c r="A86" s="669"/>
      <c r="B86" s="398">
        <v>6706922.1</v>
      </c>
      <c r="C86" s="399"/>
      <c r="D86" s="400">
        <v>450000</v>
      </c>
      <c r="E86" s="400"/>
      <c r="F86" s="400"/>
      <c r="G86" s="400"/>
      <c r="H86" s="401"/>
      <c r="I86" s="402">
        <v>450000</v>
      </c>
    </row>
    <row r="87" spans="1:9" ht="10.5" customHeight="1">
      <c r="A87" s="668" t="s">
        <v>216</v>
      </c>
      <c r="B87" s="664"/>
      <c r="C87" s="699"/>
      <c r="D87" s="672">
        <v>2366918</v>
      </c>
      <c r="E87" s="672"/>
      <c r="F87" s="672"/>
      <c r="G87" s="672"/>
      <c r="H87" s="674"/>
      <c r="I87" s="666">
        <v>2366918</v>
      </c>
    </row>
    <row r="88" spans="1:9" ht="10.5" customHeight="1">
      <c r="A88" s="669"/>
      <c r="B88" s="665"/>
      <c r="C88" s="700"/>
      <c r="D88" s="673"/>
      <c r="E88" s="673"/>
      <c r="F88" s="673"/>
      <c r="G88" s="673"/>
      <c r="H88" s="698"/>
      <c r="I88" s="667"/>
    </row>
    <row r="89" spans="1:9" ht="10.5" customHeight="1">
      <c r="A89" s="668" t="s">
        <v>217</v>
      </c>
      <c r="B89" s="403"/>
      <c r="C89" s="404"/>
      <c r="D89" s="405">
        <v>800000</v>
      </c>
      <c r="E89" s="406"/>
      <c r="F89" s="406"/>
      <c r="G89" s="406"/>
      <c r="H89" s="407"/>
      <c r="I89" s="408">
        <v>800000</v>
      </c>
    </row>
    <row r="90" spans="1:9" ht="10.5" customHeight="1">
      <c r="A90" s="669"/>
      <c r="B90" s="398"/>
      <c r="C90" s="399"/>
      <c r="D90" s="400">
        <v>426368.2</v>
      </c>
      <c r="E90" s="400"/>
      <c r="F90" s="400"/>
      <c r="G90" s="400"/>
      <c r="H90" s="401"/>
      <c r="I90" s="402">
        <v>426368.2</v>
      </c>
    </row>
    <row r="91" spans="1:9" ht="10.5" customHeight="1">
      <c r="A91" s="668" t="s">
        <v>218</v>
      </c>
      <c r="B91" s="664"/>
      <c r="C91" s="699"/>
      <c r="D91" s="672">
        <v>1000000</v>
      </c>
      <c r="E91" s="672"/>
      <c r="F91" s="672"/>
      <c r="G91" s="672"/>
      <c r="H91" s="674"/>
      <c r="I91" s="666">
        <v>1000000</v>
      </c>
    </row>
    <row r="92" spans="1:9" ht="10.5" customHeight="1">
      <c r="A92" s="669"/>
      <c r="B92" s="665"/>
      <c r="C92" s="700"/>
      <c r="D92" s="673"/>
      <c r="E92" s="673"/>
      <c r="F92" s="673"/>
      <c r="G92" s="673"/>
      <c r="H92" s="698"/>
      <c r="I92" s="667"/>
    </row>
    <row r="93" spans="1:9" ht="10.5" customHeight="1">
      <c r="A93" s="668" t="s">
        <v>377</v>
      </c>
      <c r="B93" s="403"/>
      <c r="C93" s="404"/>
      <c r="D93" s="405">
        <v>0</v>
      </c>
      <c r="E93" s="406"/>
      <c r="F93" s="406"/>
      <c r="G93" s="406"/>
      <c r="H93" s="407"/>
      <c r="I93" s="408">
        <v>0</v>
      </c>
    </row>
    <row r="94" spans="1:9" ht="10.5" customHeight="1">
      <c r="A94" s="669"/>
      <c r="B94" s="398"/>
      <c r="C94" s="399"/>
      <c r="D94" s="400">
        <v>80000</v>
      </c>
      <c r="E94" s="400"/>
      <c r="F94" s="400"/>
      <c r="G94" s="400"/>
      <c r="H94" s="401"/>
      <c r="I94" s="402">
        <v>80000</v>
      </c>
    </row>
    <row r="95" spans="1:9" ht="10.5" customHeight="1">
      <c r="A95" s="668" t="s">
        <v>219</v>
      </c>
      <c r="B95" s="664">
        <v>101031</v>
      </c>
      <c r="C95" s="699"/>
      <c r="D95" s="672"/>
      <c r="E95" s="672"/>
      <c r="F95" s="672"/>
      <c r="G95" s="672"/>
      <c r="H95" s="674"/>
      <c r="I95" s="666"/>
    </row>
    <row r="96" spans="1:9" ht="10.5" customHeight="1">
      <c r="A96" s="669"/>
      <c r="B96" s="665"/>
      <c r="C96" s="700"/>
      <c r="D96" s="673"/>
      <c r="E96" s="673"/>
      <c r="F96" s="673"/>
      <c r="G96" s="673"/>
      <c r="H96" s="698"/>
      <c r="I96" s="667"/>
    </row>
    <row r="97" spans="1:9" ht="10.5" customHeight="1">
      <c r="A97" s="668" t="s">
        <v>220</v>
      </c>
      <c r="B97" s="403"/>
      <c r="C97" s="404"/>
      <c r="D97" s="405">
        <v>0</v>
      </c>
      <c r="E97" s="406"/>
      <c r="F97" s="406"/>
      <c r="G97" s="406"/>
      <c r="H97" s="407"/>
      <c r="I97" s="408">
        <v>0</v>
      </c>
    </row>
    <row r="98" spans="1:9" ht="10.5" customHeight="1">
      <c r="A98" s="669"/>
      <c r="B98" s="398"/>
      <c r="C98" s="399"/>
      <c r="D98" s="400">
        <v>108597.1</v>
      </c>
      <c r="E98" s="400"/>
      <c r="F98" s="400"/>
      <c r="G98" s="400"/>
      <c r="H98" s="401"/>
      <c r="I98" s="402">
        <v>108597.1</v>
      </c>
    </row>
    <row r="99" spans="1:9" ht="10.5" customHeight="1">
      <c r="A99" s="668" t="s">
        <v>221</v>
      </c>
      <c r="B99" s="664"/>
      <c r="C99" s="699"/>
      <c r="D99" s="672">
        <v>552993</v>
      </c>
      <c r="E99" s="672"/>
      <c r="F99" s="672"/>
      <c r="G99" s="672"/>
      <c r="H99" s="674"/>
      <c r="I99" s="666">
        <v>552993</v>
      </c>
    </row>
    <row r="100" spans="1:9" ht="10.5" customHeight="1">
      <c r="A100" s="669"/>
      <c r="B100" s="665"/>
      <c r="C100" s="700"/>
      <c r="D100" s="673"/>
      <c r="E100" s="673"/>
      <c r="F100" s="673"/>
      <c r="G100" s="673"/>
      <c r="H100" s="698"/>
      <c r="I100" s="667"/>
    </row>
    <row r="101" spans="1:9" ht="10.5" customHeight="1">
      <c r="A101" s="668" t="s">
        <v>378</v>
      </c>
      <c r="B101" s="403"/>
      <c r="C101" s="404"/>
      <c r="D101" s="405">
        <v>0</v>
      </c>
      <c r="E101" s="406"/>
      <c r="F101" s="406"/>
      <c r="G101" s="406"/>
      <c r="H101" s="407"/>
      <c r="I101" s="408">
        <v>0</v>
      </c>
    </row>
    <row r="102" spans="1:9" ht="10.5" customHeight="1" thickBot="1">
      <c r="A102" s="670"/>
      <c r="B102" s="411"/>
      <c r="C102" s="412"/>
      <c r="D102" s="413">
        <v>300000</v>
      </c>
      <c r="E102" s="413"/>
      <c r="F102" s="413"/>
      <c r="G102" s="413"/>
      <c r="H102" s="414"/>
      <c r="I102" s="415">
        <v>300000</v>
      </c>
    </row>
    <row r="103" spans="1:9" ht="21.75" customHeight="1" thickBot="1">
      <c r="A103" s="416" t="s">
        <v>103</v>
      </c>
      <c r="B103" s="417">
        <v>8105053</v>
      </c>
      <c r="C103" s="418"/>
      <c r="D103" s="419">
        <v>14353544</v>
      </c>
      <c r="E103" s="419"/>
      <c r="F103" s="419"/>
      <c r="G103" s="419"/>
      <c r="H103" s="420"/>
      <c r="I103" s="417">
        <v>14353544</v>
      </c>
    </row>
    <row r="104" spans="1:9" ht="21.75" customHeight="1" thickBot="1">
      <c r="A104" s="416" t="s">
        <v>103</v>
      </c>
      <c r="B104" s="417">
        <v>6807953.1</v>
      </c>
      <c r="C104" s="418"/>
      <c r="D104" s="419">
        <v>11712619.4</v>
      </c>
      <c r="E104" s="419"/>
      <c r="F104" s="419"/>
      <c r="G104" s="419"/>
      <c r="H104" s="420"/>
      <c r="I104" s="417">
        <v>11712619.4</v>
      </c>
    </row>
    <row r="105" ht="21.75" customHeight="1" thickBot="1"/>
    <row r="106" spans="1:9" ht="21.75" customHeight="1" thickBot="1">
      <c r="A106" s="416" t="s">
        <v>63</v>
      </c>
      <c r="B106" s="417">
        <v>18768146</v>
      </c>
      <c r="C106" s="418">
        <v>0</v>
      </c>
      <c r="D106" s="419">
        <v>24400000</v>
      </c>
      <c r="E106" s="419">
        <v>160298</v>
      </c>
      <c r="F106" s="419">
        <v>7533000</v>
      </c>
      <c r="G106" s="419">
        <v>0</v>
      </c>
      <c r="H106" s="420">
        <v>6000000</v>
      </c>
      <c r="I106" s="417">
        <v>38093298</v>
      </c>
    </row>
    <row r="107" spans="1:9" ht="21.75" customHeight="1" thickBot="1">
      <c r="A107" s="416" t="s">
        <v>63</v>
      </c>
      <c r="B107" s="417">
        <v>14768146.35</v>
      </c>
      <c r="C107" s="418">
        <v>1972000</v>
      </c>
      <c r="D107" s="419">
        <v>24400000</v>
      </c>
      <c r="E107" s="419">
        <v>160297.58</v>
      </c>
      <c r="F107" s="419">
        <v>7533000</v>
      </c>
      <c r="G107" s="419">
        <v>56933</v>
      </c>
      <c r="H107" s="420">
        <v>6000000</v>
      </c>
      <c r="I107" s="417">
        <v>40122230.58</v>
      </c>
    </row>
  </sheetData>
  <mergeCells count="152">
    <mergeCell ref="H99:H100"/>
    <mergeCell ref="B99:B100"/>
    <mergeCell ref="I99:I100"/>
    <mergeCell ref="A101:A102"/>
    <mergeCell ref="E99:E100"/>
    <mergeCell ref="F99:F100"/>
    <mergeCell ref="G99:G100"/>
    <mergeCell ref="A99:A100"/>
    <mergeCell ref="C99:C100"/>
    <mergeCell ref="D99:D100"/>
    <mergeCell ref="H95:H96"/>
    <mergeCell ref="B95:B96"/>
    <mergeCell ref="I95:I96"/>
    <mergeCell ref="A97:A98"/>
    <mergeCell ref="E95:E96"/>
    <mergeCell ref="F95:F96"/>
    <mergeCell ref="G95:G96"/>
    <mergeCell ref="A95:A96"/>
    <mergeCell ref="C95:C96"/>
    <mergeCell ref="D95:D96"/>
    <mergeCell ref="H91:H92"/>
    <mergeCell ref="B91:B92"/>
    <mergeCell ref="I91:I92"/>
    <mergeCell ref="A93:A94"/>
    <mergeCell ref="E91:E92"/>
    <mergeCell ref="F91:F92"/>
    <mergeCell ref="G91:G92"/>
    <mergeCell ref="A91:A92"/>
    <mergeCell ref="C91:C92"/>
    <mergeCell ref="D91:D92"/>
    <mergeCell ref="H87:H88"/>
    <mergeCell ref="B87:B88"/>
    <mergeCell ref="I87:I88"/>
    <mergeCell ref="A89:A90"/>
    <mergeCell ref="E87:E88"/>
    <mergeCell ref="F87:F88"/>
    <mergeCell ref="G87:G88"/>
    <mergeCell ref="A87:A88"/>
    <mergeCell ref="C87:C88"/>
    <mergeCell ref="D87:D88"/>
    <mergeCell ref="A79:A80"/>
    <mergeCell ref="A81:A82"/>
    <mergeCell ref="A83:A84"/>
    <mergeCell ref="A85:A86"/>
    <mergeCell ref="H77:H78"/>
    <mergeCell ref="B77:B78"/>
    <mergeCell ref="I77:I78"/>
    <mergeCell ref="H75:H76"/>
    <mergeCell ref="B75:B76"/>
    <mergeCell ref="I75:I76"/>
    <mergeCell ref="F77:F78"/>
    <mergeCell ref="G77:G78"/>
    <mergeCell ref="E75:E76"/>
    <mergeCell ref="F75:F76"/>
    <mergeCell ref="A77:A78"/>
    <mergeCell ref="C77:C78"/>
    <mergeCell ref="D77:D78"/>
    <mergeCell ref="E77:E78"/>
    <mergeCell ref="G75:G76"/>
    <mergeCell ref="A75:A76"/>
    <mergeCell ref="C75:C76"/>
    <mergeCell ref="D75:D76"/>
    <mergeCell ref="H73:H74"/>
    <mergeCell ref="B73:B74"/>
    <mergeCell ref="I73:I74"/>
    <mergeCell ref="H71:H72"/>
    <mergeCell ref="B71:B72"/>
    <mergeCell ref="I71:I72"/>
    <mergeCell ref="F73:F74"/>
    <mergeCell ref="G73:G74"/>
    <mergeCell ref="E71:E72"/>
    <mergeCell ref="F71:F72"/>
    <mergeCell ref="A73:A74"/>
    <mergeCell ref="C73:C74"/>
    <mergeCell ref="D73:D74"/>
    <mergeCell ref="E73:E74"/>
    <mergeCell ref="G71:G72"/>
    <mergeCell ref="A71:A72"/>
    <mergeCell ref="C71:C72"/>
    <mergeCell ref="D71:D72"/>
    <mergeCell ref="A60:A61"/>
    <mergeCell ref="A62:A63"/>
    <mergeCell ref="A67:A68"/>
    <mergeCell ref="A69:A70"/>
    <mergeCell ref="A52:A53"/>
    <mergeCell ref="A54:A55"/>
    <mergeCell ref="A56:A57"/>
    <mergeCell ref="A58:A59"/>
    <mergeCell ref="H50:H51"/>
    <mergeCell ref="B50:B51"/>
    <mergeCell ref="I50:I51"/>
    <mergeCell ref="D50:D51"/>
    <mergeCell ref="E50:E51"/>
    <mergeCell ref="F50:F51"/>
    <mergeCell ref="G50:G51"/>
    <mergeCell ref="A48:A49"/>
    <mergeCell ref="A50:A51"/>
    <mergeCell ref="C50:C51"/>
    <mergeCell ref="A40:A41"/>
    <mergeCell ref="A42:A43"/>
    <mergeCell ref="A44:A45"/>
    <mergeCell ref="A46:A47"/>
    <mergeCell ref="I32:I33"/>
    <mergeCell ref="A34:A35"/>
    <mergeCell ref="A36:A37"/>
    <mergeCell ref="A38:A39"/>
    <mergeCell ref="G32:G33"/>
    <mergeCell ref="H32:H33"/>
    <mergeCell ref="B32:B33"/>
    <mergeCell ref="D32:D33"/>
    <mergeCell ref="E32:E33"/>
    <mergeCell ref="F32:F33"/>
    <mergeCell ref="A28:A29"/>
    <mergeCell ref="A30:A31"/>
    <mergeCell ref="A32:A33"/>
    <mergeCell ref="C32:C33"/>
    <mergeCell ref="I20:I21"/>
    <mergeCell ref="A22:A23"/>
    <mergeCell ref="A24:A25"/>
    <mergeCell ref="A26:A27"/>
    <mergeCell ref="G20:G21"/>
    <mergeCell ref="H20:H21"/>
    <mergeCell ref="B20:B21"/>
    <mergeCell ref="D20:D21"/>
    <mergeCell ref="E20:E21"/>
    <mergeCell ref="F20:F21"/>
    <mergeCell ref="A16:A17"/>
    <mergeCell ref="A18:A19"/>
    <mergeCell ref="A20:A21"/>
    <mergeCell ref="C20:C21"/>
    <mergeCell ref="H12:H13"/>
    <mergeCell ref="B12:B13"/>
    <mergeCell ref="I12:I13"/>
    <mergeCell ref="A14:A15"/>
    <mergeCell ref="B10:B11"/>
    <mergeCell ref="I10:I11"/>
    <mergeCell ref="A12:A13"/>
    <mergeCell ref="C12:C13"/>
    <mergeCell ref="D12:D13"/>
    <mergeCell ref="E12:E13"/>
    <mergeCell ref="F12:F13"/>
    <mergeCell ref="G12:G13"/>
    <mergeCell ref="F10:F11"/>
    <mergeCell ref="G10:G11"/>
    <mergeCell ref="H10:H11"/>
    <mergeCell ref="C10:C11"/>
    <mergeCell ref="D10:D11"/>
    <mergeCell ref="E10:E11"/>
    <mergeCell ref="A4:A5"/>
    <mergeCell ref="A6:A7"/>
    <mergeCell ref="A8:A9"/>
    <mergeCell ref="A10:A11"/>
  </mergeCells>
  <printOptions horizontalCentered="1"/>
  <pageMargins left="0.35433070866141736" right="0.35433070866141736" top="0.4330708661417323" bottom="0.4330708661417323" header="0.5118110236220472" footer="0.5118110236220472"/>
  <pageSetup horizontalDpi="300" verticalDpi="300" orientation="portrait" paperSize="9" scale="7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2006-08-30T22:53:40Z</cp:lastPrinted>
  <dcterms:created xsi:type="dcterms:W3CDTF">2006-04-12T11:32:31Z</dcterms:created>
  <dcterms:modified xsi:type="dcterms:W3CDTF">2006-08-31T11:46:33Z</dcterms:modified>
  <cp:category/>
  <cp:version/>
  <cp:contentType/>
  <cp:contentStatus/>
</cp:coreProperties>
</file>