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K-17-2006-30, př. 4" sheetId="1" r:id="rId1"/>
  </sheets>
  <definedNames>
    <definedName name="_xlnm.Print_Area" localSheetId="0">'RK-17-2006-30, př. 4'!$A$1:$AA$66</definedName>
  </definedNames>
  <calcPr fullCalcOnLoad="1"/>
</workbook>
</file>

<file path=xl/sharedStrings.xml><?xml version="1.0" encoding="utf-8"?>
<sst xmlns="http://schemas.openxmlformats.org/spreadsheetml/2006/main" count="80" uniqueCount="53">
  <si>
    <t>DD Havlíčků Brod</t>
  </si>
  <si>
    <t>DD Ždírec</t>
  </si>
  <si>
    <t>DD Onšov</t>
  </si>
  <si>
    <t>DD Proseč Obořiště</t>
  </si>
  <si>
    <t>DD Proseč u  Pošné</t>
  </si>
  <si>
    <t>DD Humpolec</t>
  </si>
  <si>
    <t>DD Třebíč Kubešova</t>
  </si>
  <si>
    <t>DD Třebíč Koutkova</t>
  </si>
  <si>
    <t>DD Třebíč Curierových</t>
  </si>
  <si>
    <t>DD Velký Újezd</t>
  </si>
  <si>
    <t>DD Náměšt nad Oslavou</t>
  </si>
  <si>
    <t>DD Mitrov</t>
  </si>
  <si>
    <t>DD Velké Meziříčí</t>
  </si>
  <si>
    <t>Celkem</t>
  </si>
  <si>
    <t>ÚSP</t>
  </si>
  <si>
    <t>DD</t>
  </si>
  <si>
    <t>USP Lidmaň</t>
  </si>
  <si>
    <t>USP Věž</t>
  </si>
  <si>
    <t>USP Nové Syrovice</t>
  </si>
  <si>
    <t>USP Ledeč nad Sázavou</t>
  </si>
  <si>
    <t>USP Zboží</t>
  </si>
  <si>
    <t>USP Těchobuz</t>
  </si>
  <si>
    <t>USP Jinošov</t>
  </si>
  <si>
    <t>USP Křižanov</t>
  </si>
  <si>
    <t>DUSP Černovice</t>
  </si>
  <si>
    <t>Psychocentrum</t>
  </si>
  <si>
    <t>Paragraf</t>
  </si>
  <si>
    <t>Položka</t>
  </si>
  <si>
    <t>nárůst tarifních tabulek 5 %</t>
  </si>
  <si>
    <t>Usnesení č. 0534/09/2005/ZK (cca 3%)</t>
  </si>
  <si>
    <t>Mzdový limit po úpravě 2006</t>
  </si>
  <si>
    <t>Osobní příplatek u SZP 2005</t>
  </si>
  <si>
    <t>nárůst ve výnosech</t>
  </si>
  <si>
    <t>Celkem (včetně zdravotního  a soc. pojištění)</t>
  </si>
  <si>
    <t>Celkem bez pojištění</t>
  </si>
  <si>
    <t>z toho rozdíl:</t>
  </si>
  <si>
    <t>Nárůst o %:</t>
  </si>
  <si>
    <t>% nárůst</t>
  </si>
  <si>
    <t>SZP</t>
  </si>
  <si>
    <t>zam. celkem</t>
  </si>
  <si>
    <t>SZP/zam. celkem</t>
  </si>
  <si>
    <t>Mzdový limit 2005 (na konci roku)</t>
  </si>
  <si>
    <t>% nárůst (06/05)</t>
  </si>
  <si>
    <t>počet stran: 1</t>
  </si>
  <si>
    <t xml:space="preserve"> přesun zdravotních sester do 9. tříd </t>
  </si>
  <si>
    <t>z toho nárůst tarifních platů:</t>
  </si>
  <si>
    <t>Celkový nárůst mzdového limitu</t>
  </si>
  <si>
    <t>vlastní zdroje k pokrytí nárůstu:</t>
  </si>
  <si>
    <t>nárůst - vlastní zdroje 2006</t>
  </si>
  <si>
    <t>Nárůst (po snížení) v roce  2006 - Usnesení</t>
  </si>
  <si>
    <t>Dorovnání dlouhodobě nízkého mzdového limitu</t>
  </si>
  <si>
    <t>% nárůst (přesun zdravotních sester do 9. tříd )</t>
  </si>
  <si>
    <t>RK-17-2006-30, př. 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</si>
</sst>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10409]###\ ###\ ###.00"/>
    <numFmt numFmtId="166" formatCode="[$-1010409]###\ ###\ ###.0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10"/>
      <color indexed="9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0" fillId="0" borderId="0" xfId="0" applyFill="1" applyAlignment="1">
      <alignment/>
    </xf>
    <xf numFmtId="3" fontId="4" fillId="3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4" fillId="4" borderId="5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3" fontId="0" fillId="0" borderId="0" xfId="0" applyNumberFormat="1" applyAlignment="1">
      <alignment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2" borderId="13" xfId="0" applyFont="1" applyFill="1" applyBorder="1" applyAlignment="1">
      <alignment/>
    </xf>
    <xf numFmtId="0" fontId="9" fillId="0" borderId="0" xfId="0" applyFont="1" applyAlignment="1">
      <alignment/>
    </xf>
    <xf numFmtId="0" fontId="4" fillId="4" borderId="14" xfId="0" applyFont="1" applyFill="1" applyBorder="1" applyAlignment="1">
      <alignment/>
    </xf>
    <xf numFmtId="9" fontId="4" fillId="4" borderId="15" xfId="0" applyNumberFormat="1" applyFont="1" applyFill="1" applyBorder="1" applyAlignment="1">
      <alignment/>
    </xf>
    <xf numFmtId="0" fontId="4" fillId="4" borderId="15" xfId="0" applyFont="1" applyFill="1" applyBorder="1" applyAlignment="1">
      <alignment/>
    </xf>
    <xf numFmtId="9" fontId="4" fillId="4" borderId="1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3" fontId="10" fillId="0" borderId="17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12" fillId="4" borderId="23" xfId="0" applyNumberFormat="1" applyFont="1" applyFill="1" applyBorder="1" applyAlignment="1">
      <alignment/>
    </xf>
    <xf numFmtId="3" fontId="12" fillId="4" borderId="24" xfId="0" applyNumberFormat="1" applyFont="1" applyFill="1" applyBorder="1" applyAlignment="1">
      <alignment/>
    </xf>
    <xf numFmtId="3" fontId="12" fillId="4" borderId="5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3" fontId="12" fillId="3" borderId="7" xfId="0" applyNumberFormat="1" applyFont="1" applyFill="1" applyBorder="1" applyAlignment="1">
      <alignment/>
    </xf>
    <xf numFmtId="3" fontId="12" fillId="3" borderId="1" xfId="0" applyNumberFormat="1" applyFont="1" applyFill="1" applyBorder="1" applyAlignment="1">
      <alignment/>
    </xf>
    <xf numFmtId="3" fontId="12" fillId="4" borderId="1" xfId="0" applyNumberFormat="1" applyFont="1" applyFill="1" applyBorder="1" applyAlignment="1">
      <alignment/>
    </xf>
    <xf numFmtId="9" fontId="13" fillId="4" borderId="1" xfId="0" applyNumberFormat="1" applyFont="1" applyFill="1" applyBorder="1" applyAlignment="1">
      <alignment/>
    </xf>
    <xf numFmtId="3" fontId="12" fillId="3" borderId="25" xfId="0" applyNumberFormat="1" applyFont="1" applyFill="1" applyBorder="1" applyAlignment="1">
      <alignment/>
    </xf>
    <xf numFmtId="3" fontId="12" fillId="3" borderId="26" xfId="0" applyNumberFormat="1" applyFont="1" applyFill="1" applyBorder="1" applyAlignment="1">
      <alignment/>
    </xf>
    <xf numFmtId="3" fontId="12" fillId="3" borderId="27" xfId="0" applyNumberFormat="1" applyFont="1" applyFill="1" applyBorder="1" applyAlignment="1">
      <alignment/>
    </xf>
    <xf numFmtId="9" fontId="13" fillId="4" borderId="5" xfId="0" applyNumberFormat="1" applyFont="1" applyFill="1" applyBorder="1" applyAlignment="1">
      <alignment/>
    </xf>
    <xf numFmtId="3" fontId="12" fillId="3" borderId="28" xfId="0" applyNumberFormat="1" applyFont="1" applyFill="1" applyBorder="1" applyAlignment="1">
      <alignment/>
    </xf>
    <xf numFmtId="3" fontId="12" fillId="3" borderId="29" xfId="0" applyNumberFormat="1" applyFont="1" applyFill="1" applyBorder="1" applyAlignment="1">
      <alignment/>
    </xf>
    <xf numFmtId="3" fontId="12" fillId="3" borderId="30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0" fontId="14" fillId="2" borderId="34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/>
    </xf>
    <xf numFmtId="3" fontId="10" fillId="0" borderId="31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9" fontId="4" fillId="0" borderId="0" xfId="0" applyNumberFormat="1" applyFont="1" applyFill="1" applyBorder="1" applyAlignment="1">
      <alignment/>
    </xf>
    <xf numFmtId="3" fontId="12" fillId="4" borderId="36" xfId="0" applyNumberFormat="1" applyFont="1" applyFill="1" applyBorder="1" applyAlignment="1">
      <alignment/>
    </xf>
    <xf numFmtId="0" fontId="7" fillId="2" borderId="13" xfId="0" applyFont="1" applyFill="1" applyBorder="1" applyAlignment="1">
      <alignment horizontal="center" vertical="center" wrapText="1"/>
    </xf>
    <xf numFmtId="9" fontId="13" fillId="5" borderId="25" xfId="0" applyNumberFormat="1" applyFont="1" applyFill="1" applyBorder="1" applyAlignment="1">
      <alignment/>
    </xf>
    <xf numFmtId="9" fontId="13" fillId="5" borderId="26" xfId="0" applyNumberFormat="1" applyFont="1" applyFill="1" applyBorder="1" applyAlignment="1">
      <alignment/>
    </xf>
    <xf numFmtId="9" fontId="13" fillId="5" borderId="27" xfId="0" applyNumberFormat="1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16" xfId="0" applyFont="1" applyFill="1" applyBorder="1" applyAlignment="1">
      <alignment wrapText="1"/>
    </xf>
    <xf numFmtId="9" fontId="13" fillId="0" borderId="37" xfId="0" applyNumberFormat="1" applyFont="1" applyBorder="1" applyAlignment="1">
      <alignment/>
    </xf>
    <xf numFmtId="9" fontId="13" fillId="0" borderId="38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3" fontId="13" fillId="0" borderId="20" xfId="0" applyNumberFormat="1" applyFont="1" applyBorder="1" applyAlignment="1">
      <alignment/>
    </xf>
    <xf numFmtId="9" fontId="13" fillId="0" borderId="39" xfId="0" applyNumberFormat="1" applyFont="1" applyBorder="1" applyAlignment="1">
      <alignment/>
    </xf>
    <xf numFmtId="3" fontId="13" fillId="0" borderId="21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3" fontId="10" fillId="0" borderId="40" xfId="0" applyNumberFormat="1" applyFont="1" applyBorder="1" applyAlignment="1">
      <alignment/>
    </xf>
    <xf numFmtId="3" fontId="10" fillId="0" borderId="41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0" fontId="5" fillId="2" borderId="42" xfId="0" applyFont="1" applyFill="1" applyBorder="1" applyAlignment="1">
      <alignment/>
    </xf>
    <xf numFmtId="0" fontId="5" fillId="2" borderId="43" xfId="0" applyFont="1" applyFill="1" applyBorder="1" applyAlignment="1">
      <alignment wrapText="1"/>
    </xf>
    <xf numFmtId="9" fontId="13" fillId="0" borderId="44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3" fontId="13" fillId="0" borderId="18" xfId="0" applyNumberFormat="1" applyFont="1" applyBorder="1" applyAlignment="1">
      <alignment/>
    </xf>
    <xf numFmtId="0" fontId="7" fillId="2" borderId="15" xfId="0" applyFont="1" applyFill="1" applyBorder="1" applyAlignment="1">
      <alignment horizontal="center" vertical="center" wrapText="1"/>
    </xf>
    <xf numFmtId="9" fontId="10" fillId="5" borderId="40" xfId="0" applyNumberFormat="1" applyFont="1" applyFill="1" applyBorder="1" applyAlignment="1">
      <alignment/>
    </xf>
    <xf numFmtId="9" fontId="10" fillId="5" borderId="19" xfId="0" applyNumberFormat="1" applyFont="1" applyFill="1" applyBorder="1" applyAlignment="1">
      <alignment/>
    </xf>
    <xf numFmtId="9" fontId="10" fillId="5" borderId="21" xfId="0" applyNumberFormat="1" applyFont="1" applyFill="1" applyBorder="1" applyAlignment="1">
      <alignment/>
    </xf>
    <xf numFmtId="9" fontId="13" fillId="5" borderId="45" xfId="0" applyNumberFormat="1" applyFont="1" applyFill="1" applyBorder="1" applyAlignment="1">
      <alignment/>
    </xf>
    <xf numFmtId="9" fontId="13" fillId="5" borderId="46" xfId="0" applyNumberFormat="1" applyFont="1" applyFill="1" applyBorder="1" applyAlignment="1">
      <alignment/>
    </xf>
    <xf numFmtId="9" fontId="13" fillId="5" borderId="47" xfId="0" applyNumberFormat="1" applyFont="1" applyFill="1" applyBorder="1" applyAlignment="1">
      <alignment/>
    </xf>
    <xf numFmtId="0" fontId="12" fillId="0" borderId="19" xfId="0" applyFont="1" applyBorder="1" applyAlignment="1">
      <alignment/>
    </xf>
    <xf numFmtId="0" fontId="12" fillId="0" borderId="19" xfId="0" applyFont="1" applyFill="1" applyBorder="1" applyAlignment="1">
      <alignment/>
    </xf>
    <xf numFmtId="0" fontId="5" fillId="2" borderId="25" xfId="0" applyFont="1" applyFill="1" applyBorder="1" applyAlignment="1">
      <alignment/>
    </xf>
    <xf numFmtId="0" fontId="5" fillId="2" borderId="26" xfId="0" applyFont="1" applyFill="1" applyBorder="1" applyAlignment="1">
      <alignment/>
    </xf>
    <xf numFmtId="0" fontId="5" fillId="2" borderId="27" xfId="0" applyFont="1" applyFill="1" applyBorder="1" applyAlignment="1">
      <alignment/>
    </xf>
    <xf numFmtId="3" fontId="12" fillId="3" borderId="44" xfId="0" applyNumberFormat="1" applyFont="1" applyFill="1" applyBorder="1" applyAlignment="1">
      <alignment/>
    </xf>
    <xf numFmtId="0" fontId="12" fillId="0" borderId="17" xfId="0" applyFont="1" applyBorder="1" applyAlignment="1">
      <alignment/>
    </xf>
    <xf numFmtId="3" fontId="12" fillId="0" borderId="18" xfId="0" applyNumberFormat="1" applyFont="1" applyFill="1" applyBorder="1" applyAlignment="1">
      <alignment/>
    </xf>
    <xf numFmtId="3" fontId="12" fillId="3" borderId="38" xfId="0" applyNumberFormat="1" applyFont="1" applyFill="1" applyBorder="1" applyAlignment="1">
      <alignment/>
    </xf>
    <xf numFmtId="3" fontId="12" fillId="0" borderId="20" xfId="0" applyNumberFormat="1" applyFont="1" applyFill="1" applyBorder="1" applyAlignment="1">
      <alignment/>
    </xf>
    <xf numFmtId="3" fontId="12" fillId="3" borderId="39" xfId="0" applyNumberFormat="1" applyFont="1" applyFill="1" applyBorder="1" applyAlignment="1">
      <alignment/>
    </xf>
    <xf numFmtId="0" fontId="12" fillId="0" borderId="21" xfId="0" applyFont="1" applyFill="1" applyBorder="1" applyAlignment="1">
      <alignment/>
    </xf>
    <xf numFmtId="3" fontId="12" fillId="0" borderId="22" xfId="0" applyNumberFormat="1" applyFont="1" applyFill="1" applyBorder="1" applyAlignment="1">
      <alignment/>
    </xf>
    <xf numFmtId="0" fontId="12" fillId="0" borderId="21" xfId="0" applyFont="1" applyBorder="1" applyAlignment="1">
      <alignment/>
    </xf>
    <xf numFmtId="0" fontId="3" fillId="2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3" fillId="2" borderId="25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/>
    </xf>
    <xf numFmtId="0" fontId="3" fillId="2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49" xfId="0" applyBorder="1" applyAlignment="1">
      <alignment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5" fillId="2" borderId="7" xfId="0" applyFont="1" applyFill="1" applyBorder="1" applyAlignment="1">
      <alignment/>
    </xf>
    <xf numFmtId="0" fontId="5" fillId="2" borderId="34" xfId="0" applyFont="1" applyFill="1" applyBorder="1" applyAlignment="1">
      <alignment/>
    </xf>
    <xf numFmtId="0" fontId="0" fillId="0" borderId="6" xfId="0" applyBorder="1" applyAlignment="1">
      <alignment/>
    </xf>
    <xf numFmtId="0" fontId="3" fillId="2" borderId="5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4" fillId="4" borderId="13" xfId="0" applyNumberFormat="1" applyFont="1" applyFill="1" applyBorder="1" applyAlignment="1">
      <alignment/>
    </xf>
    <xf numFmtId="3" fontId="4" fillId="4" borderId="51" xfId="0" applyNumberFormat="1" applyFont="1" applyFill="1" applyBorder="1" applyAlignment="1">
      <alignment/>
    </xf>
    <xf numFmtId="3" fontId="4" fillId="4" borderId="52" xfId="0" applyNumberFormat="1" applyFont="1" applyFill="1" applyBorder="1" applyAlignment="1">
      <alignment/>
    </xf>
    <xf numFmtId="0" fontId="7" fillId="2" borderId="13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6"/>
  <sheetViews>
    <sheetView tabSelected="1" zoomScale="85" zoomScaleNormal="85" workbookViewId="0" topLeftCell="O1">
      <selection activeCell="Y1" sqref="Y1"/>
    </sheetView>
  </sheetViews>
  <sheetFormatPr defaultColWidth="9.00390625" defaultRowHeight="12.75"/>
  <cols>
    <col min="1" max="1" width="1.00390625" style="0" customWidth="1"/>
    <col min="4" max="4" width="23.375" style="0" customWidth="1"/>
    <col min="5" max="5" width="22.125" style="0" customWidth="1"/>
    <col min="6" max="7" width="19.25390625" style="0" customWidth="1"/>
    <col min="8" max="8" width="21.00390625" style="0" customWidth="1"/>
    <col min="9" max="9" width="14.375" style="0" customWidth="1"/>
    <col min="10" max="10" width="14.75390625" style="0" customWidth="1"/>
    <col min="11" max="11" width="16.875" style="0" customWidth="1"/>
    <col min="12" max="12" width="15.875" style="0" customWidth="1"/>
    <col min="13" max="13" width="13.625" style="0" customWidth="1"/>
    <col min="14" max="14" width="16.00390625" style="0" customWidth="1"/>
    <col min="15" max="15" width="14.375" style="0" customWidth="1"/>
    <col min="16" max="16" width="13.25390625" style="0" customWidth="1"/>
    <col min="17" max="17" width="10.625" style="0" customWidth="1"/>
    <col min="18" max="18" width="13.375" style="0" customWidth="1"/>
    <col min="19" max="19" width="19.875" style="0" customWidth="1"/>
    <col min="20" max="20" width="12.125" style="0" bestFit="1" customWidth="1"/>
    <col min="21" max="21" width="10.75390625" style="0" customWidth="1"/>
    <col min="23" max="23" width="10.375" style="0" customWidth="1"/>
  </cols>
  <sheetData>
    <row r="1" spans="21:25" ht="15.75" thickBot="1">
      <c r="U1" s="8"/>
      <c r="Y1" s="8" t="s">
        <v>52</v>
      </c>
    </row>
    <row r="2" spans="2:25" ht="15.75" customHeight="1" thickBot="1">
      <c r="B2" s="124" t="s">
        <v>26</v>
      </c>
      <c r="C2" s="124" t="s">
        <v>27</v>
      </c>
      <c r="D2" s="113" t="s">
        <v>15</v>
      </c>
      <c r="E2" s="109" t="s">
        <v>41</v>
      </c>
      <c r="F2" s="109" t="s">
        <v>29</v>
      </c>
      <c r="G2" s="113" t="s">
        <v>50</v>
      </c>
      <c r="H2" s="111" t="s">
        <v>49</v>
      </c>
      <c r="I2" s="59"/>
      <c r="J2" s="132" t="s">
        <v>45</v>
      </c>
      <c r="K2" s="136"/>
      <c r="L2" s="136"/>
      <c r="M2" s="137"/>
      <c r="N2" s="132" t="s">
        <v>47</v>
      </c>
      <c r="O2" s="133"/>
      <c r="P2" s="134"/>
      <c r="Q2" s="135"/>
      <c r="R2" s="21" t="s">
        <v>35</v>
      </c>
      <c r="S2" s="14"/>
      <c r="U2" s="8"/>
      <c r="Y2" s="8" t="s">
        <v>43</v>
      </c>
    </row>
    <row r="3" spans="2:23" ht="49.5" customHeight="1" thickBot="1">
      <c r="B3" s="114"/>
      <c r="C3" s="114"/>
      <c r="D3" s="115"/>
      <c r="E3" s="110"/>
      <c r="F3" s="110"/>
      <c r="G3" s="114"/>
      <c r="H3" s="112"/>
      <c r="I3" s="60" t="s">
        <v>37</v>
      </c>
      <c r="J3" s="16" t="s">
        <v>28</v>
      </c>
      <c r="K3" s="17" t="s">
        <v>44</v>
      </c>
      <c r="L3" s="88" t="s">
        <v>51</v>
      </c>
      <c r="M3" s="20" t="s">
        <v>13</v>
      </c>
      <c r="N3" s="16" t="s">
        <v>31</v>
      </c>
      <c r="O3" s="17" t="s">
        <v>32</v>
      </c>
      <c r="P3" s="18" t="s">
        <v>33</v>
      </c>
      <c r="Q3" s="19" t="s">
        <v>34</v>
      </c>
      <c r="R3" s="12" t="s">
        <v>48</v>
      </c>
      <c r="S3" s="12" t="s">
        <v>30</v>
      </c>
      <c r="T3" s="66" t="s">
        <v>42</v>
      </c>
      <c r="U3" s="71" t="s">
        <v>40</v>
      </c>
      <c r="V3" s="70" t="s">
        <v>38</v>
      </c>
      <c r="W3" s="71" t="s">
        <v>39</v>
      </c>
    </row>
    <row r="4" spans="2:23" ht="20.25">
      <c r="B4" s="119">
        <v>4316</v>
      </c>
      <c r="C4" s="116">
        <v>5331</v>
      </c>
      <c r="D4" s="97" t="s">
        <v>0</v>
      </c>
      <c r="E4" s="100">
        <v>5944</v>
      </c>
      <c r="F4" s="101">
        <v>178</v>
      </c>
      <c r="G4" s="101"/>
      <c r="H4" s="102">
        <v>755</v>
      </c>
      <c r="I4" s="92">
        <f aca="true" t="shared" si="0" ref="I4:I16">H4/(E4+F4)</f>
        <v>0.12332571055210716</v>
      </c>
      <c r="J4" s="56">
        <f>273.7*100/137</f>
        <v>199.7810218978102</v>
      </c>
      <c r="K4" s="31">
        <f>942.9*100/137</f>
        <v>688.2481751824818</v>
      </c>
      <c r="L4" s="89">
        <f aca="true" t="shared" si="1" ref="L4:L16">K4/(E4+F4)</f>
        <v>0.11242211290141813</v>
      </c>
      <c r="M4" s="31">
        <v>888</v>
      </c>
      <c r="N4" s="31">
        <v>59</v>
      </c>
      <c r="O4" s="31">
        <f>130-6</f>
        <v>124</v>
      </c>
      <c r="P4" s="31">
        <f>N4+O4</f>
        <v>183</v>
      </c>
      <c r="Q4" s="31">
        <v>133</v>
      </c>
      <c r="R4" s="32">
        <f>M4-Q4</f>
        <v>755</v>
      </c>
      <c r="S4" s="49">
        <f aca="true" t="shared" si="2" ref="S4:S15">E4+F4+H4</f>
        <v>6877</v>
      </c>
      <c r="T4" s="67">
        <f aca="true" t="shared" si="3" ref="T4:T17">S4/E4</f>
        <v>1.156965006729475</v>
      </c>
      <c r="U4" s="72">
        <f>V4/W4</f>
        <v>0.3888888888888889</v>
      </c>
      <c r="V4" s="79">
        <v>14</v>
      </c>
      <c r="W4" s="80">
        <v>36</v>
      </c>
    </row>
    <row r="5" spans="2:23" ht="20.25">
      <c r="B5" s="120"/>
      <c r="C5" s="122"/>
      <c r="D5" s="98" t="s">
        <v>1</v>
      </c>
      <c r="E5" s="103">
        <v>10323</v>
      </c>
      <c r="F5" s="96">
        <v>351</v>
      </c>
      <c r="G5" s="96"/>
      <c r="H5" s="104">
        <v>634</v>
      </c>
      <c r="I5" s="93">
        <f t="shared" si="0"/>
        <v>0.05939666479295484</v>
      </c>
      <c r="J5" s="57">
        <f>693.2*100/137</f>
        <v>505.985401459854</v>
      </c>
      <c r="K5" s="33">
        <f>433.2*100/137</f>
        <v>316.2043795620438</v>
      </c>
      <c r="L5" s="90">
        <f t="shared" si="1"/>
        <v>0.029623794225411636</v>
      </c>
      <c r="M5" s="33">
        <v>822</v>
      </c>
      <c r="N5" s="33">
        <v>116</v>
      </c>
      <c r="O5" s="33">
        <f>153-11</f>
        <v>142</v>
      </c>
      <c r="P5" s="33">
        <f aca="true" t="shared" si="4" ref="P5:P16">N5+O5</f>
        <v>258</v>
      </c>
      <c r="Q5" s="33">
        <v>188</v>
      </c>
      <c r="R5" s="34">
        <f aca="true" t="shared" si="5" ref="R5:R16">M5-Q5</f>
        <v>634</v>
      </c>
      <c r="S5" s="50">
        <f t="shared" si="2"/>
        <v>11308</v>
      </c>
      <c r="T5" s="68">
        <f t="shared" si="3"/>
        <v>1.095417998643805</v>
      </c>
      <c r="U5" s="73">
        <f aca="true" t="shared" si="6" ref="U5:U16">V5/W5</f>
        <v>0.3333333333333333</v>
      </c>
      <c r="V5" s="38">
        <v>19</v>
      </c>
      <c r="W5" s="81">
        <v>57</v>
      </c>
    </row>
    <row r="6" spans="2:23" ht="20.25">
      <c r="B6" s="120"/>
      <c r="C6" s="122"/>
      <c r="D6" s="98" t="s">
        <v>2</v>
      </c>
      <c r="E6" s="103">
        <v>2914</v>
      </c>
      <c r="F6" s="95">
        <v>108</v>
      </c>
      <c r="G6" s="95"/>
      <c r="H6" s="104">
        <v>155</v>
      </c>
      <c r="I6" s="93">
        <f t="shared" si="0"/>
        <v>0.05129053606882859</v>
      </c>
      <c r="J6" s="57">
        <f>199.4*100/137</f>
        <v>145.54744525547446</v>
      </c>
      <c r="K6" s="33">
        <f>65.8*100/137</f>
        <v>48.02919708029197</v>
      </c>
      <c r="L6" s="90">
        <f t="shared" si="1"/>
        <v>0.015893182356152207</v>
      </c>
      <c r="M6" s="33">
        <v>194</v>
      </c>
      <c r="N6" s="33">
        <v>0</v>
      </c>
      <c r="O6" s="33">
        <f>53</f>
        <v>53</v>
      </c>
      <c r="P6" s="33">
        <f t="shared" si="4"/>
        <v>53</v>
      </c>
      <c r="Q6" s="33">
        <v>39</v>
      </c>
      <c r="R6" s="34">
        <f t="shared" si="5"/>
        <v>155</v>
      </c>
      <c r="S6" s="50">
        <f t="shared" si="2"/>
        <v>3177</v>
      </c>
      <c r="T6" s="68">
        <f t="shared" si="3"/>
        <v>1.0902539464653398</v>
      </c>
      <c r="U6" s="73">
        <f t="shared" si="6"/>
        <v>0.15789473684210525</v>
      </c>
      <c r="V6" s="38">
        <v>3</v>
      </c>
      <c r="W6" s="81">
        <v>19</v>
      </c>
    </row>
    <row r="7" spans="2:23" ht="20.25">
      <c r="B7" s="120"/>
      <c r="C7" s="122"/>
      <c r="D7" s="98" t="s">
        <v>3</v>
      </c>
      <c r="E7" s="103">
        <v>5015</v>
      </c>
      <c r="F7" s="96">
        <v>144</v>
      </c>
      <c r="G7" s="96"/>
      <c r="H7" s="104">
        <v>231</v>
      </c>
      <c r="I7" s="93">
        <f t="shared" si="0"/>
        <v>0.04477611940298507</v>
      </c>
      <c r="J7" s="57">
        <f>300*100/137</f>
        <v>218.97810218978103</v>
      </c>
      <c r="K7" s="33">
        <f>281*100/137</f>
        <v>205.1094890510949</v>
      </c>
      <c r="L7" s="90">
        <f t="shared" si="1"/>
        <v>0.039757605941286085</v>
      </c>
      <c r="M7" s="33">
        <f>J7+K7</f>
        <v>424.0875912408759</v>
      </c>
      <c r="N7" s="33">
        <v>26</v>
      </c>
      <c r="O7" s="33">
        <f>229+9</f>
        <v>238</v>
      </c>
      <c r="P7" s="33">
        <f t="shared" si="4"/>
        <v>264</v>
      </c>
      <c r="Q7" s="33">
        <f>P7*100/137</f>
        <v>192.7007299270073</v>
      </c>
      <c r="R7" s="34">
        <f t="shared" si="5"/>
        <v>231.3868613138686</v>
      </c>
      <c r="S7" s="50">
        <f t="shared" si="2"/>
        <v>5390</v>
      </c>
      <c r="T7" s="68">
        <f t="shared" si="3"/>
        <v>1.074775672981057</v>
      </c>
      <c r="U7" s="73">
        <f t="shared" si="6"/>
        <v>0.20689655172413793</v>
      </c>
      <c r="V7" s="38">
        <v>6</v>
      </c>
      <c r="W7" s="81">
        <v>29</v>
      </c>
    </row>
    <row r="8" spans="2:23" ht="20.25">
      <c r="B8" s="120"/>
      <c r="C8" s="122"/>
      <c r="D8" s="98" t="s">
        <v>4</v>
      </c>
      <c r="E8" s="103">
        <v>5134</v>
      </c>
      <c r="F8" s="96">
        <v>108</v>
      </c>
      <c r="G8" s="96"/>
      <c r="H8" s="104">
        <v>222</v>
      </c>
      <c r="I8" s="93">
        <f t="shared" si="0"/>
        <v>0.04235024799694773</v>
      </c>
      <c r="J8" s="57">
        <f>369.9*100/137</f>
        <v>270</v>
      </c>
      <c r="K8" s="33">
        <f>328.8*100/137</f>
        <v>240</v>
      </c>
      <c r="L8" s="90">
        <f t="shared" si="1"/>
        <v>0.045784051888592144</v>
      </c>
      <c r="M8" s="33">
        <v>510</v>
      </c>
      <c r="N8" s="33">
        <v>12</v>
      </c>
      <c r="O8" s="33">
        <f>411-28</f>
        <v>383</v>
      </c>
      <c r="P8" s="33">
        <f t="shared" si="4"/>
        <v>395</v>
      </c>
      <c r="Q8" s="33">
        <v>288</v>
      </c>
      <c r="R8" s="34">
        <f t="shared" si="5"/>
        <v>222</v>
      </c>
      <c r="S8" s="50">
        <f t="shared" si="2"/>
        <v>5464</v>
      </c>
      <c r="T8" s="68">
        <f t="shared" si="3"/>
        <v>1.0642773665757694</v>
      </c>
      <c r="U8" s="73">
        <f t="shared" si="6"/>
        <v>0.17142857142857143</v>
      </c>
      <c r="V8" s="38">
        <v>6</v>
      </c>
      <c r="W8" s="81">
        <v>35</v>
      </c>
    </row>
    <row r="9" spans="2:23" ht="20.25">
      <c r="B9" s="120"/>
      <c r="C9" s="122"/>
      <c r="D9" s="98" t="s">
        <v>5</v>
      </c>
      <c r="E9" s="103">
        <v>15021</v>
      </c>
      <c r="F9" s="95">
        <v>504</v>
      </c>
      <c r="G9" s="95"/>
      <c r="H9" s="104">
        <v>548</v>
      </c>
      <c r="I9" s="93">
        <f t="shared" si="0"/>
        <v>0.03529790660225443</v>
      </c>
      <c r="J9" s="57">
        <f>820.6*100/137</f>
        <v>598.978102189781</v>
      </c>
      <c r="K9" s="33">
        <f>988.3*100/137</f>
        <v>721.3868613138686</v>
      </c>
      <c r="L9" s="90">
        <f t="shared" si="1"/>
        <v>0.04646614243567592</v>
      </c>
      <c r="M9" s="33">
        <v>1320</v>
      </c>
      <c r="N9" s="33">
        <v>455</v>
      </c>
      <c r="O9" s="33">
        <f>616-13</f>
        <v>603</v>
      </c>
      <c r="P9" s="33">
        <f t="shared" si="4"/>
        <v>1058</v>
      </c>
      <c r="Q9" s="33">
        <v>772</v>
      </c>
      <c r="R9" s="34">
        <f t="shared" si="5"/>
        <v>548</v>
      </c>
      <c r="S9" s="50">
        <f t="shared" si="2"/>
        <v>16073</v>
      </c>
      <c r="T9" s="68">
        <f t="shared" si="3"/>
        <v>1.0700352839358231</v>
      </c>
      <c r="U9" s="73">
        <f t="shared" si="6"/>
        <v>0.3068181818181818</v>
      </c>
      <c r="V9" s="38">
        <v>27</v>
      </c>
      <c r="W9" s="81">
        <v>88</v>
      </c>
    </row>
    <row r="10" spans="2:23" ht="20.25">
      <c r="B10" s="120"/>
      <c r="C10" s="122"/>
      <c r="D10" s="98" t="s">
        <v>6</v>
      </c>
      <c r="E10" s="103">
        <v>7629</v>
      </c>
      <c r="F10" s="95">
        <v>283</v>
      </c>
      <c r="G10" s="95"/>
      <c r="H10" s="104">
        <v>202</v>
      </c>
      <c r="I10" s="93">
        <f t="shared" si="0"/>
        <v>0.025530839231547017</v>
      </c>
      <c r="J10" s="57">
        <f>437*100/137</f>
        <v>318.978102189781</v>
      </c>
      <c r="K10" s="33">
        <f>301.4*100/137</f>
        <v>219.99999999999997</v>
      </c>
      <c r="L10" s="90">
        <f t="shared" si="1"/>
        <v>0.02780586450960566</v>
      </c>
      <c r="M10" s="33">
        <v>539</v>
      </c>
      <c r="N10" s="33">
        <v>125</v>
      </c>
      <c r="O10" s="33">
        <f>457-121</f>
        <v>336</v>
      </c>
      <c r="P10" s="33">
        <f t="shared" si="4"/>
        <v>461</v>
      </c>
      <c r="Q10" s="33">
        <v>337</v>
      </c>
      <c r="R10" s="34">
        <f t="shared" si="5"/>
        <v>202</v>
      </c>
      <c r="S10" s="50">
        <f t="shared" si="2"/>
        <v>8114</v>
      </c>
      <c r="T10" s="68">
        <f t="shared" si="3"/>
        <v>1.0635732074977062</v>
      </c>
      <c r="U10" s="73">
        <f t="shared" si="6"/>
        <v>0.2</v>
      </c>
      <c r="V10" s="38">
        <v>10</v>
      </c>
      <c r="W10" s="81">
        <v>50</v>
      </c>
    </row>
    <row r="11" spans="2:23" ht="20.25">
      <c r="B11" s="120"/>
      <c r="C11" s="122"/>
      <c r="D11" s="98" t="s">
        <v>7</v>
      </c>
      <c r="E11" s="103">
        <v>8092</v>
      </c>
      <c r="F11" s="95">
        <v>120</v>
      </c>
      <c r="G11" s="95"/>
      <c r="H11" s="104">
        <v>215</v>
      </c>
      <c r="I11" s="93">
        <f t="shared" si="0"/>
        <v>0.02618119824646858</v>
      </c>
      <c r="J11" s="57">
        <f>531.6*100/137</f>
        <v>388.02919708029196</v>
      </c>
      <c r="K11" s="33">
        <f>115.1*100/137</f>
        <v>84.01459854014598</v>
      </c>
      <c r="L11" s="90">
        <f t="shared" si="1"/>
        <v>0.010230710976637358</v>
      </c>
      <c r="M11" s="33">
        <v>472</v>
      </c>
      <c r="N11" s="33">
        <v>113</v>
      </c>
      <c r="O11" s="33">
        <f>233+6</f>
        <v>239</v>
      </c>
      <c r="P11" s="33">
        <f t="shared" si="4"/>
        <v>352</v>
      </c>
      <c r="Q11" s="33">
        <v>257</v>
      </c>
      <c r="R11" s="34">
        <f t="shared" si="5"/>
        <v>215</v>
      </c>
      <c r="S11" s="50">
        <f t="shared" si="2"/>
        <v>8427</v>
      </c>
      <c r="T11" s="68">
        <f t="shared" si="3"/>
        <v>1.0413989125061789</v>
      </c>
      <c r="U11" s="73">
        <f t="shared" si="6"/>
        <v>0.15384615384615385</v>
      </c>
      <c r="V11" s="38">
        <v>8</v>
      </c>
      <c r="W11" s="81">
        <v>52</v>
      </c>
    </row>
    <row r="12" spans="2:23" ht="20.25">
      <c r="B12" s="120"/>
      <c r="C12" s="122"/>
      <c r="D12" s="98" t="s">
        <v>8</v>
      </c>
      <c r="E12" s="103">
        <v>15925</v>
      </c>
      <c r="F12" s="95">
        <v>228</v>
      </c>
      <c r="G12" s="95"/>
      <c r="H12" s="104">
        <v>577</v>
      </c>
      <c r="I12" s="93">
        <f t="shared" si="0"/>
        <v>0.03572091871478982</v>
      </c>
      <c r="J12" s="57">
        <f>1052.2*100/137</f>
        <v>768.029197080292</v>
      </c>
      <c r="K12" s="33">
        <f>320.3*100/137</f>
        <v>233.79562043795622</v>
      </c>
      <c r="L12" s="90">
        <f t="shared" si="1"/>
        <v>0.01447382037008334</v>
      </c>
      <c r="M12" s="33">
        <v>1002</v>
      </c>
      <c r="N12" s="33">
        <v>68</v>
      </c>
      <c r="O12" s="33">
        <f>517-3</f>
        <v>514</v>
      </c>
      <c r="P12" s="33">
        <f t="shared" si="4"/>
        <v>582</v>
      </c>
      <c r="Q12" s="33">
        <v>425</v>
      </c>
      <c r="R12" s="34">
        <f t="shared" si="5"/>
        <v>577</v>
      </c>
      <c r="S12" s="50">
        <f t="shared" si="2"/>
        <v>16730</v>
      </c>
      <c r="T12" s="68">
        <f t="shared" si="3"/>
        <v>1.0505494505494506</v>
      </c>
      <c r="U12" s="73">
        <f t="shared" si="6"/>
        <v>0.12871287128712872</v>
      </c>
      <c r="V12" s="38">
        <v>13</v>
      </c>
      <c r="W12" s="81">
        <v>101</v>
      </c>
    </row>
    <row r="13" spans="2:23" ht="20.25">
      <c r="B13" s="120"/>
      <c r="C13" s="122"/>
      <c r="D13" s="98" t="s">
        <v>9</v>
      </c>
      <c r="E13" s="103">
        <v>9417</v>
      </c>
      <c r="F13" s="95">
        <v>396</v>
      </c>
      <c r="G13" s="95"/>
      <c r="H13" s="104">
        <v>180</v>
      </c>
      <c r="I13" s="93">
        <f t="shared" si="0"/>
        <v>0.01834301436869459</v>
      </c>
      <c r="J13" s="57">
        <f>509.6*100/137</f>
        <v>371.97080291970804</v>
      </c>
      <c r="K13" s="33">
        <f>289.3*100/137</f>
        <v>211.16788321167883</v>
      </c>
      <c r="L13" s="90">
        <f t="shared" si="1"/>
        <v>0.021519197310881363</v>
      </c>
      <c r="M13" s="33">
        <v>583</v>
      </c>
      <c r="N13" s="33">
        <v>152</v>
      </c>
      <c r="O13" s="33">
        <f>402-2</f>
        <v>400</v>
      </c>
      <c r="P13" s="33">
        <f t="shared" si="4"/>
        <v>552</v>
      </c>
      <c r="Q13" s="33">
        <v>403</v>
      </c>
      <c r="R13" s="34">
        <f t="shared" si="5"/>
        <v>180</v>
      </c>
      <c r="S13" s="50">
        <f t="shared" si="2"/>
        <v>9993</v>
      </c>
      <c r="T13" s="68">
        <f t="shared" si="3"/>
        <v>1.0611659764256132</v>
      </c>
      <c r="U13" s="73">
        <f t="shared" si="6"/>
        <v>0.20689655172413793</v>
      </c>
      <c r="V13" s="38">
        <v>12</v>
      </c>
      <c r="W13" s="81">
        <v>58</v>
      </c>
    </row>
    <row r="14" spans="2:23" ht="20.25">
      <c r="B14" s="120"/>
      <c r="C14" s="122"/>
      <c r="D14" s="98" t="s">
        <v>10</v>
      </c>
      <c r="E14" s="103">
        <v>7874</v>
      </c>
      <c r="F14" s="95">
        <v>170</v>
      </c>
      <c r="G14" s="95"/>
      <c r="H14" s="104">
        <v>263</v>
      </c>
      <c r="I14" s="93">
        <f t="shared" si="0"/>
        <v>0.03269517652909001</v>
      </c>
      <c r="J14" s="57">
        <f>545.3*100/137</f>
        <v>398.0291970802919</v>
      </c>
      <c r="K14" s="33">
        <f>134.3*100/137</f>
        <v>98.02919708029198</v>
      </c>
      <c r="L14" s="90">
        <f t="shared" si="1"/>
        <v>0.01218662320739582</v>
      </c>
      <c r="M14" s="33">
        <v>496</v>
      </c>
      <c r="N14" s="33">
        <v>79</v>
      </c>
      <c r="O14" s="33">
        <f>239+2</f>
        <v>241</v>
      </c>
      <c r="P14" s="33">
        <f t="shared" si="4"/>
        <v>320</v>
      </c>
      <c r="Q14" s="33">
        <v>233</v>
      </c>
      <c r="R14" s="34">
        <f t="shared" si="5"/>
        <v>263</v>
      </c>
      <c r="S14" s="50">
        <f t="shared" si="2"/>
        <v>8307</v>
      </c>
      <c r="T14" s="68">
        <f t="shared" si="3"/>
        <v>1.05499110998222</v>
      </c>
      <c r="U14" s="73">
        <f t="shared" si="6"/>
        <v>0.1346153846153846</v>
      </c>
      <c r="V14" s="38">
        <v>7</v>
      </c>
      <c r="W14" s="81">
        <v>52</v>
      </c>
    </row>
    <row r="15" spans="2:23" ht="20.25">
      <c r="B15" s="120"/>
      <c r="C15" s="122"/>
      <c r="D15" s="98" t="s">
        <v>11</v>
      </c>
      <c r="E15" s="103">
        <v>11926</v>
      </c>
      <c r="F15" s="95">
        <v>434</v>
      </c>
      <c r="G15" s="95"/>
      <c r="H15" s="104">
        <v>427</v>
      </c>
      <c r="I15" s="93">
        <f t="shared" si="0"/>
        <v>0.03454692556634304</v>
      </c>
      <c r="J15" s="57">
        <f>787.9*100/137</f>
        <v>575.1094890510949</v>
      </c>
      <c r="K15" s="33">
        <f>206.5*100/137</f>
        <v>150.72992700729927</v>
      </c>
      <c r="L15" s="90">
        <f t="shared" si="1"/>
        <v>0.012194977913211915</v>
      </c>
      <c r="M15" s="33">
        <v>726</v>
      </c>
      <c r="N15" s="33">
        <v>119</v>
      </c>
      <c r="O15" s="33">
        <f>303-13</f>
        <v>290</v>
      </c>
      <c r="P15" s="33">
        <f t="shared" si="4"/>
        <v>409</v>
      </c>
      <c r="Q15" s="33">
        <v>299</v>
      </c>
      <c r="R15" s="34">
        <f t="shared" si="5"/>
        <v>427</v>
      </c>
      <c r="S15" s="50">
        <f t="shared" si="2"/>
        <v>12787</v>
      </c>
      <c r="T15" s="68">
        <f t="shared" si="3"/>
        <v>1.0721952037564983</v>
      </c>
      <c r="U15" s="73">
        <f t="shared" si="6"/>
        <v>0.17142857142857143</v>
      </c>
      <c r="V15" s="38">
        <v>12</v>
      </c>
      <c r="W15" s="81">
        <v>70</v>
      </c>
    </row>
    <row r="16" spans="2:23" ht="21" thickBot="1">
      <c r="B16" s="121"/>
      <c r="C16" s="123"/>
      <c r="D16" s="99" t="s">
        <v>12</v>
      </c>
      <c r="E16" s="105">
        <v>13488</v>
      </c>
      <c r="F16" s="106">
        <v>649</v>
      </c>
      <c r="G16" s="106">
        <v>364</v>
      </c>
      <c r="H16" s="107">
        <v>485</v>
      </c>
      <c r="I16" s="94">
        <f t="shared" si="0"/>
        <v>0.03430713729928556</v>
      </c>
      <c r="J16" s="58">
        <f>773.6*100/137</f>
        <v>564.6715328467153</v>
      </c>
      <c r="K16" s="35">
        <f>365.7*100/137</f>
        <v>266.93430656934305</v>
      </c>
      <c r="L16" s="91">
        <f t="shared" si="1"/>
        <v>0.01888196269147224</v>
      </c>
      <c r="M16" s="35">
        <v>832</v>
      </c>
      <c r="N16" s="35">
        <v>200</v>
      </c>
      <c r="O16" s="35">
        <f>275-1</f>
        <v>274</v>
      </c>
      <c r="P16" s="35">
        <f t="shared" si="4"/>
        <v>474</v>
      </c>
      <c r="Q16" s="35">
        <v>347</v>
      </c>
      <c r="R16" s="36">
        <f t="shared" si="5"/>
        <v>485</v>
      </c>
      <c r="S16" s="51">
        <f>E16+F16+H16+G16</f>
        <v>14986</v>
      </c>
      <c r="T16" s="69">
        <f t="shared" si="3"/>
        <v>1.111061684460261</v>
      </c>
      <c r="U16" s="76">
        <f t="shared" si="6"/>
        <v>0.2345679012345679</v>
      </c>
      <c r="V16" s="39">
        <v>19</v>
      </c>
      <c r="W16" s="82">
        <v>81</v>
      </c>
    </row>
    <row r="17" spans="2:20" ht="21" thickBot="1">
      <c r="B17" s="4"/>
      <c r="C17" s="4"/>
      <c r="D17" s="13" t="s">
        <v>13</v>
      </c>
      <c r="E17" s="40">
        <f>SUM(E4:E16)</f>
        <v>118702</v>
      </c>
      <c r="F17" s="65">
        <f>SUM(F4:F16)</f>
        <v>3673</v>
      </c>
      <c r="G17" s="41"/>
      <c r="H17" s="42">
        <f>SUM(H4:H16)</f>
        <v>4894</v>
      </c>
      <c r="I17" s="42"/>
      <c r="J17" s="9">
        <f>SUM(J4:J16)</f>
        <v>5324.0875912408765</v>
      </c>
      <c r="K17" s="9">
        <f>SUM(K4:K16)</f>
        <v>3483.6496350364964</v>
      </c>
      <c r="L17" s="9"/>
      <c r="M17" s="9">
        <f aca="true" t="shared" si="7" ref="M17:S17">SUM(M4:M16)</f>
        <v>8808.087591240876</v>
      </c>
      <c r="N17" s="9">
        <f t="shared" si="7"/>
        <v>1524</v>
      </c>
      <c r="O17" s="9">
        <f t="shared" si="7"/>
        <v>3837</v>
      </c>
      <c r="P17" s="9">
        <f t="shared" si="7"/>
        <v>5361</v>
      </c>
      <c r="Q17" s="9">
        <f t="shared" si="7"/>
        <v>3913.700729927007</v>
      </c>
      <c r="R17" s="9">
        <f t="shared" si="7"/>
        <v>4894.386861313868</v>
      </c>
      <c r="S17" s="42">
        <f t="shared" si="7"/>
        <v>127633</v>
      </c>
      <c r="T17" s="52">
        <f t="shared" si="3"/>
        <v>1.0752388333810718</v>
      </c>
    </row>
    <row r="18" spans="15:20" ht="12.75">
      <c r="O18" s="2"/>
      <c r="P18" s="2"/>
      <c r="Q18" s="2"/>
      <c r="R18" s="2"/>
      <c r="S18" s="2"/>
      <c r="T18" s="29"/>
    </row>
    <row r="19" spans="15:20" ht="13.5" thickBot="1">
      <c r="O19" s="2"/>
      <c r="P19" s="2"/>
      <c r="Q19" s="2"/>
      <c r="R19" s="2"/>
      <c r="S19" s="2"/>
      <c r="T19" s="29"/>
    </row>
    <row r="20" spans="2:20" ht="21" customHeight="1" thickBot="1">
      <c r="B20" s="125" t="s">
        <v>26</v>
      </c>
      <c r="C20" s="124" t="s">
        <v>27</v>
      </c>
      <c r="D20" s="127" t="s">
        <v>14</v>
      </c>
      <c r="E20" s="109" t="s">
        <v>41</v>
      </c>
      <c r="F20" s="109" t="s">
        <v>29</v>
      </c>
      <c r="G20" s="113" t="s">
        <v>50</v>
      </c>
      <c r="H20" s="111" t="s">
        <v>49</v>
      </c>
      <c r="I20" s="59"/>
      <c r="J20" s="132" t="s">
        <v>45</v>
      </c>
      <c r="K20" s="136"/>
      <c r="L20" s="136"/>
      <c r="M20" s="137"/>
      <c r="N20" s="132" t="s">
        <v>47</v>
      </c>
      <c r="O20" s="133"/>
      <c r="P20" s="134"/>
      <c r="Q20" s="135"/>
      <c r="R20" s="21" t="s">
        <v>35</v>
      </c>
      <c r="S20" s="15"/>
      <c r="T20" s="29"/>
    </row>
    <row r="21" spans="2:23" ht="51.75" customHeight="1" thickBot="1">
      <c r="B21" s="126"/>
      <c r="C21" s="114"/>
      <c r="D21" s="128"/>
      <c r="E21" s="110"/>
      <c r="F21" s="110"/>
      <c r="G21" s="114"/>
      <c r="H21" s="112"/>
      <c r="I21" s="60" t="s">
        <v>37</v>
      </c>
      <c r="J21" s="16" t="s">
        <v>28</v>
      </c>
      <c r="K21" s="17" t="s">
        <v>44</v>
      </c>
      <c r="L21" s="88" t="s">
        <v>51</v>
      </c>
      <c r="M21" s="20" t="s">
        <v>13</v>
      </c>
      <c r="N21" s="16" t="s">
        <v>31</v>
      </c>
      <c r="O21" s="17" t="s">
        <v>32</v>
      </c>
      <c r="P21" s="18" t="s">
        <v>33</v>
      </c>
      <c r="Q21" s="19" t="s">
        <v>34</v>
      </c>
      <c r="R21" s="12" t="s">
        <v>48</v>
      </c>
      <c r="S21" s="12" t="s">
        <v>30</v>
      </c>
      <c r="T21" s="66" t="s">
        <v>42</v>
      </c>
      <c r="U21" s="71" t="s">
        <v>40</v>
      </c>
      <c r="V21" s="83" t="s">
        <v>38</v>
      </c>
      <c r="W21" s="84" t="s">
        <v>39</v>
      </c>
    </row>
    <row r="22" spans="2:23" ht="20.25">
      <c r="B22" s="5">
        <v>4313</v>
      </c>
      <c r="C22" s="116">
        <v>5331</v>
      </c>
      <c r="D22" s="97" t="s">
        <v>16</v>
      </c>
      <c r="E22" s="100">
        <v>10159</v>
      </c>
      <c r="F22" s="101">
        <v>89</v>
      </c>
      <c r="G22" s="101"/>
      <c r="H22" s="102">
        <v>561</v>
      </c>
      <c r="I22" s="92">
        <f aca="true" t="shared" si="8" ref="I22:I31">H22/(E22+F22)</f>
        <v>0.0547423887587822</v>
      </c>
      <c r="J22" s="61">
        <f>623.4*100/137</f>
        <v>455.036496350365</v>
      </c>
      <c r="K22" s="37">
        <f>280.9*100/137</f>
        <v>205.03649635036493</v>
      </c>
      <c r="L22" s="89">
        <f aca="true" t="shared" si="9" ref="L22:L31">K22/(E22+F22)</f>
        <v>0.020007464515062932</v>
      </c>
      <c r="M22" s="31">
        <f aca="true" t="shared" si="10" ref="M22:M31">J22+K22</f>
        <v>660.0729927007299</v>
      </c>
      <c r="N22" s="31">
        <v>22</v>
      </c>
      <c r="O22" s="31">
        <f>132-19</f>
        <v>113</v>
      </c>
      <c r="P22" s="31">
        <f>N22+O22</f>
        <v>135</v>
      </c>
      <c r="Q22" s="31">
        <f>P22*100/137</f>
        <v>98.54014598540147</v>
      </c>
      <c r="R22" s="32">
        <v>561</v>
      </c>
      <c r="S22" s="53">
        <f aca="true" t="shared" si="11" ref="S22:S31">E22+F22+H22</f>
        <v>10809</v>
      </c>
      <c r="T22" s="67">
        <f aca="true" t="shared" si="12" ref="T22:T32">S22/E22</f>
        <v>1.063982675460183</v>
      </c>
      <c r="U22" s="85">
        <f>V22/W22</f>
        <v>0.1016949152542373</v>
      </c>
      <c r="V22" s="86">
        <v>6</v>
      </c>
      <c r="W22" s="87">
        <v>59</v>
      </c>
    </row>
    <row r="23" spans="2:23" ht="20.25">
      <c r="B23" s="6">
        <v>4311</v>
      </c>
      <c r="C23" s="117"/>
      <c r="D23" s="98" t="s">
        <v>17</v>
      </c>
      <c r="E23" s="103">
        <v>7442</v>
      </c>
      <c r="F23" s="95">
        <v>196</v>
      </c>
      <c r="G23" s="95"/>
      <c r="H23" s="104">
        <v>250</v>
      </c>
      <c r="I23" s="93">
        <f t="shared" si="8"/>
        <v>0.03273108143493061</v>
      </c>
      <c r="J23" s="62">
        <f>424.7*100/137</f>
        <v>310</v>
      </c>
      <c r="K23" s="38">
        <f>156.2*100/137</f>
        <v>114.01459854014597</v>
      </c>
      <c r="L23" s="90">
        <f t="shared" si="9"/>
        <v>0.014927284438353753</v>
      </c>
      <c r="M23" s="33">
        <f t="shared" si="10"/>
        <v>424.014598540146</v>
      </c>
      <c r="N23" s="33">
        <v>102</v>
      </c>
      <c r="O23" s="33">
        <f>136</f>
        <v>136</v>
      </c>
      <c r="P23" s="33">
        <f aca="true" t="shared" si="13" ref="P23:P30">N23+O23</f>
        <v>238</v>
      </c>
      <c r="Q23" s="33">
        <f aca="true" t="shared" si="14" ref="Q23:Q30">P23*100/137</f>
        <v>173.72262773722628</v>
      </c>
      <c r="R23" s="34">
        <f aca="true" t="shared" si="15" ref="R23:R31">M23-Q23</f>
        <v>250.2919708029197</v>
      </c>
      <c r="S23" s="54">
        <f t="shared" si="11"/>
        <v>7888</v>
      </c>
      <c r="T23" s="68">
        <f t="shared" si="12"/>
        <v>1.0599301263101317</v>
      </c>
      <c r="U23" s="73">
        <f aca="true" t="shared" si="16" ref="U23:U30">V23/W23</f>
        <v>0.19047619047619047</v>
      </c>
      <c r="V23" s="74">
        <v>8</v>
      </c>
      <c r="W23" s="75">
        <v>42</v>
      </c>
    </row>
    <row r="24" spans="2:23" ht="20.25">
      <c r="B24" s="6">
        <v>4311</v>
      </c>
      <c r="C24" s="117"/>
      <c r="D24" s="98" t="s">
        <v>18</v>
      </c>
      <c r="E24" s="103">
        <v>9411</v>
      </c>
      <c r="F24" s="95">
        <v>137</v>
      </c>
      <c r="G24" s="95"/>
      <c r="H24" s="104">
        <v>455</v>
      </c>
      <c r="I24" s="93">
        <f t="shared" si="8"/>
        <v>0.047653958944281524</v>
      </c>
      <c r="J24" s="62">
        <f>424.6*100/137</f>
        <v>309.9270072992701</v>
      </c>
      <c r="K24" s="38">
        <f>255*100/137</f>
        <v>186.13138686131387</v>
      </c>
      <c r="L24" s="90">
        <f t="shared" si="9"/>
        <v>0.01949428014885985</v>
      </c>
      <c r="M24" s="33">
        <f t="shared" si="10"/>
        <v>496.05839416058393</v>
      </c>
      <c r="N24" s="33">
        <v>57</v>
      </c>
      <c r="O24" s="33">
        <f>-51-5</f>
        <v>-56</v>
      </c>
      <c r="P24" s="33">
        <f>N24</f>
        <v>57</v>
      </c>
      <c r="Q24" s="33">
        <v>41</v>
      </c>
      <c r="R24" s="34">
        <v>455</v>
      </c>
      <c r="S24" s="54">
        <f t="shared" si="11"/>
        <v>10003</v>
      </c>
      <c r="T24" s="68">
        <f t="shared" si="12"/>
        <v>1.062905111040272</v>
      </c>
      <c r="U24" s="73">
        <f t="shared" si="16"/>
        <v>0.1346153846153846</v>
      </c>
      <c r="V24" s="74">
        <v>7</v>
      </c>
      <c r="W24" s="75">
        <v>52</v>
      </c>
    </row>
    <row r="25" spans="2:23" ht="20.25">
      <c r="B25" s="6">
        <v>4311</v>
      </c>
      <c r="C25" s="117"/>
      <c r="D25" s="98" t="s">
        <v>19</v>
      </c>
      <c r="E25" s="103">
        <v>6201</v>
      </c>
      <c r="F25" s="95">
        <v>183</v>
      </c>
      <c r="G25" s="95"/>
      <c r="H25" s="104">
        <v>482</v>
      </c>
      <c r="I25" s="93">
        <f t="shared" si="8"/>
        <v>0.07550125313283208</v>
      </c>
      <c r="J25" s="62">
        <f>604.2*100/137</f>
        <v>441.02189781021906</v>
      </c>
      <c r="K25" s="38">
        <f>163*100/137</f>
        <v>118.97810218978103</v>
      </c>
      <c r="L25" s="90">
        <f t="shared" si="9"/>
        <v>0.018636920769075974</v>
      </c>
      <c r="M25" s="33">
        <f t="shared" si="10"/>
        <v>560.0000000000001</v>
      </c>
      <c r="N25" s="33">
        <v>52</v>
      </c>
      <c r="O25" s="33">
        <f>65-13+3</f>
        <v>55</v>
      </c>
      <c r="P25" s="33">
        <f t="shared" si="13"/>
        <v>107</v>
      </c>
      <c r="Q25" s="33">
        <f t="shared" si="14"/>
        <v>78.10218978102189</v>
      </c>
      <c r="R25" s="34">
        <f t="shared" si="15"/>
        <v>481.89781021897824</v>
      </c>
      <c r="S25" s="54">
        <f t="shared" si="11"/>
        <v>6866</v>
      </c>
      <c r="T25" s="68">
        <f t="shared" si="12"/>
        <v>1.1072407676181262</v>
      </c>
      <c r="U25" s="73">
        <f t="shared" si="16"/>
        <v>0.2727272727272727</v>
      </c>
      <c r="V25" s="74">
        <v>9</v>
      </c>
      <c r="W25" s="75">
        <v>33</v>
      </c>
    </row>
    <row r="26" spans="2:23" ht="20.25">
      <c r="B26" s="6">
        <v>4311</v>
      </c>
      <c r="C26" s="117"/>
      <c r="D26" s="98" t="s">
        <v>20</v>
      </c>
      <c r="E26" s="103">
        <v>5835</v>
      </c>
      <c r="F26" s="95">
        <v>137</v>
      </c>
      <c r="G26" s="95"/>
      <c r="H26" s="104">
        <v>441</v>
      </c>
      <c r="I26" s="93">
        <f t="shared" si="8"/>
        <v>0.07384460817146685</v>
      </c>
      <c r="J26" s="62">
        <f>671.1*100/137</f>
        <v>489.8540145985401</v>
      </c>
      <c r="K26" s="38">
        <f>115.1*100/137</f>
        <v>84.01459854014598</v>
      </c>
      <c r="L26" s="90">
        <f t="shared" si="9"/>
        <v>0.014068084149388142</v>
      </c>
      <c r="M26" s="33">
        <f t="shared" si="10"/>
        <v>573.8686131386861</v>
      </c>
      <c r="N26" s="33">
        <v>46</v>
      </c>
      <c r="O26" s="33">
        <f>140-1-3</f>
        <v>136</v>
      </c>
      <c r="P26" s="33">
        <f t="shared" si="13"/>
        <v>182</v>
      </c>
      <c r="Q26" s="33">
        <f t="shared" si="14"/>
        <v>132.84671532846716</v>
      </c>
      <c r="R26" s="34">
        <f t="shared" si="15"/>
        <v>441.02189781021895</v>
      </c>
      <c r="S26" s="54">
        <f t="shared" si="11"/>
        <v>6413</v>
      </c>
      <c r="T26" s="68">
        <f t="shared" si="12"/>
        <v>1.099057412167952</v>
      </c>
      <c r="U26" s="73">
        <f t="shared" si="16"/>
        <v>0.2</v>
      </c>
      <c r="V26" s="74">
        <v>7</v>
      </c>
      <c r="W26" s="75">
        <v>35</v>
      </c>
    </row>
    <row r="27" spans="2:23" ht="20.25">
      <c r="B27" s="6">
        <v>4313</v>
      </c>
      <c r="C27" s="117"/>
      <c r="D27" s="98" t="s">
        <v>21</v>
      </c>
      <c r="E27" s="103">
        <v>6692</v>
      </c>
      <c r="F27" s="95">
        <v>89</v>
      </c>
      <c r="G27" s="95"/>
      <c r="H27" s="104">
        <v>361</v>
      </c>
      <c r="I27" s="93">
        <f t="shared" si="8"/>
        <v>0.05323698569532517</v>
      </c>
      <c r="J27" s="62">
        <f>520.6*100/137</f>
        <v>380</v>
      </c>
      <c r="K27" s="38">
        <f>164.4*100/137</f>
        <v>120</v>
      </c>
      <c r="L27" s="90">
        <f t="shared" si="9"/>
        <v>0.017696504940274294</v>
      </c>
      <c r="M27" s="33">
        <f t="shared" si="10"/>
        <v>500</v>
      </c>
      <c r="N27" s="33">
        <v>34</v>
      </c>
      <c r="O27" s="33">
        <f>168-11</f>
        <v>157</v>
      </c>
      <c r="P27" s="33">
        <f t="shared" si="13"/>
        <v>191</v>
      </c>
      <c r="Q27" s="33">
        <f t="shared" si="14"/>
        <v>139.4160583941606</v>
      </c>
      <c r="R27" s="34">
        <f t="shared" si="15"/>
        <v>360.5839416058394</v>
      </c>
      <c r="S27" s="54">
        <f t="shared" si="11"/>
        <v>7142</v>
      </c>
      <c r="T27" s="68">
        <f t="shared" si="12"/>
        <v>1.0672444710101614</v>
      </c>
      <c r="U27" s="73">
        <f t="shared" si="16"/>
        <v>0.14634146341463414</v>
      </c>
      <c r="V27" s="74">
        <v>6</v>
      </c>
      <c r="W27" s="75">
        <v>41</v>
      </c>
    </row>
    <row r="28" spans="2:23" ht="20.25">
      <c r="B28" s="6">
        <v>4311</v>
      </c>
      <c r="C28" s="117"/>
      <c r="D28" s="98" t="s">
        <v>22</v>
      </c>
      <c r="E28" s="103">
        <v>7923</v>
      </c>
      <c r="F28" s="95">
        <v>304</v>
      </c>
      <c r="G28" s="95"/>
      <c r="H28" s="104">
        <v>356</v>
      </c>
      <c r="I28" s="93">
        <f t="shared" si="8"/>
        <v>0.043272152668044246</v>
      </c>
      <c r="J28" s="62">
        <f>283.6*100/137</f>
        <v>207.00729927007302</v>
      </c>
      <c r="K28" s="38">
        <f>285*100/137</f>
        <v>208.02919708029196</v>
      </c>
      <c r="L28" s="90">
        <f t="shared" si="9"/>
        <v>0.025286154987272633</v>
      </c>
      <c r="M28" s="33">
        <f t="shared" si="10"/>
        <v>415.036496350365</v>
      </c>
      <c r="N28" s="33">
        <v>81</v>
      </c>
      <c r="O28" s="33">
        <f>-276</f>
        <v>-276</v>
      </c>
      <c r="P28" s="33">
        <f>N28</f>
        <v>81</v>
      </c>
      <c r="Q28" s="33">
        <f>N28*100/137</f>
        <v>59.12408759124087</v>
      </c>
      <c r="R28" s="34">
        <f t="shared" si="15"/>
        <v>355.9124087591241</v>
      </c>
      <c r="S28" s="54">
        <f t="shared" si="11"/>
        <v>8583</v>
      </c>
      <c r="T28" s="68">
        <f t="shared" si="12"/>
        <v>1.0833017796289284</v>
      </c>
      <c r="U28" s="73">
        <f t="shared" si="16"/>
        <v>0.16666666666666666</v>
      </c>
      <c r="V28" s="74">
        <v>8</v>
      </c>
      <c r="W28" s="75">
        <v>48</v>
      </c>
    </row>
    <row r="29" spans="2:23" ht="20.25">
      <c r="B29" s="6">
        <v>4313</v>
      </c>
      <c r="C29" s="117"/>
      <c r="D29" s="98" t="s">
        <v>23</v>
      </c>
      <c r="E29" s="103">
        <v>13797</v>
      </c>
      <c r="F29" s="95">
        <v>569</v>
      </c>
      <c r="G29" s="95"/>
      <c r="H29" s="104">
        <v>731</v>
      </c>
      <c r="I29" s="93">
        <f t="shared" si="8"/>
        <v>0.05088403174161214</v>
      </c>
      <c r="J29" s="62">
        <f>838.4*100/137</f>
        <v>611.970802919708</v>
      </c>
      <c r="K29" s="38">
        <f>383.6*100/137</f>
        <v>280</v>
      </c>
      <c r="L29" s="90">
        <f t="shared" si="9"/>
        <v>0.019490463594598356</v>
      </c>
      <c r="M29" s="33">
        <f t="shared" si="10"/>
        <v>891.970802919708</v>
      </c>
      <c r="N29" s="33">
        <v>164</v>
      </c>
      <c r="O29" s="33">
        <f>-99+155</f>
        <v>56</v>
      </c>
      <c r="P29" s="33">
        <f t="shared" si="13"/>
        <v>220</v>
      </c>
      <c r="Q29" s="33">
        <v>161</v>
      </c>
      <c r="R29" s="34">
        <f t="shared" si="15"/>
        <v>730.970802919708</v>
      </c>
      <c r="S29" s="54">
        <f t="shared" si="11"/>
        <v>15097</v>
      </c>
      <c r="T29" s="68">
        <f t="shared" si="12"/>
        <v>1.0942233818946148</v>
      </c>
      <c r="U29" s="73">
        <f t="shared" si="16"/>
        <v>0.24390243902439024</v>
      </c>
      <c r="V29" s="74">
        <v>20</v>
      </c>
      <c r="W29" s="75">
        <v>82</v>
      </c>
    </row>
    <row r="30" spans="2:23" ht="20.25">
      <c r="B30" s="6">
        <v>4313</v>
      </c>
      <c r="C30" s="117"/>
      <c r="D30" s="98" t="s">
        <v>24</v>
      </c>
      <c r="E30" s="103">
        <v>28562</v>
      </c>
      <c r="F30" s="95">
        <v>621</v>
      </c>
      <c r="G30" s="95"/>
      <c r="H30" s="104">
        <v>1273</v>
      </c>
      <c r="I30" s="93">
        <f t="shared" si="8"/>
        <v>0.04362128636534969</v>
      </c>
      <c r="J30" s="62">
        <f>1819.4*100/137</f>
        <v>1328.029197080292</v>
      </c>
      <c r="K30" s="38">
        <f>314.4*100/137</f>
        <v>229.48905109489047</v>
      </c>
      <c r="L30" s="90">
        <f t="shared" si="9"/>
        <v>0.00786379231384335</v>
      </c>
      <c r="M30" s="33">
        <f t="shared" si="10"/>
        <v>1557.5182481751826</v>
      </c>
      <c r="N30" s="33">
        <v>320</v>
      </c>
      <c r="O30" s="33">
        <f>140-70</f>
        <v>70</v>
      </c>
      <c r="P30" s="33">
        <f t="shared" si="13"/>
        <v>390</v>
      </c>
      <c r="Q30" s="33">
        <f t="shared" si="14"/>
        <v>284.6715328467153</v>
      </c>
      <c r="R30" s="34">
        <f t="shared" si="15"/>
        <v>1272.8467153284673</v>
      </c>
      <c r="S30" s="54">
        <f t="shared" si="11"/>
        <v>30456</v>
      </c>
      <c r="T30" s="68">
        <f t="shared" si="12"/>
        <v>1.066311882921364</v>
      </c>
      <c r="U30" s="73">
        <f t="shared" si="16"/>
        <v>0.18181818181818182</v>
      </c>
      <c r="V30" s="74">
        <v>26</v>
      </c>
      <c r="W30" s="75">
        <v>143</v>
      </c>
    </row>
    <row r="31" spans="2:23" ht="21" thickBot="1">
      <c r="B31" s="7">
        <v>4339</v>
      </c>
      <c r="C31" s="118"/>
      <c r="D31" s="99" t="s">
        <v>25</v>
      </c>
      <c r="E31" s="105">
        <v>2702</v>
      </c>
      <c r="F31" s="108">
        <v>81</v>
      </c>
      <c r="G31" s="108"/>
      <c r="H31" s="107">
        <v>136</v>
      </c>
      <c r="I31" s="94">
        <f t="shared" si="8"/>
        <v>0.04886812791951132</v>
      </c>
      <c r="J31" s="63">
        <f>186.3*100/137</f>
        <v>135.98540145985402</v>
      </c>
      <c r="K31" s="39">
        <v>0</v>
      </c>
      <c r="L31" s="91">
        <f t="shared" si="9"/>
        <v>0</v>
      </c>
      <c r="M31" s="35">
        <f t="shared" si="10"/>
        <v>135.98540145985402</v>
      </c>
      <c r="N31" s="35">
        <v>0</v>
      </c>
      <c r="O31" s="35">
        <f>-16</f>
        <v>-16</v>
      </c>
      <c r="P31" s="35">
        <v>0</v>
      </c>
      <c r="Q31" s="35">
        <v>0</v>
      </c>
      <c r="R31" s="36">
        <f t="shared" si="15"/>
        <v>135.98540145985402</v>
      </c>
      <c r="S31" s="55">
        <f t="shared" si="11"/>
        <v>2919</v>
      </c>
      <c r="T31" s="69">
        <f t="shared" si="12"/>
        <v>1.0803108808290156</v>
      </c>
      <c r="U31" s="76">
        <f>V31/W31</f>
        <v>0</v>
      </c>
      <c r="V31" s="77">
        <v>0</v>
      </c>
      <c r="W31" s="78">
        <v>10</v>
      </c>
    </row>
    <row r="32" spans="4:21" ht="21" thickBot="1">
      <c r="D32" s="10" t="s">
        <v>13</v>
      </c>
      <c r="E32" s="40">
        <f>SUM(E22:E31)</f>
        <v>98724</v>
      </c>
      <c r="F32" s="65">
        <f>SUM(F22:F31)</f>
        <v>2406</v>
      </c>
      <c r="G32" s="41"/>
      <c r="H32" s="42">
        <f>SUM(H22:H31)</f>
        <v>5046</v>
      </c>
      <c r="I32" s="42"/>
      <c r="J32" s="9">
        <f>SUM(J22:J31)</f>
        <v>4668.832116788321</v>
      </c>
      <c r="K32" s="9">
        <f>SUM(K22:K31)</f>
        <v>1545.6934306569344</v>
      </c>
      <c r="L32" s="9"/>
      <c r="M32" s="9">
        <f aca="true" t="shared" si="17" ref="M32:S32">SUM(M22:M31)</f>
        <v>6214.525547445255</v>
      </c>
      <c r="N32" s="9">
        <f t="shared" si="17"/>
        <v>878</v>
      </c>
      <c r="O32" s="9">
        <f t="shared" si="17"/>
        <v>375</v>
      </c>
      <c r="P32" s="9">
        <f t="shared" si="17"/>
        <v>1601</v>
      </c>
      <c r="Q32" s="9">
        <f t="shared" si="17"/>
        <v>1168.4233576642337</v>
      </c>
      <c r="R32" s="9">
        <f t="shared" si="17"/>
        <v>5045.510948905109</v>
      </c>
      <c r="S32" s="42">
        <f t="shared" si="17"/>
        <v>106176</v>
      </c>
      <c r="T32" s="52">
        <f t="shared" si="12"/>
        <v>1.0754831651877963</v>
      </c>
      <c r="U32" s="30"/>
    </row>
    <row r="33" spans="5:20" ht="21" thickBot="1">
      <c r="E33" s="43"/>
      <c r="F33" s="43"/>
      <c r="G33" s="43"/>
      <c r="H33" s="44"/>
      <c r="I33" s="44"/>
      <c r="J33" s="2"/>
      <c r="K33" s="2"/>
      <c r="L33" s="2"/>
      <c r="M33" s="2"/>
      <c r="N33" s="2"/>
      <c r="O33" s="2"/>
      <c r="P33" s="2"/>
      <c r="Q33" s="2"/>
      <c r="R33" s="2"/>
      <c r="S33" s="44"/>
      <c r="T33" s="43"/>
    </row>
    <row r="34" spans="4:20" ht="21" thickBot="1">
      <c r="D34" s="1" t="s">
        <v>13</v>
      </c>
      <c r="E34" s="45">
        <f>E32+E17</f>
        <v>217426</v>
      </c>
      <c r="F34" s="45">
        <f>F32+F17</f>
        <v>6079</v>
      </c>
      <c r="G34" s="45"/>
      <c r="H34" s="45">
        <f>H17+H32</f>
        <v>9940</v>
      </c>
      <c r="I34" s="46"/>
      <c r="J34" s="3">
        <f>J17+J32</f>
        <v>9992.919708029198</v>
      </c>
      <c r="K34" s="3">
        <f>K17+K32</f>
        <v>5029.343065693431</v>
      </c>
      <c r="L34" s="3"/>
      <c r="M34" s="3">
        <f aca="true" t="shared" si="18" ref="M34:S34">M17+M32</f>
        <v>15022.61313868613</v>
      </c>
      <c r="N34" s="3">
        <f t="shared" si="18"/>
        <v>2402</v>
      </c>
      <c r="O34" s="3">
        <f t="shared" si="18"/>
        <v>4212</v>
      </c>
      <c r="P34" s="3">
        <f t="shared" si="18"/>
        <v>6962</v>
      </c>
      <c r="Q34" s="3">
        <f t="shared" si="18"/>
        <v>5082.124087591241</v>
      </c>
      <c r="R34" s="3">
        <f t="shared" si="18"/>
        <v>9939.897810218978</v>
      </c>
      <c r="S34" s="46">
        <f t="shared" si="18"/>
        <v>233809</v>
      </c>
      <c r="T34" s="43"/>
    </row>
    <row r="35" spans="4:20" ht="25.5" customHeight="1" thickBot="1">
      <c r="D35" s="23" t="s">
        <v>36</v>
      </c>
      <c r="E35" s="25"/>
      <c r="F35" s="26">
        <f>F34/E34</f>
        <v>0.027958937753534537</v>
      </c>
      <c r="G35" s="27"/>
      <c r="H35" s="28">
        <f>H34/E34</f>
        <v>0.04571670361410319</v>
      </c>
      <c r="I35" s="64"/>
      <c r="J35" s="24"/>
      <c r="N35" s="22"/>
      <c r="O35" s="129" t="s">
        <v>46</v>
      </c>
      <c r="P35" s="130"/>
      <c r="Q35" s="130"/>
      <c r="R35" s="131"/>
      <c r="S35" s="47">
        <f>S34-E34</f>
        <v>16383</v>
      </c>
      <c r="T35" s="48">
        <f>S35/E34</f>
        <v>0.07534977417604151</v>
      </c>
    </row>
    <row r="36" spans="5:10" ht="12.75">
      <c r="E36" s="11"/>
      <c r="F36" s="11"/>
      <c r="G36" s="11"/>
      <c r="J36" s="11"/>
    </row>
  </sheetData>
  <mergeCells count="22">
    <mergeCell ref="O35:R35"/>
    <mergeCell ref="G2:G3"/>
    <mergeCell ref="N2:Q2"/>
    <mergeCell ref="N20:Q20"/>
    <mergeCell ref="J2:M2"/>
    <mergeCell ref="J20:M20"/>
    <mergeCell ref="D2:D3"/>
    <mergeCell ref="C22:C31"/>
    <mergeCell ref="B4:B16"/>
    <mergeCell ref="C4:C16"/>
    <mergeCell ref="C2:C3"/>
    <mergeCell ref="B2:B3"/>
    <mergeCell ref="B20:B21"/>
    <mergeCell ref="C20:C21"/>
    <mergeCell ref="D20:D21"/>
    <mergeCell ref="E20:E21"/>
    <mergeCell ref="H20:H21"/>
    <mergeCell ref="H2:H3"/>
    <mergeCell ref="E2:E3"/>
    <mergeCell ref="F2:F3"/>
    <mergeCell ref="F20:F21"/>
    <mergeCell ref="G20:G21"/>
  </mergeCells>
  <printOptions/>
  <pageMargins left="0.75" right="0.75" top="1" bottom="1" header="0.4921259845" footer="0.4921259845"/>
  <pageSetup fitToHeight="1" fitToWidth="1" horizontalDpi="600" verticalDpi="600" orientation="landscape" paperSize="8" scale="53" r:id="rId3"/>
  <legacyDrawing r:id="rId2"/>
  <oleObjects>
    <oleObject progId="Word.Document.8" shapeId="128475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hondlova</dc:creator>
  <cp:keywords/>
  <dc:description/>
  <cp:lastModifiedBy>jakoubkova</cp:lastModifiedBy>
  <cp:lastPrinted>2006-05-25T18:18:36Z</cp:lastPrinted>
  <dcterms:created xsi:type="dcterms:W3CDTF">2006-03-08T08:03:02Z</dcterms:created>
  <dcterms:modified xsi:type="dcterms:W3CDTF">2006-05-25T18:18:56Z</dcterms:modified>
  <cp:category/>
  <cp:version/>
  <cp:contentType/>
  <cp:contentStatus/>
</cp:coreProperties>
</file>